
<file path=[Content_Types].xml><?xml version="1.0" encoding="utf-8"?>
<Types xmlns="http://schemas.openxmlformats.org/package/2006/content-types">
  <Default Extension="wmf" ContentType="image/wmf"/>
  <Default Extension="jpeg" ContentType="image/jpeg"/>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Default Extension="vml" ContentType="application/vnd.openxmlformats-officedocument.vmlDrawing"/>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10.xml" ContentType="application/vnd.openxmlformats-officedocument.spreadsheetml.comment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ackupFile="false" showObjects="all" date1904="false"/>
  <bookViews>
    <workbookView xWindow="0" yWindow="0" windowWidth="13125" windowHeight="6105" firstSheet="0" activeTab="0"/>
  </bookViews>
  <sheets>
    <sheet name="Calcul UGB" sheetId="1" state="visible" r:id="rId1"/>
    <sheet name="droit usage" sheetId="2" state="visible" r:id="rId2"/>
    <sheet name="Notice" sheetId="3" state="visible" r:id="rId3"/>
    <sheet name="Questionnaire imprimable" sheetId="4" state="visible" r:id="rId4"/>
    <sheet name="Saisie et Calculateur" sheetId="5" state="visible" r:id="rId5"/>
    <sheet name="Bilan apparent" sheetId="6" state="visible" r:id="rId6"/>
    <sheet name="Tables de conversion" sheetId="7" state="visible" r:id="rId7"/>
    <sheet name="Dimension agroécologique" sheetId="8" state="visible" r:id="rId8"/>
    <sheet name="Dimension socio-territoriale" sheetId="9" state="visible" r:id="rId9"/>
    <sheet name="Dimension économique" sheetId="10" state="visible" r:id="rId10"/>
    <sheet name="Bilan durabilité" sheetId="11" state="visible" r:id="rId11"/>
    <sheet name="Renvoi BDD" sheetId="12" state="visible" r:id="rId12"/>
    <sheet name="Dimensions" sheetId="13" state="visible" r:id="rId13"/>
    <sheet name="Composantes" sheetId="14" state="visible" r:id="rId14"/>
    <sheet name="Indicateurs" sheetId="15" state="visible" r:id="rId15"/>
    <sheet name="Synthèse Propriétés" sheetId="16" state="visible" r:id="rId16"/>
    <sheet name="Robustesse" sheetId="17" state="visible" r:id="rId17"/>
    <sheet name="Ancrage Territorial" sheetId="18" state="visible" r:id="rId18"/>
  </sheets>
  <definedNames>
    <definedName function="false" hidden="false" localSheetId="5" name="_xlnm.Print_Area" vbProcedure="false">'Bilan apparent'!$A$1:$K$488</definedName>
    <definedName function="false" hidden="false" name="agro" vbProcedure="false">NA()</definedName>
    <definedName function="false" hidden="false" name="agro_4" vbProcedure="false">NA()</definedName>
    <definedName function="false" hidden="false" name="agro_5" vbProcedure="false">#REF!</definedName>
    <definedName function="false" hidden="false" name="Amorti" vbProcedure="false">NA()</definedName>
    <definedName function="false" hidden="false" name="Amorti_4" vbProcedure="false">NA()</definedName>
    <definedName function="false" hidden="false" name="Annuites" vbProcedure="false">NA()</definedName>
    <definedName function="false" hidden="false" name="Annuites_4" vbProcedure="false">NA()</definedName>
    <definedName function="false" hidden="false" name="application" vbProcedure="false">#REF!</definedName>
    <definedName function="false" hidden="false" name="Appro" vbProcedure="false">NA()</definedName>
    <definedName function="false" hidden="false" name="Appro_4" vbProcedure="false">NA()</definedName>
    <definedName function="false" hidden="false" name="auto_estimation_bien_etre" vbProcedure="false">NA()</definedName>
    <definedName function="false" hidden="false" name="auto_estimation_bien_etre_4" vbProcedure="false">NA()</definedName>
    <definedName function="false" hidden="false" name="bois" vbProcedure="false">NA()</definedName>
    <definedName function="false" hidden="false" name="bois_4" vbProcedure="false">NA()</definedName>
    <definedName function="false" hidden="false" name="bois_5" vbProcedure="false">#REF!</definedName>
    <definedName function="false" hidden="false" name="CAtot_1" vbProcedure="false">NA()</definedName>
    <definedName function="false" hidden="false" name="CAtot_1_4" vbProcedure="false">NA()</definedName>
    <definedName function="false" hidden="false" name="CAtot_1_5" vbProcedure="false">#REF!</definedName>
    <definedName function="false" hidden="false" name="CAtot_2" vbProcedure="false">NA()</definedName>
    <definedName function="false" hidden="false" name="CAtot_2_4" vbProcedure="false">NA()</definedName>
    <definedName function="false" hidden="false" name="CAtot_2_5" vbProcedure="false">#REF!</definedName>
    <definedName function="false" hidden="false" name="CA_1" vbProcedure="false">NA()</definedName>
    <definedName function="false" hidden="false" name="CA_1_4" vbProcedure="false">NA()</definedName>
    <definedName function="false" hidden="false" name="CA_1_5" vbProcedure="false">#REF!</definedName>
    <definedName function="false" hidden="false" name="CA_2" vbProcedure="false">NA()</definedName>
    <definedName function="false" hidden="false" name="ca_2_4" vbProcedure="false">#REF!</definedName>
    <definedName function="false" hidden="false" name="CA_2_5" vbProcedure="false">#REF!</definedName>
    <definedName function="false" hidden="false" name="CIPAN" vbProcedure="false">NA()</definedName>
    <definedName function="false" hidden="false" name="CIPAN_4" vbProcedure="false">NA()</definedName>
    <definedName function="false" hidden="false" name="CIPAN_5" vbProcedure="false">#REF!</definedName>
    <definedName function="false" hidden="false" name="codesources" vbProcedure="false">#REF!</definedName>
    <definedName function="false" hidden="false" name="culture" vbProcedure="false">NA()</definedName>
    <definedName function="false" hidden="false" name="culture_4" vbProcedure="false">NA()</definedName>
    <definedName function="false" hidden="false" name="culture_5" vbProcedure="false">#REF!</definedName>
    <definedName function="false" hidden="false" name="Céréales" vbProcedure="false">#REF!</definedName>
    <definedName function="false" hidden="false" name="EBE" vbProcedure="false">NA()</definedName>
    <definedName function="false" hidden="false" name="EBE_4" vbProcedure="false">NA()</definedName>
    <definedName function="false" hidden="false" name="E_36" vbProcedure="false">'Saisie et Calculateur'!$E$1051</definedName>
    <definedName function="false" hidden="false" name="huile" vbProcedure="false">NA()</definedName>
    <definedName function="false" hidden="false" name="huile_4" vbProcedure="false">NA()</definedName>
    <definedName function="false" hidden="false" name="huile_5" vbProcedure="false">#REF!</definedName>
    <definedName function="false" hidden="false" name="K" vbProcedure="false">NA()</definedName>
    <definedName function="false" hidden="false" name="Kmin" vbProcedure="false">NA()</definedName>
    <definedName function="false" hidden="false" name="Kmin_13" vbProcedure="false">NA()</definedName>
    <definedName function="false" hidden="false" name="Kmin_14" vbProcedure="false">#REF!</definedName>
    <definedName function="false" hidden="false" name="K_4" vbProcedure="false">NA()</definedName>
    <definedName function="false" hidden="false" name="K_5" vbProcedure="false">#REF!</definedName>
    <definedName function="false" hidden="false" name="Lait" vbProcedure="false">#REF!</definedName>
    <definedName function="false" hidden="false" name="legu" vbProcedure="false">NA()</definedName>
    <definedName function="false" hidden="false" name="legu_4" vbProcedure="false">NA()</definedName>
    <definedName function="false" hidden="false" name="liste" vbProcedure="false">NA()</definedName>
    <definedName function="false" hidden="false" name="liste_4" vbProcedure="false">NA()</definedName>
    <definedName function="false" hidden="false" name="N" vbProcedure="false">NA()</definedName>
    <definedName function="false" hidden="false" name="N_4" vbProcedure="false">NA()</definedName>
    <definedName function="false" hidden="false" name="N_5" vbProcedure="false">#REF!</definedName>
    <definedName function="false" hidden="false" name="ouinon" vbProcedure="false">#REF!</definedName>
    <definedName function="false" hidden="false" name="P2O5" vbProcedure="false">NA()</definedName>
    <definedName function="false" hidden="false" name="P2O5_4" vbProcedure="false">NA()</definedName>
    <definedName function="false" hidden="false" name="P2O5_5" vbProcedure="false">#REF!</definedName>
    <definedName function="false" hidden="false" name="pourcent_agro" vbProcedure="false">NA()</definedName>
    <definedName function="false" hidden="false" name="pourcent_agro_4" vbProcedure="false">NA()</definedName>
    <definedName function="false" hidden="false" name="pourcent_agro_5" vbProcedure="false">#REF!</definedName>
    <definedName function="false" hidden="false" name="pulvé" vbProcedure="false">NA()</definedName>
    <definedName function="false" hidden="false" name="pulvé_6" vbProcedure="false">NA()</definedName>
    <definedName function="false" hidden="false" name="qlité" vbProcedure="false">NA()</definedName>
    <definedName function="false" hidden="false" name="qlité_4" vbProcedure="false">NA()</definedName>
    <definedName function="false" hidden="false" name="qlté_hebergement" vbProcedure="false">NA()</definedName>
    <definedName function="false" hidden="false" name="qlté_hebergement_4" vbProcedure="false">NA()</definedName>
    <definedName function="false" hidden="false" name="sau" vbProcedure="false">#REF!</definedName>
    <definedName function="false" hidden="false" name="SAU_1" vbProcedure="false">NA()</definedName>
    <definedName function="false" hidden="false" name="SAU_2" vbProcedure="false">NA()</definedName>
    <definedName function="false" hidden="false" name="SAU_3" vbProcedure="false">NA()</definedName>
    <definedName function="false" hidden="false" name="SAU_4" vbProcedure="false">NA()</definedName>
    <definedName function="false" hidden="false" name="SAU_5" vbProcedure="false">#REF!</definedName>
    <definedName function="false" hidden="false" name="SDA" vbProcedure="false">NA()</definedName>
    <definedName function="false" hidden="false" name="SDA_4" vbProcedure="false">NA()</definedName>
    <definedName function="false" hidden="false" name="SDA_5" vbProcedure="false">#REF!</definedName>
    <definedName function="false" hidden="false" name="smic_mois" vbProcedure="false">#REF!</definedName>
    <definedName function="false" hidden="false" name="typetrait" vbProcedure="false">#REF!</definedName>
    <definedName function="false" hidden="false" name="vermifuge" vbProcedure="false">NA()</definedName>
    <definedName function="false" hidden="false" name="vermifuge_4" vbProcedure="false">NA()</definedName>
    <definedName function="false" hidden="false" name="vermifuge_5" vbProcedure="false">#REF!</definedName>
    <definedName function="false" hidden="false" name="_xlfn_IFERROR" vbProcedure="false"/>
    <definedName function="false" hidden="false" localSheetId="4" name="_Toc291421710" vbProcedure="false">NA()</definedName>
    <definedName function="false" hidden="false" localSheetId="5" name="codesources" vbProcedure="false">#REF!</definedName>
    <definedName function="false" hidden="false" localSheetId="5" name="_xlnm_Print_Area" vbProcedure="false">'Bilan apparent'!$A$1:$K$488</definedName>
    <definedName function="false" hidden="false" localSheetId="7" name="Amorti" vbProcedure="false">NA()</definedName>
    <definedName function="false" hidden="false" localSheetId="7" name="Amorti_4" vbProcedure="false">NA()</definedName>
    <definedName function="false" hidden="false" localSheetId="7" name="Annuites" vbProcedure="false">NA()</definedName>
    <definedName function="false" hidden="false" localSheetId="7" name="Appro" vbProcedure="false">NA()</definedName>
    <definedName function="false" hidden="false" localSheetId="7" name="Appro_4" vbProcedure="false">NA()</definedName>
    <definedName function="false" hidden="false" localSheetId="7" name="auto_estimation_bien_etre" vbProcedure="false">NA()</definedName>
    <definedName function="false" hidden="false" localSheetId="7" name="CAtot_1" vbProcedure="false">NA()</definedName>
    <definedName function="false" hidden="false" localSheetId="7" name="CAtot_1_4" vbProcedure="false">NA()</definedName>
    <definedName function="false" hidden="false" localSheetId="7" name="CAtot_2" vbProcedure="false">NA()</definedName>
    <definedName function="false" hidden="false" localSheetId="7" name="CAtot_2_4" vbProcedure="false">NA()</definedName>
    <definedName function="false" hidden="false" localSheetId="7" name="CA_1" vbProcedure="false">NA()</definedName>
    <definedName function="false" hidden="false" localSheetId="7" name="CA_1_4" vbProcedure="false">NA()</definedName>
    <definedName function="false" hidden="false" localSheetId="7" name="CA_2" vbProcedure="false">NA()</definedName>
    <definedName function="false" hidden="false" localSheetId="7" name="CIPAN" vbProcedure="false">NA()</definedName>
    <definedName function="false" hidden="false" localSheetId="7" name="CIPAN_4" vbProcedure="false">NA()</definedName>
    <definedName function="false" hidden="false" localSheetId="7" name="codesources" vbProcedure="false">#REF!</definedName>
    <definedName function="false" hidden="false" localSheetId="7" name="culture" vbProcedure="false">NA()</definedName>
    <definedName function="false" hidden="false" localSheetId="7" name="culture_4" vbProcedure="false">NA()</definedName>
    <definedName function="false" hidden="false" localSheetId="7" name="EBE" vbProcedure="false">NA()</definedName>
    <definedName function="false" hidden="false" localSheetId="7" name="EBE_4" vbProcedure="false">NA()</definedName>
    <definedName function="false" hidden="false" localSheetId="7" name="huile" vbProcedure="false">NA()</definedName>
    <definedName function="false" hidden="false" localSheetId="7" name="K" vbProcedure="false">NA()</definedName>
    <definedName function="false" hidden="false" localSheetId="7" name="Kmin" vbProcedure="false">NA()</definedName>
    <definedName function="false" hidden="false" localSheetId="7" name="Kmin_13" vbProcedure="false">NA()</definedName>
    <definedName function="false" hidden="false" localSheetId="7" name="K_4" vbProcedure="false">NA()</definedName>
    <definedName function="false" hidden="false" localSheetId="7" name="legu" vbProcedure="false">NA()</definedName>
    <definedName function="false" hidden="false" localSheetId="7" name="legu_4" vbProcedure="false">NA()</definedName>
    <definedName function="false" hidden="false" localSheetId="7" name="liste" vbProcedure="false">NA()</definedName>
    <definedName function="false" hidden="false" localSheetId="7" name="P2O5" vbProcedure="false">NA()</definedName>
    <definedName function="false" hidden="false" localSheetId="7" name="P2O5_4" vbProcedure="false">NA()</definedName>
    <definedName function="false" hidden="false" localSheetId="7" name="pourcent_agro" vbProcedure="false">NA()</definedName>
    <definedName function="false" hidden="false" localSheetId="7" name="pourcent_agro_4" vbProcedure="false">NA()</definedName>
    <definedName function="false" hidden="false" localSheetId="7" name="pulvé" vbProcedure="false">NA()</definedName>
    <definedName function="false" hidden="false" localSheetId="7" name="pulvé_6" vbProcedure="false">NA()</definedName>
    <definedName function="false" hidden="false" localSheetId="7" name="qlité" vbProcedure="false">NA()</definedName>
    <definedName function="false" hidden="false" localSheetId="7" name="SAU_1" vbProcedure="false">NA()</definedName>
    <definedName function="false" hidden="false" localSheetId="7" name="SAU_2" vbProcedure="false">NA()</definedName>
    <definedName function="false" hidden="false" localSheetId="7" name="SAU_3" vbProcedure="false">NA()</definedName>
    <definedName function="false" hidden="false" localSheetId="7" name="SDA" vbProcedure="false">NA()</definedName>
    <definedName function="false" hidden="false" localSheetId="7" name="SDA_4" vbProcedure="false">NA()</definedName>
    <definedName function="false" hidden="false" localSheetId="7" name="vermifuge" vbProcedure="false">NA()</definedName>
    <definedName function="false" hidden="false" localSheetId="7" name="vermifuge_4" vbProcedure="false">NA()</definedName>
    <definedName function="false" hidden="false" localSheetId="8" name="codesources" vbProcedure="false">#REF!</definedName>
    <definedName function="false" hidden="false" localSheetId="10" name="agro_5" vbProcedure="false">#REF!</definedName>
    <definedName function="false" hidden="false" localSheetId="10" name="application" vbProcedure="false">#REF!</definedName>
    <definedName function="false" hidden="false" localSheetId="10" name="bois_5" vbProcedure="false">#REF!</definedName>
    <definedName function="false" hidden="false" localSheetId="10" name="CAtot_1_5" vbProcedure="false">#REF!</definedName>
    <definedName function="false" hidden="false" localSheetId="10" name="CAtot_2_5" vbProcedure="false">#REF!</definedName>
    <definedName function="false" hidden="false" localSheetId="10" name="CA_1_5" vbProcedure="false">#REF!</definedName>
    <definedName function="false" hidden="false" localSheetId="10" name="ca_2_4" vbProcedure="false">#REF!</definedName>
    <definedName function="false" hidden="false" localSheetId="10" name="CA_2_5" vbProcedure="false">#REF!</definedName>
    <definedName function="false" hidden="false" localSheetId="10" name="CIPAN_5" vbProcedure="false">#REF!</definedName>
    <definedName function="false" hidden="false" localSheetId="10" name="codesources" vbProcedure="false">#REF!</definedName>
    <definedName function="false" hidden="false" localSheetId="10" name="culture_5" vbProcedure="false">#REF!</definedName>
    <definedName function="false" hidden="false" localSheetId="10" name="Céréales" vbProcedure="false">#REF!</definedName>
    <definedName function="false" hidden="false" localSheetId="10" name="huile_5" vbProcedure="false">#REF!</definedName>
    <definedName function="false" hidden="false" localSheetId="10" name="Kmin_14" vbProcedure="false">#REF!</definedName>
    <definedName function="false" hidden="false" localSheetId="10" name="K_5" vbProcedure="false">#REF!</definedName>
    <definedName function="false" hidden="false" localSheetId="10" name="Lait" vbProcedure="false">#REF!</definedName>
    <definedName function="false" hidden="false" localSheetId="10" name="N_5" vbProcedure="false">#REF!</definedName>
    <definedName function="false" hidden="false" localSheetId="10" name="ouinon" vbProcedure="false">#REF!</definedName>
    <definedName function="false" hidden="false" localSheetId="10" name="P2O5_5" vbProcedure="false">#REF!</definedName>
    <definedName function="false" hidden="false" localSheetId="10" name="pourcent_agro_5" vbProcedure="false">#REF!</definedName>
    <definedName function="false" hidden="false" localSheetId="10" name="sau" vbProcedure="false">#REF!</definedName>
    <definedName function="false" hidden="false" localSheetId="10" name="SAU_5" vbProcedure="false">#REF!</definedName>
    <definedName function="false" hidden="false" localSheetId="10" name="SDA_5" vbProcedure="false">#REF!</definedName>
    <definedName function="false" hidden="false" localSheetId="10" name="smic_mois" vbProcedure="false">#REF!</definedName>
    <definedName function="false" hidden="false" localSheetId="10" name="typetrait" vbProcedure="false">#REF!</definedName>
    <definedName function="false" hidden="false" localSheetId="10" name="vermifuge_5" vbProcedure="false">#REF!</definedName>
  </definedNames>
  <calcPr iterateCount="100" refMode="A1" iterate="false" iterateDelta="0.001"/>
</workbook>
</file>

<file path=xl/comments4.xml><?xml version="1.0" encoding="utf-8"?>
<comments xmlns="http://schemas.openxmlformats.org/spreadsheetml/2006/main">
  <authors>
    <author> </author>
  </authors>
  <commentList>
    <comment ref="A275" authorId="0" shapeId="0">
      <text>
        <r>
          <rPr>
            <sz val="9"/>
            <color rgb="FF000000"/>
            <rFont val="Tahoma"/>
            <family val="2"/>
            <charset val="1"/>
          </rPr>
          <t xml:space="preserve">Pour les protéagineux, on considère que l'azote fixé correspond à l'azote exporté par le grain
</t>
        </r>
      </text>
    </comment>
    <comment ref="A317" authorId="0" shapeId="0">
      <text>
        <r>
          <rPr>
            <sz val="9"/>
            <color rgb="FF000000"/>
            <rFont val="Tahoma"/>
            <family val="2"/>
            <charset val="1"/>
          </rPr>
          <t xml:space="preserve">Pour les protéagineux, on considère que l'azote fixé correspond à l'azote exporté par le grain
</t>
        </r>
      </text>
    </comment>
    <comment ref="B20" authorId="0" shapeId="0">
      <text>
        <r>
          <rPr>
            <sz val="9"/>
            <color rgb="FF000000"/>
            <rFont val="Tahoma"/>
            <family val="2"/>
            <charset val="1"/>
          </rPr>
          <t xml:space="preserve">superficie agricole utilisée. Elle comprend les terres arables, la superficie toujours en herbe (STH) et les cultures permanentes. </t>
        </r>
      </text>
    </comment>
    <comment ref="B24" authorId="0" shapeId="0">
      <text>
        <r>
          <rPr>
            <sz val="9"/>
            <color rgb="FF000000"/>
            <rFont val="Tahoma"/>
            <family val="2"/>
            <charset val="1"/>
          </rPr>
          <t xml:space="preserve">surface agricole toujours en herbe des exploitations, c’est-à-dire depuis plus de 5 ans (prairies permanentes mais aussi les bordures et bandes enherbées gérées comme une PP).</t>
        </r>
      </text>
    </comment>
    <comment ref="B810" authorId="0" shapeId="0">
      <text>
        <r>
          <rPr>
            <sz val="9"/>
            <color rgb="FF000000"/>
            <rFont val="Tahoma"/>
            <family val="2"/>
            <charset val="1"/>
          </rPr>
          <t xml:space="preserve">ex: Cuma, atelier de découpe ou de transformation collectif, point de vente collectif, accueil de ruches</t>
        </r>
      </text>
    </comment>
    <comment ref="B873" authorId="0" shapeId="0">
      <text>
        <r>
          <rPr>
            <sz val="9"/>
            <color rgb="FF000000"/>
            <rFont val="Tahoma"/>
            <family val="2"/>
            <charset val="1"/>
          </rPr>
          <t xml:space="preserve">On entend par services marchands les actions rétribués bénéficiant à la collectivité 
ex: déneigement, débroussaillage,
compostage déchets verts des collectivités, 
valorisation de digestats de méthaniseur?
</t>
        </r>
      </text>
    </comment>
    <comment ref="B880" authorId="0" shapeId="0">
      <text>
        <r>
          <rPr>
            <sz val="9"/>
            <color rgb="FF000000"/>
            <rFont val="Tahoma"/>
            <family val="2"/>
            <charset val="1"/>
          </rPr>
          <t xml:space="preserve">Libre accès des chemins aux randonneurs, VTT, aux chevaux de loisirs, aux parapentes, aux activités d’observation de la faune et de la flore, etc…</t>
        </r>
      </text>
    </comment>
    <comment ref="B882" authorId="0" shapeId="0">
      <text>
        <r>
          <rPr>
            <sz val="9"/>
            <color rgb="FF000000"/>
            <rFont val="Tahoma"/>
            <family val="2"/>
            <charset val="1"/>
          </rPr>
          <t xml:space="preserve">Libre accès sur des chemins privatifs en zones urbaines ou périurbaines (tourisme doux)</t>
        </r>
        <r>
          <rPr>
            <b val="true"/>
            <sz val="9"/>
            <color rgb="FF000000"/>
            <rFont val="Tahoma"/>
            <family val="2"/>
            <charset val="1"/>
          </rPr>
          <t xml:space="preserve">      </t>
        </r>
      </text>
    </comment>
    <comment ref="B887" authorId="0" shapeId="0">
      <text>
        <r>
          <rPr>
            <sz val="9"/>
            <color rgb="FF000000"/>
            <rFont val="Tahoma"/>
            <family val="2"/>
            <charset val="1"/>
          </rPr>
          <t xml:space="preserve">A prendre en considération:
• Entretien ou restauration du bâti ancien, du petit patrimoine rural constitutif du patrimoine local 
• Qualité et typicité architecturale et intégration paysagère du bâti récent
• Qualité des abords du siège d’exploitation</t>
        </r>
      </text>
    </comment>
    <comment ref="B891" authorId="0" shapeId="0">
      <text>
        <r>
          <rPr>
            <sz val="9"/>
            <color rgb="FF000000"/>
            <rFont val="Tahoma"/>
            <family val="2"/>
            <charset val="1"/>
          </rPr>
          <t xml:space="preserve">A prendre en considération: 
• Aménagement paysager des surfaces cultivées et lisières et forêts de l’exploitation
• Mise en œuvre d’actions visant à valoriser le paysage (concours fermes fleuries, jachères fleuries, Engagement chartes paysagères locales)
• Contribution par les pratiques culturales ou d’élevage, à la valorisation et à l’entretien du paysage culturel (terrasses cévenoles, murets de pierre sèche, …)
</t>
        </r>
      </text>
    </comment>
    <comment ref="B898" authorId="0" shapeId="0">
      <text>
        <r>
          <rPr>
            <sz val="9"/>
            <color rgb="FF000000"/>
            <rFont val="Tahoma"/>
            <family val="2"/>
            <charset val="1"/>
          </rPr>
          <t xml:space="preserve">A prendre en considération: 
• savoirs faire liés aux cultures (exemple : sarrasin en Bretagne, lavandin sur le plateau de Valensole, taureaux en Camargue, …reconnu ou non par une marque Parc)
• savoirs faire liés à l'élevage (garde des taureaux à cheval, transhumance à pied, …)
• savoirs faire liés aux outils de production (utilisation de moulins ou pressoirs traditionnels…)</t>
        </r>
      </text>
    </comment>
    <comment ref="B983" authorId="0" shapeId="0">
      <text>
        <r>
          <rPr>
            <sz val="9"/>
            <color rgb="FF000000"/>
            <rFont val="Tahoma"/>
            <family val="2"/>
            <charset val="1"/>
          </rPr>
          <t xml:space="preserve">Ex :  hébergement de jeunes et accueil handicapés, Mise à disposition de foncier pour des jeunes en installation, Parrainage de jeunes en installation;
 travail avec des banques alimentaires (directement ou via coopératives ou toutes structures de collectes), Restau du cœur
</t>
        </r>
      </text>
    </comment>
    <comment ref="B987" authorId="0" shapeId="0">
      <text>
        <r>
          <rPr>
            <sz val="9"/>
            <color rgb="FF000000"/>
            <rFont val="Tahoma"/>
            <family val="2"/>
            <charset val="1"/>
          </rPr>
          <t xml:space="preserve">Ex: Organisation de chantiers avec des citoyens, mobilisation de financement participatif, etc.</t>
        </r>
      </text>
    </comment>
    <comment ref="B993" authorId="0" shapeId="0">
      <text>
        <r>
          <rPr>
            <sz val="9"/>
            <color rgb="FF000000"/>
            <rFont val="Tahoma"/>
            <family val="2"/>
            <charset val="1"/>
          </rPr>
          <t xml:space="preserve">Exemple : Ecoles, étudiants
Sauf interdiction réglementaire ou difficulté installation (pas de logement disponible, etc..) ou familiale</t>
        </r>
        <r>
          <rPr>
            <b val="true"/>
            <sz val="9"/>
            <color rgb="FF000000"/>
            <rFont val="Tahoma"/>
            <family val="2"/>
            <charset val="1"/>
          </rPr>
          <t xml:space="preserve"> 
</t>
        </r>
      </text>
    </comment>
    <comment ref="B1008" authorId="0" shapeId="0">
      <text>
        <r>
          <rPr>
            <sz val="9"/>
            <color rgb="FF000000"/>
            <rFont val="Tahoma"/>
            <family val="2"/>
            <charset val="1"/>
          </rPr>
          <t xml:space="preserve">A dire d'agriculteur(trice)
Si conjoint ou associés, retenir la plus mauvaise estimation
</t>
        </r>
      </text>
    </comment>
    <comment ref="G253" authorId="0" shapeId="0">
      <text>
        <r>
          <rPr>
            <sz val="9"/>
            <color rgb="FF000000"/>
            <rFont val="Tahoma"/>
            <family val="2"/>
            <charset val="1"/>
          </rPr>
          <t xml:space="preserve">Peut s'obtenir en multipliant le rendement en tMS par la surface à condition que tout soit vendu
</t>
        </r>
      </text>
    </comment>
    <comment ref="G1105" authorId="0" shapeId="0">
      <text>
        <r>
          <rPr>
            <sz val="10"/>
            <rFont val="Arial"/>
            <family val="2"/>
            <charset val="1"/>
          </rPr>
          <t xml:space="preserve">CA : seulement ce qui est vendu (pas pris en compte autoconsommation)</t>
        </r>
      </text>
    </comment>
    <comment ref="H1105" authorId="0" shapeId="0">
      <text>
        <r>
          <rPr>
            <sz val="10"/>
            <rFont val="Arial"/>
            <family val="2"/>
            <charset val="1"/>
          </rPr>
          <t xml:space="preserve">Produit brut = f (prix du marché) vente + stock</t>
        </r>
      </text>
    </comment>
  </commentList>
</comments>
</file>

<file path=xl/comments5.xml><?xml version="1.0" encoding="utf-8"?>
<comments xmlns="http://schemas.openxmlformats.org/spreadsheetml/2006/main">
  <authors>
    <author> </author>
  </authors>
  <commentList>
    <comment ref="A24" authorId="0" shapeId="0">
      <text>
        <r>
          <rPr>
            <sz val="9"/>
            <color rgb="FF000000"/>
            <rFont val="Tahoma"/>
            <family val="2"/>
            <charset val="1"/>
          </rPr>
          <t xml:space="preserve">superficie agricole utilisée. Elle comprend les terres arables, la superficie toujours en herbe (STH) et les cultures permanentes. </t>
        </r>
      </text>
    </comment>
    <comment ref="A237" authorId="0" shapeId="0">
      <text>
        <r>
          <rPr>
            <sz val="9"/>
            <color rgb="FF000000"/>
            <rFont val="Tahoma"/>
            <family val="2"/>
            <charset val="1"/>
          </rPr>
          <t xml:space="preserve">Pour les protéagineux, on considère que l'azote fixé correspond à l'azote exporté par le grain
</t>
        </r>
      </text>
    </comment>
    <comment ref="A281" authorId="0" shapeId="0">
      <text>
        <r>
          <rPr>
            <sz val="9"/>
            <color rgb="FF000000"/>
            <rFont val="Tahoma"/>
            <family val="2"/>
            <charset val="1"/>
          </rPr>
          <t xml:space="preserve">Pour les protéagineux, on considère que l'azote fixé correspond à l'azote exporté par le grain
</t>
        </r>
      </text>
    </comment>
    <comment ref="A293" authorId="0" shapeId="0">
      <text>
        <r>
          <rPr>
            <sz val="9"/>
            <color rgb="FF000000"/>
            <rFont val="Tahoma"/>
            <family val="2"/>
            <charset val="1"/>
          </rPr>
          <t xml:space="preserve">Pour les protéagineux, on considère que l'azote fixé correspond à l'azote exporté par le grain
</t>
        </r>
      </text>
    </comment>
    <comment ref="A582" authorId="0" shapeId="0">
      <text>
        <r>
          <rPr>
            <sz val="9"/>
            <color rgb="FF000000"/>
            <rFont val="Tahoma"/>
            <family val="2"/>
            <charset val="1"/>
          </rPr>
          <t xml:space="preserve">Prend en compte les légumineuses en culture pure ou en association, y compris en agroforesterie ( eucalyptus, robilnier)
Prend en compte les prairies 
temporaires en fonction de leur proportion de léguminuese</t>
        </r>
      </text>
    </comment>
    <comment ref="A845" authorId="0" shapeId="0">
      <text>
        <r>
          <rPr>
            <sz val="9"/>
            <color rgb="FF000000"/>
            <rFont val="Tahoma"/>
            <family val="2"/>
            <charset val="1"/>
          </rPr>
          <t xml:space="preserve">on s'intéresse aux surfaces destinées, au final, à l'alimentation humaine. On prend donc également en compte:
- les surfaces dédiées à l'alimentation animale
- les surfaces dédiées où l’exploitant permet des activités liées à l’alimentation ( chasse, pêche, cueillette)
Il n'y a pas de prise en compte de l’intensité de production</t>
        </r>
      </text>
    </comment>
    <comment ref="A856" authorId="0" shapeId="0">
      <text>
        <r>
          <rPr>
            <sz val="9"/>
            <color rgb="FF000000"/>
            <rFont val="Tahoma"/>
            <family val="2"/>
            <charset val="1"/>
          </rPr>
          <t xml:space="preserve">Ne sont comptabilisés que les seuls aliments industriels formulés à partir de matières premières qui varient selon les fluctuations des cours mondiaux et donc sans provenance précise. 
Les céréales achetées à un voisin ou dans le cadre de projets collectifs territoriaux contribuant à l’autonomie protéique sont donc exclues des surfaces importées.
</t>
        </r>
      </text>
    </comment>
    <comment ref="A911" authorId="0" shapeId="0">
      <text>
        <r>
          <rPr>
            <sz val="9"/>
            <color rgb="FF000000"/>
            <rFont val="Tahoma"/>
            <family val="2"/>
            <charset val="1"/>
          </rPr>
          <t xml:space="preserve">On entend par services marchands les actions rétribués bénéficiant à la collectivité 
ex: déneigement, débroussaillage,
compostage déchets verts des collectivités, 
valorisation de digestats de méthaniseur?
</t>
        </r>
      </text>
    </comment>
    <comment ref="A937" authorId="0" shapeId="0">
      <text>
        <r>
          <rPr>
            <sz val="9"/>
            <color rgb="FF000000"/>
            <rFont val="Tahoma"/>
            <family val="2"/>
            <charset val="1"/>
          </rPr>
          <t xml:space="preserve">Ex de projets énergétiques:  bois de chauffage et plaquette,
Méthanisation de déchets organiques agricoles ou de collectivités, presse semi-mobile à huile végétale pure, Projet collectifs de bois bocage</t>
        </r>
      </text>
    </comment>
    <comment ref="A958" authorId="0" shapeId="0">
      <text>
        <r>
          <rPr>
            <sz val="9"/>
            <color rgb="FF000000"/>
            <rFont val="Tahoma"/>
            <family val="2"/>
            <charset val="1"/>
          </rPr>
          <t xml:space="preserve">A prendre en considération:
• Entretien ou restauration du bâti ancien, du petit patrimoine rural constitutif du patrimoine local 
• Qualité et typicité architecturale et intégration paysagère du bâti récent
• Qualité des abords du siège d’exploitation</t>
        </r>
      </text>
    </comment>
    <comment ref="A964" authorId="0" shapeId="0">
      <text>
        <r>
          <rPr>
            <sz val="9"/>
            <color rgb="FF000000"/>
            <rFont val="Tahoma"/>
            <family val="2"/>
            <charset val="1"/>
          </rPr>
          <t xml:space="preserve">A prendre en considération: 
• savoirs faire liés aux cultures (exemple : sarrasin en Bretagne, lavandin sur le plateau de Valensole, taureaux en Camargue, …reconnu ou non par une marque Parc)
• savoirs faire liés à l'élevage (garde des taureaux à cheval, transhumance à pied, …)
• savoirs faire liés aux outils de production (utilisation de moulins ou pressoirs traditionnels…)</t>
        </r>
      </text>
    </comment>
    <comment ref="A973" authorId="0" shapeId="0">
      <text>
        <r>
          <rPr>
            <sz val="9"/>
            <color rgb="FF000000"/>
            <rFont val="Tahoma"/>
            <family val="2"/>
            <charset val="1"/>
          </rPr>
          <t xml:space="preserve">Libre accès des chemins aux randonneurs, VTT, aux chevaux de loisirs, aux parapentes, aux activités d’observation de la faune et de la flore, etc…</t>
        </r>
      </text>
    </comment>
    <comment ref="A999" authorId="0" shapeId="0">
      <text>
        <r>
          <rPr>
            <sz val="9"/>
            <color rgb="FF000000"/>
            <rFont val="Tahoma"/>
            <family val="2"/>
            <charset val="1"/>
          </rPr>
          <t xml:space="preserve">ex: Cuma, atelier de découpe ou de transformation collectif, point de vente collectif, accueil de ruches</t>
        </r>
      </text>
    </comment>
    <comment ref="A1071" authorId="0" shapeId="0">
      <text>
        <r>
          <rPr>
            <sz val="9"/>
            <color rgb="FF000000"/>
            <rFont val="Tahoma"/>
            <family val="2"/>
            <charset val="1"/>
          </rPr>
          <t xml:space="preserve">Ex :  hébergement de jeunes et accueil handicapés, Mise à disposition de foncier pour des jeunes en installation, Parrainage de jeunes en installation;
 travail avec des banques alimentaires (directement ou via coopératives ou toutes structures de collectes), Restau du cœur
</t>
        </r>
      </text>
    </comment>
    <comment ref="A1073" authorId="0" shapeId="0">
      <text>
        <r>
          <rPr>
            <sz val="9"/>
            <color rgb="FF000000"/>
            <rFont val="Tahoma"/>
            <family val="2"/>
            <charset val="1"/>
          </rPr>
          <t xml:space="preserve">Ex: Organisation de chantiers avec des citoyens, mobilisation de financement participatif, etc.</t>
        </r>
      </text>
    </comment>
    <comment ref="A1075" authorId="0" shapeId="0">
      <text>
        <r>
          <rPr>
            <sz val="9"/>
            <color rgb="FF000000"/>
            <rFont val="Tahoma"/>
            <family val="2"/>
            <charset val="1"/>
          </rPr>
          <t xml:space="preserve">Exemple : Ecoles, étudiants
Sauf interdiction réglementaire ou difficulté installation (pas de logement disponible, etc..) ou familiale</t>
        </r>
        <r>
          <rPr>
            <b val="true"/>
            <sz val="9"/>
            <color rgb="FF000000"/>
            <rFont val="Tahoma"/>
            <family val="2"/>
            <charset val="1"/>
          </rPr>
          <t xml:space="preserve"> 
</t>
        </r>
      </text>
    </comment>
    <comment ref="A1091" authorId="0" shapeId="0">
      <text>
        <r>
          <rPr>
            <sz val="9"/>
            <color rgb="FF000000"/>
            <rFont val="Tahoma"/>
            <family val="2"/>
            <charset val="1"/>
          </rPr>
          <t xml:space="preserve">A dire d'agriculteur(trice)
Si conjoint ou associés, retenir la plus mauvaise estimation
</t>
        </r>
      </text>
    </comment>
    <comment ref="A1220" authorId="0" shapeId="0">
      <text>
        <r>
          <rPr>
            <i val="true"/>
            <sz val="9"/>
            <color rgb="FF000000"/>
            <rFont val="Tahoma"/>
            <family val="2"/>
            <charset val="1"/>
          </rPr>
          <t xml:space="preserve">Evaluation de la viabilité économique de l'exploitation agricole dans sa capacité à générer par son processus d’exploitation suffisamment de richesses pour rémunérer à la fois l'exploitant et les investissements 
</t>
        </r>
      </text>
    </comment>
    <comment ref="A1233" authorId="0" shapeId="0">
      <text>
        <r>
          <rPr>
            <i val="true"/>
            <sz val="9"/>
            <color rgb="FF000000"/>
            <rFont val="Tahoma"/>
            <family val="2"/>
            <charset val="1"/>
          </rPr>
          <t xml:space="preserve">Rend compte de la solvabilité de l'exploitation</t>
        </r>
      </text>
    </comment>
    <comment ref="A1238" authorId="0" shapeId="0">
      <text>
        <r>
          <rPr>
            <i val="true"/>
            <sz val="9"/>
            <color rgb="FF000000"/>
            <rFont val="Tahoma"/>
            <family val="2"/>
            <charset val="1"/>
          </rPr>
          <t xml:space="preserve">Appréciation des marges de manœuvre dont dispose l’exploitation face aux emprunts qu’elle a déjà contracté et son autonomie de décision</t>
        </r>
      </text>
    </comment>
    <comment ref="A1320" authorId="0" shapeId="0">
      <text>
        <r>
          <rPr>
            <i val="true"/>
            <sz val="9"/>
            <color rgb="FF000000"/>
            <rFont val="Tahoma"/>
            <family val="2"/>
            <charset val="1"/>
          </rPr>
          <t xml:space="preserve">Autonomie financière de l'exploitation et adaptabilité face à la variabilité des aides</t>
        </r>
      </text>
    </comment>
    <comment ref="A1330" authorId="0" shapeId="0">
      <text>
        <r>
          <rPr>
            <i val="true"/>
            <sz val="9"/>
            <color rgb="FF000000"/>
            <rFont val="Tahoma"/>
            <family val="2"/>
            <charset val="1"/>
          </rPr>
          <t xml:space="preserve">maintien d'exploitation à taille humaine pour en faciliter la transmission</t>
        </r>
      </text>
    </comment>
    <comment ref="B995" authorId="0" shapeId="0">
      <text>
        <r>
          <rPr>
            <sz val="9"/>
            <color rgb="FF000000"/>
            <rFont val="Tahoma"/>
            <family val="2"/>
            <charset val="1"/>
          </rPr>
          <t xml:space="preserve">On s'intéresse au travail ou à la participation à des réseaux d'essai, de connaissance, de gestion, collectifs d'apprentissage ou de conception de pratiques environnementales innovantes.
Ex: Civam, GDA, réseaux Ecophyto, SME collectifs, adhésion à des GIEE </t>
        </r>
      </text>
    </comment>
    <comment ref="C110" authorId="0" shapeId="0">
      <text>
        <r>
          <rPr>
            <sz val="9"/>
            <color rgb="FF000000"/>
            <rFont val="Tahoma"/>
            <family val="2"/>
            <charset val="1"/>
          </rPr>
          <t xml:space="preserve">si inconnu, s'aider des tables de conversion pour une estimation.</t>
        </r>
      </text>
    </comment>
    <comment ref="C630" authorId="0" shapeId="0">
      <text>
        <r>
          <rPr>
            <b val="true"/>
            <sz val="9"/>
            <color rgb="FF000000"/>
            <rFont val="Tahoma"/>
            <family val="2"/>
            <charset val="1"/>
          </rPr>
          <t xml:space="preserve">Steinmetz Lucille:
</t>
        </r>
        <r>
          <rPr>
            <sz val="9"/>
            <color rgb="FF000000"/>
            <rFont val="Tahoma"/>
            <family val="2"/>
            <charset val="1"/>
          </rPr>
          <t xml:space="preserve">L, kWh, stère, t, …
</t>
        </r>
      </text>
    </comment>
    <comment ref="C857" authorId="0" shapeId="0">
      <text>
        <r>
          <rPr>
            <sz val="9"/>
            <color rgb="FF000000"/>
            <rFont val="Tahoma"/>
            <family val="2"/>
            <charset val="1"/>
          </rPr>
          <t xml:space="preserve">Surface importée : 
4 t d'aliment du bétail concentré acheté = 1 ha équivalent </t>
        </r>
      </text>
    </comment>
    <comment ref="C1004" authorId="0" shapeId="0">
      <text>
        <r>
          <rPr>
            <b val="true"/>
            <sz val="9"/>
            <color rgb="FF000000"/>
            <rFont val="Tahoma"/>
            <family val="2"/>
            <charset val="1"/>
          </rPr>
          <t xml:space="preserve">SAU</t>
        </r>
      </text>
    </comment>
    <comment ref="D964" authorId="0" shapeId="0">
      <text>
        <r>
          <rPr>
            <i val="true"/>
            <sz val="9"/>
            <color rgb="FF000000"/>
            <rFont val="Tahoma"/>
            <family val="2"/>
            <charset val="1"/>
          </rPr>
          <t xml:space="preserve">Qualité de vie et identité du territoire</t>
        </r>
      </text>
    </comment>
    <comment ref="D973" authorId="0" shapeId="0">
      <text>
        <r>
          <rPr>
            <sz val="9"/>
            <color rgb="FF000000"/>
            <rFont val="Tahoma"/>
            <family val="2"/>
            <charset val="1"/>
          </rPr>
          <t xml:space="preserve">Libre accès sur des chemins privatifs en zones urbaines ou périurbaines (tourisme doux)</t>
        </r>
        <r>
          <rPr>
            <b val="true"/>
            <sz val="9"/>
            <color rgb="FF000000"/>
            <rFont val="Tahoma"/>
            <family val="2"/>
            <charset val="1"/>
          </rPr>
          <t xml:space="preserve">      </t>
        </r>
      </text>
    </comment>
    <comment ref="D1022" authorId="0" shapeId="0">
      <text>
        <r>
          <rPr>
            <i val="true"/>
            <sz val="9"/>
            <color rgb="FF000000"/>
            <rFont val="Tahoma"/>
            <family val="2"/>
            <charset val="1"/>
          </rPr>
          <t xml:space="preserve">Indépendance et développement territorial
</t>
        </r>
      </text>
    </comment>
    <comment ref="D1023" authorId="0" shapeId="0">
      <text>
        <r>
          <rPr>
            <i val="true"/>
            <sz val="9"/>
            <color rgb="FF000000"/>
            <rFont val="Tahoma"/>
            <family val="2"/>
            <charset val="1"/>
          </rPr>
          <t xml:space="preserve">Indépendance et développement territorial
</t>
        </r>
      </text>
    </comment>
    <comment ref="D1024" authorId="0" shapeId="0">
      <text>
        <r>
          <rPr>
            <i val="true"/>
            <sz val="9"/>
            <color rgb="FF000000"/>
            <rFont val="Tahoma"/>
            <family val="2"/>
            <charset val="1"/>
          </rPr>
          <t xml:space="preserve">Indépendance et développement territorial
</t>
        </r>
      </text>
    </comment>
    <comment ref="D1025" authorId="0" shapeId="0">
      <text>
        <r>
          <rPr>
            <i val="true"/>
            <sz val="9"/>
            <color rgb="FF000000"/>
            <rFont val="Tahoma"/>
            <family val="2"/>
            <charset val="1"/>
          </rPr>
          <t xml:space="preserve">Indépendance et développement territorial
</t>
        </r>
      </text>
    </comment>
    <comment ref="D1027" authorId="0" shapeId="0">
      <text>
        <r>
          <rPr>
            <sz val="9"/>
            <color rgb="FF000000"/>
            <rFont val="Tahoma"/>
            <family val="2"/>
            <charset val="1"/>
          </rPr>
          <t xml:space="preserve">viabilité économique et pérénité de l'exploitation,
qualité de vie,
développement territorial,
démarche éthique et engagement citoyen
</t>
        </r>
      </text>
    </comment>
    <comment ref="D1073" authorId="0" shapeId="0">
      <text>
        <r>
          <rPr>
            <sz val="9"/>
            <color rgb="FF000000"/>
            <rFont val="Tahoma"/>
            <family val="2"/>
            <charset val="1"/>
          </rPr>
          <t xml:space="preserve">Développement territorial,
Qualité de vie,
Liberté d'action et indépendance
Engagement de citoyenneté </t>
        </r>
      </text>
    </comment>
    <comment ref="D1218" authorId="0" shapeId="0">
      <text>
        <r>
          <rPr>
            <b val="true"/>
            <sz val="9"/>
            <color rgb="FF000000"/>
            <rFont val="Tahoma"/>
            <family val="2"/>
            <charset val="1"/>
          </rPr>
          <t xml:space="preserve"> Besoin de financement (BF) 
 = (0,25*dotation amortissements de l’année) + somme annuités LMT
</t>
        </r>
        <r>
          <rPr>
            <sz val="9"/>
            <color rgb="FF000000"/>
            <rFont val="Tahoma"/>
            <family val="2"/>
            <charset val="1"/>
          </rPr>
          <t xml:space="preserve">
</t>
        </r>
        <r>
          <rPr>
            <i val="true"/>
            <sz val="9"/>
            <color rgb="FF000000"/>
            <rFont val="Tahoma"/>
            <family val="2"/>
            <charset val="1"/>
          </rPr>
          <t xml:space="preserve">Le taux de 25 % des amortissements correspond à une exploitation en rythme de croisière qui consacre 25 % de son EBE à des investissements de croissance ou de renouvellement</t>
        </r>
      </text>
    </comment>
    <comment ref="D1220" authorId="0" shapeId="0">
      <text>
        <r>
          <rPr>
            <b val="true"/>
            <sz val="9"/>
            <color rgb="FF000000"/>
            <rFont val="Tahoma"/>
            <family val="2"/>
            <charset val="1"/>
          </rPr>
          <t xml:space="preserve">CE=(EBE-BF)</t>
        </r>
      </text>
    </comment>
    <comment ref="D1320" authorId="0" shapeId="0">
      <text>
        <r>
          <rPr>
            <b val="true"/>
            <sz val="9"/>
            <color rgb="FF000000"/>
            <rFont val="Tahoma"/>
            <family val="2"/>
            <charset val="1"/>
          </rPr>
          <t xml:space="preserve">SA = (aides 1er pilier  PAC)</t>
        </r>
      </text>
    </comment>
    <comment ref="E241" authorId="0" shapeId="0">
      <text>
        <r>
          <rPr>
            <sz val="9"/>
            <color rgb="FF000000"/>
            <rFont val="Tahoma"/>
            <family val="2"/>
            <charset val="1"/>
          </rPr>
          <t xml:space="preserve">utililiser le tableau de détermination du taux de légumineuse
</t>
        </r>
      </text>
    </comment>
    <comment ref="E242" authorId="0" shapeId="0">
      <text>
        <r>
          <rPr>
            <sz val="9"/>
            <color rgb="FF000000"/>
            <rFont val="Tahoma"/>
            <family val="2"/>
            <charset val="1"/>
          </rPr>
          <t xml:space="preserve">utililiser le tableau de détermination du taux de légumineuse
</t>
        </r>
      </text>
    </comment>
    <comment ref="E243" authorId="0" shapeId="0">
      <text>
        <r>
          <rPr>
            <sz val="9"/>
            <color rgb="FF000000"/>
            <rFont val="Tahoma"/>
            <family val="2"/>
            <charset val="1"/>
          </rPr>
          <t xml:space="preserve">utililiser le tableau de détermination du taux de légumineuse
</t>
        </r>
      </text>
    </comment>
    <comment ref="E244" authorId="0" shapeId="0">
      <text>
        <r>
          <rPr>
            <sz val="9"/>
            <color rgb="FF000000"/>
            <rFont val="Tahoma"/>
            <family val="2"/>
            <charset val="1"/>
          </rPr>
          <t xml:space="preserve">utililiser le tableau de détermination du taux de légumineuse
</t>
        </r>
      </text>
    </comment>
    <comment ref="E247" authorId="0" shapeId="0">
      <text>
        <r>
          <rPr>
            <sz val="9"/>
            <color rgb="FF000000"/>
            <rFont val="Tahoma"/>
            <family val="2"/>
            <charset val="1"/>
          </rPr>
          <t xml:space="preserve">utililiser le tableau de détermination du taux de légumineuse ???
</t>
        </r>
      </text>
    </comment>
    <comment ref="E890" authorId="0" shapeId="0">
      <text>
        <r>
          <rPr>
            <i val="true"/>
            <sz val="9"/>
            <color rgb="FF000000"/>
            <rFont val="Tahoma"/>
            <family val="2"/>
            <charset val="1"/>
          </rPr>
          <t xml:space="preserve">sensibilisation des consommateurs à mieux raisonner leur consommation</t>
        </r>
      </text>
    </comment>
    <comment ref="E893" authorId="0" shapeId="0">
      <text>
        <r>
          <rPr>
            <i val="true"/>
            <sz val="9"/>
            <color rgb="FF000000"/>
            <rFont val="Tahoma"/>
            <family val="2"/>
            <charset val="1"/>
          </rPr>
          <t xml:space="preserve">sensibilisation des consommateurs à mieux raisonner leur consommation</t>
        </r>
      </text>
    </comment>
    <comment ref="E925" authorId="0" shapeId="0">
      <text>
        <r>
          <rPr>
            <i val="true"/>
            <sz val="9"/>
            <color rgb="FF000000"/>
            <rFont val="Tahoma"/>
            <family val="2"/>
            <charset val="1"/>
          </rPr>
          <t xml:space="preserve">Indépendance et développement territorial
</t>
        </r>
      </text>
    </comment>
    <comment ref="E1006" authorId="0" shapeId="0">
      <text>
        <r>
          <rPr>
            <sz val="9"/>
            <color rgb="FF000000"/>
            <rFont val="Tahoma"/>
            <family val="2"/>
            <charset val="1"/>
          </rPr>
          <t xml:space="preserve">viabilité économique et pérénité de l'exploitation,
développement territorial,
démarche éthique et engagement citoyen
</t>
        </r>
      </text>
    </comment>
    <comment ref="E1007" authorId="0" shapeId="0">
      <text>
        <r>
          <rPr>
            <sz val="9"/>
            <color rgb="FF000000"/>
            <rFont val="Tahoma"/>
            <family val="2"/>
            <charset val="1"/>
          </rPr>
          <t xml:space="preserve">développement territorial,
démarche éthique et engagement citoyen
</t>
        </r>
      </text>
    </comment>
    <comment ref="E1010" authorId="0" shapeId="0">
      <text>
        <r>
          <rPr>
            <sz val="9"/>
            <color rgb="FF000000"/>
            <rFont val="Tahoma"/>
            <family val="2"/>
            <charset val="1"/>
          </rPr>
          <t xml:space="preserve">développement territorial,
démarche éthique et engagement citoyen
</t>
        </r>
      </text>
    </comment>
    <comment ref="E1096" authorId="0" shapeId="0">
      <text>
        <r>
          <rPr>
            <sz val="9"/>
            <color rgb="FF000000"/>
            <rFont val="Tahoma"/>
            <family val="2"/>
            <charset val="1"/>
          </rPr>
          <t xml:space="preserve">Contribuer à la qualité de vie
</t>
        </r>
      </text>
    </comment>
    <comment ref="E1097" authorId="0" shapeId="0">
      <text>
        <r>
          <rPr>
            <sz val="9"/>
            <color rgb="FF000000"/>
            <rFont val="Tahoma"/>
            <family val="2"/>
            <charset val="1"/>
          </rPr>
          <t xml:space="preserve">Contribuer à la qualité de vie
</t>
        </r>
      </text>
    </comment>
    <comment ref="E1243" authorId="0" shapeId="0">
      <text>
        <r>
          <rPr>
            <sz val="10"/>
            <rFont val="Arial"/>
            <family val="2"/>
            <charset val="1"/>
          </rPr>
          <t xml:space="preserve">CA : seulement ce qui est vendu (pas pris en compte autoconsommation)</t>
        </r>
      </text>
    </comment>
    <comment ref="F630" authorId="0" shapeId="0">
      <text>
        <r>
          <rPr>
            <b val="true"/>
            <sz val="9"/>
            <color rgb="FF000000"/>
            <rFont val="Tahoma"/>
            <family val="2"/>
            <charset val="1"/>
          </rPr>
          <t xml:space="preserve">Steinmetz Lucille:
</t>
        </r>
        <r>
          <rPr>
            <sz val="9"/>
            <color rgb="FF000000"/>
            <rFont val="Tahoma"/>
            <family val="2"/>
            <charset val="1"/>
          </rPr>
          <t xml:space="preserve">fixer unité de sortie
L fuel</t>
        </r>
      </text>
    </comment>
    <comment ref="F958" authorId="0" shapeId="0">
      <text>
        <r>
          <rPr>
            <sz val="9"/>
            <color rgb="FF000000"/>
            <rFont val="Tahoma"/>
            <family val="2"/>
            <charset val="1"/>
          </rPr>
          <t xml:space="preserve">A prendre en considération: 
• Aménagement paysager des surfaces cultivées et lisières et forêts de l’exploitation
• Mise en œuvre d’actions visant à valoriser le paysage (concours fermes fleuries, jachères fleuries, Engagement chartes paysagères locales)
• Contribution par les pratiques culturales ou d’élevage, à la valorisation et à l’entretien du paysage culturel (terrasses cévenoles, murets de pierre sèche, …)
</t>
        </r>
      </text>
    </comment>
    <comment ref="F1243" authorId="0" shapeId="0">
      <text>
        <r>
          <rPr>
            <b val="true"/>
            <sz val="9"/>
            <color rgb="FF000000"/>
            <rFont val="Tahoma"/>
            <family val="2"/>
            <charset val="1"/>
          </rPr>
          <t xml:space="preserve">%CA représenté par le produit = (CA lié au produit </t>
        </r>
      </text>
    </comment>
    <comment ref="G262" authorId="0" shapeId="0">
      <text>
        <r>
          <rPr>
            <sz val="9"/>
            <color rgb="FF000000"/>
            <rFont val="Tahoma"/>
            <family val="2"/>
            <charset val="1"/>
          </rPr>
          <t xml:space="preserve">Peut s'obtenir en multipliant le rendement en tMS par la surface à condition que tout soit vendu
</t>
        </r>
      </text>
    </comment>
    <comment ref="G383" authorId="0" shapeId="0">
      <text>
        <r>
          <rPr>
            <b val="true"/>
            <sz val="9"/>
            <color rgb="FF000000"/>
            <rFont val="Tahoma"/>
            <family val="2"/>
            <charset val="1"/>
          </rPr>
          <t xml:space="preserve">Surface 1ere culture </t>
        </r>
        <r>
          <rPr>
            <sz val="9"/>
            <color rgb="FF000000"/>
            <rFont val="Tahoma"/>
            <family val="2"/>
            <charset val="1"/>
          </rPr>
          <t xml:space="preserve">
Pour le bon fonctionnement des formules remplir au minimum deux cases surface dans chaque tableau des assolements (avec des 0 si aucune culture)</t>
        </r>
      </text>
    </comment>
    <comment ref="G384" authorId="0" shapeId="0">
      <text>
        <r>
          <rPr>
            <b val="true"/>
            <sz val="9"/>
            <color rgb="FF000000"/>
            <rFont val="Tahoma"/>
            <family val="2"/>
            <charset val="1"/>
          </rPr>
          <t xml:space="preserve">Surface 1ere culture </t>
        </r>
        <r>
          <rPr>
            <sz val="9"/>
            <color rgb="FF000000"/>
            <rFont val="Tahoma"/>
            <family val="2"/>
            <charset val="1"/>
          </rPr>
          <t xml:space="preserve">
Pour le bon fonctionnement des formules remplir au minimum deux cases surface dans chaque tableau des assolements (avec des 0 si aucune culture)</t>
        </r>
      </text>
    </comment>
    <comment ref="G728" authorId="0" shapeId="0">
      <text>
        <r>
          <rPr>
            <b val="true"/>
            <sz val="9"/>
            <color rgb="FF000000"/>
            <rFont val="Tahoma"/>
            <family val="2"/>
            <charset val="1"/>
          </rPr>
          <t xml:space="preserve">Besoin mensuel du bétail =Nbd'UGB*0,42
</t>
        </r>
        <r>
          <rPr>
            <sz val="9"/>
            <color rgb="FF000000"/>
            <rFont val="Tahoma"/>
            <family val="2"/>
            <charset val="1"/>
          </rPr>
          <t xml:space="preserve">
Référence: Un UGB 100% à l'herbe mange 0,42 t MS par mois</t>
        </r>
      </text>
    </comment>
    <comment ref="G849" authorId="0" shapeId="0">
      <text>
        <r>
          <rPr>
            <sz val="9"/>
            <color rgb="FF000000"/>
            <rFont val="Tahoma"/>
            <family val="2"/>
            <charset val="1"/>
          </rPr>
          <t xml:space="preserve">Exploitation hors sol sans aucune SAU ou avec une très faible SAU non consacrée à l’alimentation humaine)</t>
        </r>
      </text>
    </comment>
    <comment ref="G1071" authorId="0" shapeId="0">
      <text>
        <r>
          <rPr>
            <sz val="9"/>
            <color rgb="FF000000"/>
            <rFont val="Tahoma"/>
            <family val="2"/>
            <charset val="1"/>
          </rPr>
          <t xml:space="preserve">Développement territorial,
Qualité de vie,
Liberté d'action et indépendance
Engagement de citoyenneté </t>
        </r>
      </text>
    </comment>
    <comment ref="G1243" authorId="0" shapeId="0">
      <text>
        <r>
          <rPr>
            <sz val="10"/>
            <rFont val="Arial"/>
            <family val="2"/>
            <charset val="1"/>
          </rPr>
          <t xml:space="preserve">Produit brut = f (prix du marché) vente + stock</t>
        </r>
      </text>
    </comment>
    <comment ref="I110" authorId="0" shapeId="0">
      <text>
        <r>
          <rPr>
            <sz val="9"/>
            <color rgb="FF000000"/>
            <rFont val="Tahoma"/>
            <family val="2"/>
            <charset val="1"/>
          </rPr>
          <t xml:space="preserve">si inconnu, s'aider des tables de conversion pour une estimation.</t>
        </r>
      </text>
    </comment>
    <comment ref="I845" authorId="0" shapeId="0">
      <text>
        <r>
          <rPr>
            <b val="true"/>
            <sz val="9"/>
            <color rgb="FF000000"/>
            <rFont val="Tahoma"/>
            <family val="2"/>
            <charset val="1"/>
          </rPr>
          <t xml:space="preserve">PAE= SAUalimentaire</t>
        </r>
      </text>
    </comment>
    <comment ref="I1250" authorId="0" shapeId="0">
      <text>
        <r>
          <rPr>
            <i val="true"/>
            <sz val="9"/>
            <color rgb="FF000000"/>
            <rFont val="Tahoma"/>
            <family val="2"/>
            <charset val="1"/>
          </rPr>
          <t xml:space="preserve">évaluation de la vulnérabilité face aux variations du marché
</t>
        </r>
      </text>
    </comment>
    <comment ref="J213" authorId="0" shapeId="0">
      <text>
        <r>
          <rPr>
            <sz val="9"/>
            <color rgb="FF000000"/>
            <rFont val="Tahoma"/>
            <family val="2"/>
            <charset val="1"/>
          </rPr>
          <t xml:space="preserve">Peut s'obtenir en multipliant le rendement en tMS par la surface à condition que tout soit vendu
</t>
        </r>
      </text>
    </comment>
    <comment ref="J567" authorId="0" shapeId="0">
      <text>
        <r>
          <rPr>
            <b val="true"/>
            <sz val="9"/>
            <color rgb="FF000000"/>
            <rFont val="Tahoma"/>
            <family val="2"/>
            <charset val="1"/>
          </rPr>
          <t xml:space="preserve">Dépendance en fourrage =
100*  (qté de fourrage acheté )</t>
        </r>
      </text>
    </comment>
    <comment ref="J570" authorId="0" shapeId="0">
      <text>
        <r>
          <rPr>
            <b val="true"/>
            <sz val="9"/>
            <color rgb="FF000000"/>
            <rFont val="Tahoma"/>
            <family val="2"/>
            <charset val="1"/>
          </rPr>
          <t xml:space="preserve">Dépendance aliments concentré = 
100 *
  qté d'aliments concentrés achetés en MS </t>
        </r>
      </text>
    </comment>
    <comment ref="J582" authorId="0" shapeId="0">
      <text>
        <r>
          <rPr>
            <b val="true"/>
            <sz val="9"/>
            <color rgb="FF000000"/>
            <rFont val="Tahoma"/>
            <family val="2"/>
            <charset val="1"/>
          </rPr>
          <t xml:space="preserve">part de légumineuse dans l'assolement=
surface légumineuse</t>
        </r>
        <r>
          <rPr>
            <sz val="9"/>
            <color rgb="FF000000"/>
            <rFont val="Tahoma"/>
            <family val="2"/>
            <charset val="1"/>
          </rPr>
          <t xml:space="preserve">
surface assolable= SAU-STH-surface en culture pérennes)
</t>
        </r>
      </text>
    </comment>
    <comment ref="J728" authorId="0" shapeId="0">
      <text>
        <r>
          <rPr>
            <b val="true"/>
            <sz val="9"/>
            <color rgb="FF000000"/>
            <rFont val="Tahoma"/>
            <family val="2"/>
            <charset val="1"/>
          </rPr>
          <t xml:space="preserve">quantité de fourrages à la date de mise à l'herbe </t>
        </r>
      </text>
    </comment>
    <comment ref="J856" authorId="0" shapeId="0">
      <text>
        <r>
          <rPr>
            <b val="true"/>
            <sz val="9"/>
            <color rgb="FF000000"/>
            <rFont val="Tahoma"/>
            <family val="2"/>
            <charset val="1"/>
          </rPr>
          <t xml:space="preserve">TI =
 surface importée</t>
        </r>
      </text>
    </comment>
    <comment ref="J860" authorId="0" shapeId="0">
      <text>
        <r>
          <rPr>
            <b val="true"/>
            <sz val="9"/>
            <color rgb="FF000000"/>
            <rFont val="Tahoma"/>
            <family val="2"/>
            <charset val="1"/>
          </rPr>
          <t xml:space="preserve">Pprot= SAU Culture proétine</t>
        </r>
      </text>
    </comment>
    <comment ref="J919" authorId="0" shapeId="0">
      <text>
        <r>
          <rPr>
            <b val="true"/>
            <sz val="9"/>
            <color rgb="FF000000"/>
            <rFont val="Tahoma"/>
            <family val="2"/>
            <charset val="1"/>
          </rPr>
          <t xml:space="preserve">(Ventes directes + ventes locales)</t>
        </r>
      </text>
    </comment>
    <comment ref="J1250" authorId="0" shapeId="0">
      <text>
        <r>
          <rPr>
            <b val="true"/>
            <sz val="9"/>
            <color rgb="FF000000"/>
            <rFont val="Tahoma"/>
            <family val="2"/>
            <charset val="1"/>
          </rPr>
          <t xml:space="preserve">Maximum (  PR)</t>
        </r>
        <r>
          <rPr>
            <sz val="9"/>
            <color rgb="FF000000"/>
            <rFont val="Tahoma"/>
            <family val="2"/>
            <charset val="1"/>
          </rPr>
          <t xml:space="preserve">
</t>
        </r>
      </text>
    </comment>
    <comment ref="J1261" authorId="0" shapeId="0">
      <text>
        <r>
          <rPr>
            <b val="true"/>
            <sz val="9"/>
            <color rgb="FF000000"/>
            <rFont val="Tahoma"/>
            <family val="2"/>
            <charset val="1"/>
          </rPr>
          <t xml:space="preserve">Types de produits en fonction des ateliers:
grandes cultures (5 types de produits) : </t>
        </r>
        <r>
          <rPr>
            <sz val="9"/>
            <color rgb="FF000000"/>
            <rFont val="Tahoma"/>
            <family val="2"/>
            <charset val="1"/>
          </rPr>
          <t xml:space="preserve">céréales à paille, maïs, oléagineux et protéagineux, cultures industrielles
</t>
        </r>
        <r>
          <rPr>
            <b val="true"/>
            <sz val="9"/>
            <color rgb="FF000000"/>
            <rFont val="Tahoma"/>
            <family val="2"/>
            <charset val="1"/>
          </rPr>
          <t xml:space="preserve">ateliers en horticulture : </t>
        </r>
        <r>
          <rPr>
            <sz val="9"/>
            <color rgb="FF000000"/>
            <rFont val="Tahoma"/>
            <family val="2"/>
            <charset val="1"/>
          </rPr>
          <t xml:space="preserve">nombre de produits différents
</t>
        </r>
        <r>
          <rPr>
            <b val="true"/>
            <sz val="9"/>
            <color rgb="FF000000"/>
            <rFont val="Tahoma"/>
            <family val="2"/>
            <charset val="1"/>
          </rPr>
          <t xml:space="preserve">ateliers en maraîchage : </t>
        </r>
        <r>
          <rPr>
            <sz val="9"/>
            <color rgb="FF000000"/>
            <rFont val="Tahoma"/>
            <family val="2"/>
            <charset val="1"/>
          </rPr>
          <t xml:space="preserve">nombre de produits différents
</t>
        </r>
        <r>
          <rPr>
            <b val="true"/>
            <sz val="9"/>
            <color rgb="FF000000"/>
            <rFont val="Tahoma"/>
            <family val="2"/>
            <charset val="1"/>
          </rPr>
          <t xml:space="preserve">ateliers en arboriculture : </t>
        </r>
        <r>
          <rPr>
            <sz val="9"/>
            <color rgb="FF000000"/>
            <rFont val="Tahoma"/>
            <family val="2"/>
            <charset val="1"/>
          </rPr>
          <t xml:space="preserve">distinguer les espèces
</t>
        </r>
        <r>
          <rPr>
            <b val="true"/>
            <sz val="9"/>
            <color rgb="FF000000"/>
            <rFont val="Tahoma"/>
            <family val="2"/>
            <charset val="1"/>
          </rPr>
          <t xml:space="preserve">atelier en viticulture : </t>
        </r>
        <r>
          <rPr>
            <sz val="9"/>
            <color rgb="FF000000"/>
            <rFont val="Tahoma"/>
            <family val="2"/>
            <charset val="1"/>
          </rPr>
          <t xml:space="preserve">distinguer les couleurs blanc </t>
        </r>
        <r>
          <rPr>
            <b val="true"/>
            <sz val="9"/>
            <color rgb="FF000000"/>
            <rFont val="Tahoma"/>
            <family val="2"/>
            <charset val="1"/>
          </rPr>
          <t xml:space="preserve">
ateliers pour produits d'origine animale (4 types de produits) : </t>
        </r>
        <r>
          <rPr>
            <sz val="9"/>
            <color rgb="FF000000"/>
            <rFont val="Tahoma"/>
            <family val="2"/>
            <charset val="1"/>
          </rPr>
          <t xml:space="preserve">ventes animaux vifs, lait,  produits laitiers et  viande transformée</t>
        </r>
      </text>
    </comment>
  </commentList>
</comments>
</file>

<file path=xl/comments6.xml><?xml version="1.0" encoding="utf-8"?>
<comments xmlns="http://schemas.openxmlformats.org/spreadsheetml/2006/main">
  <authors>
    <author> </author>
  </authors>
  <commentList>
    <comment ref="C199" authorId="0" shapeId="0">
      <text>
        <r>
          <rPr>
            <sz val="9"/>
            <color rgb="FF000000"/>
            <rFont val="Tahoma"/>
            <family val="2"/>
            <charset val="1"/>
          </rPr>
          <t xml:space="preserve">si inconnu, s'aider des tables de conversion pour une estimation.</t>
        </r>
      </text>
    </comment>
    <comment ref="C401" authorId="0" shapeId="0">
      <text>
        <r>
          <rPr>
            <sz val="9"/>
            <color rgb="FF000000"/>
            <rFont val="Tahoma"/>
            <family val="2"/>
            <charset val="1"/>
          </rPr>
          <t xml:space="preserve">si inconnu, s'aider des tables de conversion pour une estimation.</t>
        </r>
      </text>
    </comment>
  </commentList>
</comments>
</file>

<file path=xl/comments7.xml><?xml version="1.0" encoding="utf-8"?>
<comments xmlns="http://schemas.openxmlformats.org/spreadsheetml/2006/main">
  <authors>
    <author> </author>
  </authors>
  <commentList>
    <comment ref="C951" authorId="0" shapeId="0">
      <text>
        <r>
          <rPr>
            <sz val="9"/>
            <color rgb="FF000000"/>
            <rFont val="Tahoma"/>
            <family val="2"/>
            <charset val="1"/>
          </rPr>
          <t xml:space="preserve">compter le nombre d'arbres et diviser par 100.
</t>
        </r>
        <r>
          <rPr>
            <b val="true"/>
            <sz val="9"/>
            <color rgb="FF000000"/>
            <rFont val="Tahoma"/>
            <family val="2"/>
            <charset val="1"/>
          </rPr>
          <t xml:space="preserve">Estimation:
</t>
        </r>
        <r>
          <rPr>
            <sz val="9"/>
            <color rgb="FF000000"/>
            <rFont val="Tahoma"/>
            <family val="2"/>
            <charset val="1"/>
          </rPr>
          <t xml:space="preserve">
</t>
        </r>
        <r>
          <rPr>
            <b val="true"/>
            <sz val="9"/>
            <color rgb="FF000000"/>
            <rFont val="Tahoma"/>
            <family val="2"/>
            <charset val="1"/>
          </rPr>
          <t xml:space="preserve">Sylvopastoralisme:
</t>
        </r>
        <r>
          <rPr>
            <sz val="9"/>
            <color rgb="FF000000"/>
            <rFont val="Tahoma"/>
            <family val="2"/>
            <charset val="1"/>
          </rPr>
          <t xml:space="preserve">100 arbres moyen</t>
        </r>
        <r>
          <rPr>
            <b val="true"/>
            <sz val="9"/>
            <color rgb="FF000000"/>
            <rFont val="Tahoma"/>
            <family val="2"/>
            <charset val="1"/>
          </rPr>
          <t xml:space="preserve">
Agrisylviculture:
</t>
        </r>
        <r>
          <rPr>
            <sz val="9"/>
            <color rgb="FF000000"/>
            <rFont val="Tahoma"/>
            <family val="2"/>
            <charset val="1"/>
          </rPr>
          <t xml:space="preserve">110 arbres moyen</t>
        </r>
      </text>
    </comment>
  </commentList>
</comments>
</file>

<file path=xl/comments10.xml><?xml version="1.0" encoding="utf-8"?>
<comments xmlns="http://schemas.openxmlformats.org/spreadsheetml/2006/main">
  <authors>
    <author> </author>
  </authors>
  <commentList>
    <comment ref="F15" authorId="0" shapeId="0">
      <text>
        <r>
          <rPr>
            <b val="true"/>
            <sz val="9"/>
            <color rgb="FF000000"/>
            <rFont val="Tahoma"/>
            <family val="2"/>
            <charset val="1"/>
          </rPr>
          <t xml:space="preserve">Steinmetz Lucille:
</t>
        </r>
        <r>
          <rPr>
            <sz val="9"/>
            <color rgb="FF000000"/>
            <rFont val="Tahoma"/>
            <family val="2"/>
            <charset val="1"/>
          </rPr>
          <t xml:space="preserve">points pour item 1</t>
        </r>
      </text>
    </comment>
  </commentList>
</comments>
</file>

<file path=xl/sharedStrings.xml><?xml version="1.0" encoding="utf-8"?>
<sst xmlns="http://schemas.openxmlformats.org/spreadsheetml/2006/main" count="3797" uniqueCount="3797">
  <si>
    <t xml:space="preserve">Type d’animaux</t>
  </si>
  <si>
    <t xml:space="preserve">Coeff UGB</t>
  </si>
  <si>
    <t xml:space="preserve">Animaux sur cb de mois (/!\ taurillon, broutard)?</t>
  </si>
  <si>
    <t xml:space="preserve">Effectif</t>
  </si>
  <si>
    <t xml:space="preserve">Vaches laitières</t>
  </si>
  <si>
    <t xml:space="preserve">Vache de réforme</t>
  </si>
  <si>
    <t xml:space="preserve">Vaches allaitantes</t>
  </si>
  <si>
    <t xml:space="preserve">Femelle &gt; 2 ans</t>
  </si>
  <si>
    <t xml:space="preserve">Mâle &gt; 2 ans</t>
  </si>
  <si>
    <t xml:space="preserve">Femelle 1-2 ans</t>
  </si>
  <si>
    <t xml:space="preserve">Mâle 1-2 ans, croissance ou engraissement</t>
  </si>
  <si>
    <t xml:space="preserve">Femelle &lt; 1 an</t>
  </si>
  <si>
    <t xml:space="preserve">Mâle 0-1 an, croissance ou engraissement (veaux boucherie)</t>
  </si>
  <si>
    <t xml:space="preserve">Mâle 0-1 an, engraissement</t>
  </si>
  <si>
    <t xml:space="preserve">Broutard &lt; 1an, engraissement</t>
  </si>
  <si>
    <t xml:space="preserve">g. Nombre total UGB sur l’EA </t>
  </si>
  <si>
    <t xml:space="preserve">Notice</t>
  </si>
  <si>
    <t xml:space="preserve">N° version </t>
  </si>
  <si>
    <t xml:space="preserve">du</t>
  </si>
  <si>
    <t xml:space="preserve">Organisation des onglets</t>
  </si>
  <si>
    <t xml:space="preserve">Code couleur pour les onglets "Saisie et calculateur" et "Bilan apparent"</t>
  </si>
  <si>
    <t xml:space="preserve">Page 1</t>
  </si>
  <si>
    <t xml:space="preserve">Zone de saisie des données</t>
  </si>
  <si>
    <t xml:space="preserve">Page 2</t>
  </si>
  <si>
    <t xml:space="preserve">Questionnaire pour impression</t>
  </si>
  <si>
    <t xml:space="preserve">Coefficient, paramètre (bibliographie)</t>
  </si>
  <si>
    <t xml:space="preserve">Page 3</t>
  </si>
  <si>
    <t xml:space="preserve">Calculateur</t>
  </si>
  <si>
    <t xml:space="preserve">Unités</t>
  </si>
  <si>
    <t xml:space="preserve">Page 4</t>
  </si>
  <si>
    <t xml:space="preserve">Bilan apparent</t>
  </si>
  <si>
    <t xml:space="preserve">Résultats intermédiaires (formules)</t>
  </si>
  <si>
    <t xml:space="preserve">Page 5</t>
  </si>
  <si>
    <t xml:space="preserve">Tables de conversion</t>
  </si>
  <si>
    <t xml:space="preserve">Titres </t>
  </si>
  <si>
    <t xml:space="preserve">Page 6</t>
  </si>
  <si>
    <t xml:space="preserve">Résultats par dimension</t>
  </si>
  <si>
    <t xml:space="preserve">Agroécologique</t>
  </si>
  <si>
    <t xml:space="preserve">Contexte</t>
  </si>
  <si>
    <t xml:space="preserve">Page 7</t>
  </si>
  <si>
    <t xml:space="preserve">Socio-territoriale</t>
  </si>
  <si>
    <t xml:space="preserve">Cas impossibles / Données non pertinentes (ne pas saisir)</t>
  </si>
  <si>
    <t xml:space="preserve">Page 8</t>
  </si>
  <si>
    <t xml:space="preserve">Economique</t>
  </si>
  <si>
    <t xml:space="preserve">Cellule à encadré rouge =&gt; Donnée utilisée dans le calcul de l'indicateur (à saisir ou déjà calculé automatiquement)</t>
  </si>
  <si>
    <t xml:space="preserve">Page 9</t>
  </si>
  <si>
    <t xml:space="preserve">Bilan durabilité</t>
  </si>
  <si>
    <t xml:space="preserve">Page 10</t>
  </si>
  <si>
    <t xml:space="preserve">Renvoi BDD</t>
  </si>
  <si>
    <t xml:space="preserve">Le Questionnaire</t>
  </si>
  <si>
    <t xml:space="preserve">Il est construit pour récupérer les données nécessaires au calcul de tous les indicateurs lors de l'enquête en évitant les répétitions.</t>
  </si>
  <si>
    <t xml:space="preserve">Il mobilise un code couleur simple, les cases légèrement grisée sont a remplir lors de l'enquête</t>
  </si>
  <si>
    <t xml:space="preserve">Pour l'imprimer :</t>
  </si>
  <si>
    <t xml:space="preserve">Onglet Fichier --&gt; Imprimer --&gt; Dernière liste déroulante : "Ajuster toutes les colonnes à une page" (25 p.)</t>
  </si>
  <si>
    <t xml:space="preserve">Le Calculateur</t>
  </si>
  <si>
    <r>
      <rPr>
        <sz val="11"/>
        <color rgb="FFFF0000"/>
        <rFont val="Times New Roman"/>
        <family val="1"/>
        <charset val="1"/>
      </rPr>
      <t xml:space="preserve">"Saisie et calculateur" est l'onglet de saisie des données</t>
    </r>
    <r>
      <rPr>
        <sz val="11"/>
        <color rgb="FF000000"/>
        <rFont val="Times New Roman"/>
        <family val="1"/>
        <charset val="1"/>
      </rPr>
      <t xml:space="preserve"> obtenues lors de l'enquête. Il faut respecter le code couleur, c’est-à-dire remplir seulement les cases jaunes et roses. </t>
    </r>
  </si>
  <si>
    <t xml:space="preserve">Au besoin les tableaux peuvent généralement être aggrandis en utilisant la fonction d'insertion de ligne. Pour que les nouvelles lignes soient prises en compte automatiquement dans les calculs, attention à bien les insérer entre deux lignes qui appartenaient au tableau (et pas à la fin du tableau).</t>
  </si>
  <si>
    <t xml:space="preserve">Plusieurs tableaux comportent des virgules dans leur première ligne. Il faut systématiquement les supprimer ou les remplacer par les valeurs de votre exploitation afin de débloquer les calculs.</t>
  </si>
  <si>
    <t xml:space="preserve">Bilan Apparent</t>
  </si>
  <si>
    <r>
      <rPr>
        <sz val="11"/>
        <color rgb="FF000000"/>
        <rFont val="Times New Roman"/>
        <family val="1"/>
        <charset val="1"/>
      </rPr>
      <t xml:space="preserve">Cet onglet réalise un bilan apparent. Seuls </t>
    </r>
    <r>
      <rPr>
        <sz val="11"/>
        <color rgb="FFFF0000"/>
        <rFont val="Times New Roman"/>
        <family val="1"/>
        <charset val="1"/>
      </rPr>
      <t xml:space="preserve">trois tableaux sont à remplir</t>
    </r>
    <r>
      <rPr>
        <sz val="11"/>
        <color rgb="FF000000"/>
        <rFont val="Times New Roman"/>
        <family val="1"/>
        <charset val="1"/>
      </rPr>
      <t xml:space="preserve"> (E1, S3 et S4), les autres données sont à saisir dans l'onglet "Saisie et calculateur". </t>
    </r>
  </si>
  <si>
    <t xml:space="preserve">Attention, dans plusieurs cas les références en azote ne sont pas encore indiquées. Si les produits ou les intrants de l'exploitation, ou leur coefficient en zote, ne sont pas renseignés, il faut les indiquer dans les tableaux de correspondances.</t>
  </si>
  <si>
    <t xml:space="preserve">NON A JOUR</t>
  </si>
  <si>
    <t xml:space="preserve">Cet onglet répertorie les coefficients utilisés dans la méthode et en cite les sources.</t>
  </si>
  <si>
    <t xml:space="preserve">Dimensions agroécologique, socio-territoriale et économique</t>
  </si>
  <si>
    <t xml:space="preserve">Ces onglets répertorient les indicateurs des dimensions agroécologique, socio-territoriale et économique.</t>
  </si>
  <si>
    <t xml:space="preserve">Pour chaque indicateur, les items sont détaillés avec la valeur calculée et la note correspondante. La somme des items est ensuite calculée, puis la valeur de la note de durabilité est plafonnée.</t>
  </si>
  <si>
    <r>
      <rPr>
        <sz val="11"/>
        <color rgb="FFFF0000"/>
        <rFont val="Times New Roman"/>
        <family val="1"/>
        <charset val="1"/>
      </rPr>
      <t xml:space="preserve">Rien n'est à remplir dans cet onglet</t>
    </r>
    <r>
      <rPr>
        <sz val="11"/>
        <color rgb="FF000000"/>
        <rFont val="Times New Roman"/>
        <family val="1"/>
        <charset val="1"/>
      </rPr>
      <t xml:space="preserve">, il est seulement conseillé de vérifier les notes attribuées aux indicateurs pour recenser tout problème de formule dans les calculs. </t>
    </r>
  </si>
  <si>
    <t xml:space="preserve">Le bilan des indicateurs pour chaque dimension est réalisé avec quatre sorties finales : </t>
  </si>
  <si>
    <t xml:space="preserve">* un grand tableau pésentant tous les résulats (notes des indicateurs, composantes et dimensions)</t>
  </si>
  <si>
    <t xml:space="preserve">* un histogramme qui donne à voir la note de durabilité pour chaque dimension,</t>
  </si>
  <si>
    <t xml:space="preserve">* un histogramme qui donnent à voir les notes et marge de progrès pour chaque composante, </t>
  </si>
  <si>
    <t xml:space="preserve">* trois histogrammes horitzontaux donnant à voir les notes et marges de progrès pour chaque indicateur dans les trois dimensions.</t>
  </si>
  <si>
    <t xml:space="preserve">Cet onglet reprend et organise les données de l'exploitation pour en faciliter le transfert vers les autres outils d'analyse utilisés pour l'évaluation par IDEA4</t>
  </si>
  <si>
    <t xml:space="preserve">Il propose une fonction d'export sous la forme d'un bouton cliquable lancant une macro au format VBA</t>
  </si>
  <si>
    <t xml:space="preserve">La colonne B peut être copiée/collée telle quelle dans le calculateur propriété</t>
  </si>
  <si>
    <t xml:space="preserve">I - Données générales</t>
  </si>
  <si>
    <t xml:space="preserve">Enquète réalisée par:</t>
  </si>
  <si>
    <t xml:space="preserve">le: </t>
  </si>
  <si>
    <t xml:space="preserve">Id. expl. (6 chiffres)</t>
  </si>
  <si>
    <t xml:space="preserve">Année enquêtée:</t>
  </si>
  <si>
    <t xml:space="preserve">NOM Prénom :</t>
  </si>
  <si>
    <t xml:space="preserve">Forme sociétale :</t>
  </si>
  <si>
    <t xml:space="preserve">Adresse</t>
  </si>
  <si>
    <t xml:space="preserve">Tel:</t>
  </si>
  <si>
    <t xml:space="preserve">du siège:</t>
  </si>
  <si>
    <t xml:space="preserve">Mail:</t>
  </si>
  <si>
    <t xml:space="preserve">Caractéristiques de l'exploitation</t>
  </si>
  <si>
    <t xml:space="preserve">Présence/type d'élevage :</t>
  </si>
  <si>
    <t xml:space="preserve">Nb d'UGB :</t>
  </si>
  <si>
    <t xml:space="preserve">Présence atelier hors-sol (oui/non) :</t>
  </si>
  <si>
    <t xml:space="preserve">Usage de produits phyto (oui/non) :</t>
  </si>
  <si>
    <t xml:space="preserve">Certification AB (oui/non) :</t>
  </si>
  <si>
    <t xml:space="preserve">Répartition des surfaces</t>
  </si>
  <si>
    <t xml:space="preserve">SAU (hors forêt) :</t>
  </si>
  <si>
    <t xml:space="preserve">ha</t>
  </si>
  <si>
    <t xml:space="preserve">dont</t>
  </si>
  <si>
    <t xml:space="preserve">Gds cultures, cultures fourragères et indus.</t>
  </si>
  <si>
    <t xml:space="preserve">Arboriculture</t>
  </si>
  <si>
    <t xml:space="preserve">Viticulture</t>
  </si>
  <si>
    <t xml:space="preserve">Prairies Temporaires</t>
  </si>
  <si>
    <t xml:space="preserve">Maraichage</t>
  </si>
  <si>
    <t xml:space="preserve">STH (PP) :</t>
  </si>
  <si>
    <t xml:space="preserve">Autres surf. de prod.</t>
  </si>
  <si>
    <t xml:space="preserve">Autres surf. non prod. (chemins, bâti…)</t>
  </si>
  <si>
    <t xml:space="preserve">Forêt :</t>
  </si>
  <si>
    <t xml:space="preserve">Bref historique de l'exploitation:</t>
  </si>
  <si>
    <t xml:space="preserve">Main d'œuvre:</t>
  </si>
  <si>
    <t xml:space="preserve">UTH total :</t>
  </si>
  <si>
    <t xml:space="preserve">Age du chef d'exploitation:</t>
  </si>
  <si>
    <t xml:space="preserve">dont UTH non salariées (associés) :</t>
  </si>
  <si>
    <t xml:space="preserve">0-25</t>
  </si>
  <si>
    <t xml:space="preserve">dont UTH  salariées  :</t>
  </si>
  <si>
    <t xml:space="preserve">26-35</t>
  </si>
  <si>
    <t xml:space="preserve">dont UTH stagiaires et apprentis  :</t>
  </si>
  <si>
    <t xml:space="preserve">36-45</t>
  </si>
  <si>
    <t xml:space="preserve">46-55</t>
  </si>
  <si>
    <t xml:space="preserve">UTH familiale (non rémunérée) :</t>
  </si>
  <si>
    <t xml:space="preserve">56-65</t>
  </si>
  <si>
    <t xml:space="preserve">Détail:</t>
  </si>
  <si>
    <t xml:space="preserve">66+</t>
  </si>
  <si>
    <t xml:space="preserve">II - Gestion de l'élevage</t>
  </si>
  <si>
    <t xml:space="preserve">NOM RACES</t>
  </si>
  <si>
    <t xml:space="preserve">NB INDIVIDUS</t>
  </si>
  <si>
    <t xml:space="preserve">dont Nb individus croisés</t>
  </si>
  <si>
    <t xml:space="preserve">Temps de présence sur l'exploitation (mois/an)</t>
  </si>
  <si>
    <t xml:space="preserve">dont pâturage (mois/an)</t>
  </si>
  <si>
    <t xml:space="preserve">BOVINS</t>
  </si>
  <si>
    <t xml:space="preserve">Taureaux</t>
  </si>
  <si>
    <t xml:space="preserve">Veaux vendus</t>
  </si>
  <si>
    <t xml:space="preserve">Génisses 0-1 an</t>
  </si>
  <si>
    <t xml:space="preserve">Génisses 1-2 ans</t>
  </si>
  <si>
    <t xml:space="preserve">Génisses +2 ans</t>
  </si>
  <si>
    <t xml:space="preserve">Males 0-1 an</t>
  </si>
  <si>
    <t xml:space="preserve">Males 1-2 ans</t>
  </si>
  <si>
    <t xml:space="preserve">Males +2 ans</t>
  </si>
  <si>
    <t xml:space="preserve">OVINS/CAPRINS</t>
  </si>
  <si>
    <t xml:space="preserve">Brebis/Chèvre - lait</t>
  </si>
  <si>
    <t xml:space="preserve">Brebis/Chèvre - viande</t>
  </si>
  <si>
    <t xml:space="preserve">Béliers/Boucs</t>
  </si>
  <si>
    <t xml:space="preserve">Agneaux vendus</t>
  </si>
  <si>
    <t xml:space="preserve">Agnelles/Chevrettes</t>
  </si>
  <si>
    <t xml:space="preserve">PORCINS</t>
  </si>
  <si>
    <t xml:space="preserve">Truies</t>
  </si>
  <si>
    <t xml:space="preserve">Verrats</t>
  </si>
  <si>
    <t xml:space="preserve">Cochettes</t>
  </si>
  <si>
    <t xml:space="preserve">Porcelets en post-sevrage</t>
  </si>
  <si>
    <t xml:space="preserve">Porcs en engraissement</t>
  </si>
  <si>
    <t xml:space="preserve">VOLAILLES</t>
  </si>
  <si>
    <t xml:space="preserve">poules pondeuses (place)</t>
  </si>
  <si>
    <t xml:space="preserve">poulettes produites</t>
  </si>
  <si>
    <t xml:space="preserve">poulets de chair</t>
  </si>
  <si>
    <t xml:space="preserve">poulets label</t>
  </si>
  <si>
    <t xml:space="preserve">chapons</t>
  </si>
  <si>
    <t xml:space="preserve">dindes repro. fermières</t>
  </si>
  <si>
    <t xml:space="preserve">dindes chair</t>
  </si>
  <si>
    <t xml:space="preserve">canards à rôtir</t>
  </si>
  <si>
    <t xml:space="preserve">canards prêt à gaver ext.</t>
  </si>
  <si>
    <t xml:space="preserve">canards gras</t>
  </si>
  <si>
    <t xml:space="preserve">pintades label &amp; parcours</t>
  </si>
  <si>
    <t xml:space="preserve">oies à rôtir</t>
  </si>
  <si>
    <t xml:space="preserve">oies PAG</t>
  </si>
  <si>
    <t xml:space="preserve">oies grasses</t>
  </si>
  <si>
    <t xml:space="preserve">AUTRES</t>
  </si>
  <si>
    <t xml:space="preserve">Chevaux</t>
  </si>
  <si>
    <t xml:space="preserve">Juments</t>
  </si>
  <si>
    <t xml:space="preserve">Anes</t>
  </si>
  <si>
    <t xml:space="preserve">Anesses</t>
  </si>
  <si>
    <t xml:space="preserve">Abeilles </t>
  </si>
  <si>
    <t xml:space="preserve">ACHAT ANIMAUX</t>
  </si>
  <si>
    <t xml:space="preserve">VENTE ANIMAUX</t>
  </si>
  <si>
    <r>
      <rPr>
        <b val="true"/>
        <sz val="12"/>
        <rFont val="Calibri"/>
        <family val="2"/>
        <charset val="1"/>
      </rPr>
      <t xml:space="preserve">Origine / Destination
</t>
    </r>
    <r>
      <rPr>
        <sz val="12"/>
        <rFont val="Calibri"/>
        <family val="2"/>
        <charset val="1"/>
      </rPr>
      <t xml:space="preserve">(local, projet collectif)</t>
    </r>
  </si>
  <si>
    <t xml:space="preserve"> Individus achetés (nb)</t>
  </si>
  <si>
    <t xml:space="preserve">Poids achat
(kg)</t>
  </si>
  <si>
    <t xml:space="preserve">Individus vendus (nb)</t>
  </si>
  <si>
    <t xml:space="preserve">Poids vente
(kg)</t>
  </si>
  <si>
    <t xml:space="preserve">Porcelets post-sevrage</t>
  </si>
  <si>
    <t xml:space="preserve">noter aussi vente d'œuf</t>
  </si>
  <si>
    <t xml:space="preserve">Chevaux / Juments</t>
  </si>
  <si>
    <t xml:space="preserve">Anes / Annesse</t>
  </si>
  <si>
    <t xml:space="preserve">Quantités annuelles</t>
  </si>
  <si>
    <t xml:space="preserve">Taux protéique</t>
  </si>
  <si>
    <r>
      <rPr>
        <b val="true"/>
        <sz val="14"/>
        <rFont val="Calibri"/>
        <family val="2"/>
        <charset val="1"/>
      </rPr>
      <t xml:space="preserve">Lait vendu
</t>
    </r>
    <r>
      <rPr>
        <sz val="12"/>
        <rFont val="Calibri"/>
        <family val="2"/>
        <charset val="1"/>
      </rPr>
      <t xml:space="preserve">(y c. fromages)</t>
    </r>
  </si>
  <si>
    <t xml:space="preserve">vache</t>
  </si>
  <si>
    <t xml:space="preserve">L</t>
  </si>
  <si>
    <t xml:space="preserve">g/kg</t>
  </si>
  <si>
    <t xml:space="preserve">chèvre</t>
  </si>
  <si>
    <t xml:space="preserve">brebis</t>
  </si>
  <si>
    <t xml:space="preserve">ACHAT CONCENTRE</t>
  </si>
  <si>
    <t xml:space="preserve">ACHAT FOURRAGES</t>
  </si>
  <si>
    <t xml:space="preserve">Quantitée achetée (t)</t>
  </si>
  <si>
    <t xml:space="preserve">Origine</t>
  </si>
  <si>
    <t xml:space="preserve">Tourteaux de soja (TS)</t>
  </si>
  <si>
    <t xml:space="preserve">Ensilage maïs</t>
  </si>
  <si>
    <t xml:space="preserve">TS 48</t>
  </si>
  <si>
    <t xml:space="preserve">Ensilage herbe</t>
  </si>
  <si>
    <t xml:space="preserve">TS 46</t>
  </si>
  <si>
    <t xml:space="preserve">Foin</t>
  </si>
  <si>
    <t xml:space="preserve">TS 44</t>
  </si>
  <si>
    <t xml:space="preserve">Foin légumineuse</t>
  </si>
  <si>
    <t xml:space="preserve">Tourteau de colza</t>
  </si>
  <si>
    <t xml:space="preserve">Choux fourrager</t>
  </si>
  <si>
    <t xml:space="preserve">Céréales graines</t>
  </si>
  <si>
    <t xml:space="preserve">Sorgho fourrager</t>
  </si>
  <si>
    <t xml:space="preserve">blé tendre</t>
  </si>
  <si>
    <t xml:space="preserve">Colza fourrager</t>
  </si>
  <si>
    <t xml:space="preserve">orge</t>
  </si>
  <si>
    <t xml:space="preserve">Betterave fourragère</t>
  </si>
  <si>
    <t xml:space="preserve">maïs grain</t>
  </si>
  <si>
    <t xml:space="preserve">Pulpes bett. déshy.</t>
  </si>
  <si>
    <t xml:space="preserve">pois ptps</t>
  </si>
  <si>
    <t xml:space="preserve">Mélasse de bett.</t>
  </si>
  <si>
    <t xml:space="preserve">lupin ptps</t>
  </si>
  <si>
    <t xml:space="preserve">Drèches fraîches</t>
  </si>
  <si>
    <t xml:space="preserve">autre.1</t>
  </si>
  <si>
    <t xml:space="preserve">Paille litière</t>
  </si>
  <si>
    <t xml:space="preserve">autre.2</t>
  </si>
  <si>
    <t xml:space="preserve">Paille fourrage</t>
  </si>
  <si>
    <t xml:space="preserve">Pulpe surpressée</t>
  </si>
  <si>
    <t xml:space="preserve">Paille pois</t>
  </si>
  <si>
    <t xml:space="preserve">Concentrés</t>
  </si>
  <si>
    <t xml:space="preserve">Conc. NRJ 12%</t>
  </si>
  <si>
    <t xml:space="preserve">Conc. NRJ 14%</t>
  </si>
  <si>
    <t xml:space="preserve">Conc. Pdt° 18%</t>
  </si>
  <si>
    <t xml:space="preserve">Conc. Pdt° 22%</t>
  </si>
  <si>
    <t xml:space="preserve">Conc. Pdt° 26%</t>
  </si>
  <si>
    <t xml:space="preserve">Conc. Pdt° 30%</t>
  </si>
  <si>
    <t xml:space="preserve">Distinguer les achats locaux</t>
  </si>
  <si>
    <t xml:space="preserve">B9</t>
  </si>
  <si>
    <t xml:space="preserve">Conc. Prot. 36%</t>
  </si>
  <si>
    <t xml:space="preserve">Distinguer les achats effectués à un voisin ou dans le cadre d'un projet territorial collectif</t>
  </si>
  <si>
    <t xml:space="preserve">B2</t>
  </si>
  <si>
    <t xml:space="preserve">Conc. Prot. 40%</t>
  </si>
  <si>
    <t xml:space="preserve">Conc. Prot. 42%</t>
  </si>
  <si>
    <t xml:space="preserve">Conc. Prot. 44%</t>
  </si>
  <si>
    <t xml:space="preserve">Poudre de lait</t>
  </si>
  <si>
    <t xml:space="preserve">Aliment porc sevrage</t>
  </si>
  <si>
    <t xml:space="preserve">Aliment porc charcutier</t>
  </si>
  <si>
    <t xml:space="preserve">Aliment poulet</t>
  </si>
  <si>
    <t xml:space="preserve">Aliment poule pondeuse</t>
  </si>
  <si>
    <t xml:space="preserve">Luzerne déshydratée (LD)</t>
  </si>
  <si>
    <t xml:space="preserve">LD 16%</t>
  </si>
  <si>
    <t xml:space="preserve">LD 18%</t>
  </si>
  <si>
    <t xml:space="preserve">LD 20%</t>
  </si>
  <si>
    <t xml:space="preserve">LD 22%</t>
  </si>
  <si>
    <t xml:space="preserve">CMV</t>
  </si>
  <si>
    <t xml:space="preserve">ALIMENTATION CHEPTEL</t>
  </si>
  <si>
    <t xml:space="preserve">A7</t>
  </si>
  <si>
    <t xml:space="preserve">Quantité de concentré consommée annuellement (t) :</t>
  </si>
  <si>
    <t xml:space="preserve">A15</t>
  </si>
  <si>
    <t xml:space="preserve">Stock de fourrages à la date de mise à l'herbe des animaux (tMS) :</t>
  </si>
  <si>
    <t xml:space="preserve">REPRODUCTION </t>
  </si>
  <si>
    <t xml:space="preserve">A2</t>
  </si>
  <si>
    <t xml:space="preserve">Intégration du critère rusticité dans les choix de reproduction</t>
  </si>
  <si>
    <t xml:space="preserve">oui</t>
  </si>
  <si>
    <t xml:space="preserve">non</t>
  </si>
  <si>
    <t xml:space="preserve">Participation à des programmes d'entretien des ressources génétiques sur des races à petits effectifs :</t>
  </si>
  <si>
    <t xml:space="preserve">sélection participative avec possibilité d'en bénéficier; 
selection massale avec garantie sanitaire en viticulture</t>
  </si>
  <si>
    <t xml:space="preserve">B10</t>
  </si>
  <si>
    <r>
      <rPr>
        <sz val="11"/>
        <rFont val="Calibri"/>
        <family val="2"/>
        <charset val="1"/>
      </rPr>
      <t xml:space="preserve">Présence de races </t>
    </r>
    <r>
      <rPr>
        <b val="true"/>
        <sz val="11"/>
        <color rgb="FF000000"/>
        <rFont val="Calibri"/>
        <family val="2"/>
        <charset val="1"/>
      </rPr>
      <t xml:space="preserve">locales</t>
    </r>
    <r>
      <rPr>
        <sz val="11"/>
        <color rgb="FF000000"/>
        <rFont val="Calibri"/>
        <family val="2"/>
        <charset val="1"/>
      </rPr>
      <t xml:space="preserve"> à faibles effectifs rentrant dans l’acte de production</t>
    </r>
  </si>
  <si>
    <t xml:space="preserve">TRAITEMENTS VETOS </t>
  </si>
  <si>
    <t xml:space="preserve">A19</t>
  </si>
  <si>
    <t xml:space="preserve">Nombre de traitements vétérinaires unitaires totaux (sur un an) : </t>
  </si>
  <si>
    <t xml:space="preserve">Traitements homéopathiques ou par essences naturelles, implantation de plante de parasitaires :</t>
  </si>
  <si>
    <t xml:space="preserve">Utilisation non systématique ou non utilisation de produits rémanents :</t>
  </si>
  <si>
    <t xml:space="preserve">Absence de délais avant retour des animaux dans les parcelles:</t>
  </si>
  <si>
    <t xml:space="preserve">Utilisation d'antibiotique qualifié de critique:</t>
  </si>
  <si>
    <t xml:space="preserve">Alternances des familles chimiques utilisées:</t>
  </si>
  <si>
    <t xml:space="preserve">A14</t>
  </si>
  <si>
    <t xml:space="preserve">Mode de traitement après découverte d'un problème:</t>
  </si>
  <si>
    <t xml:space="preserve">Application systématique</t>
  </si>
  <si>
    <t xml:space="preserve">Traitement cas par cas</t>
  </si>
  <si>
    <t xml:space="preserve">A5</t>
  </si>
  <si>
    <r>
      <rPr>
        <sz val="11"/>
        <color rgb="FF000000"/>
        <rFont val="Calibri"/>
        <family val="2"/>
        <charset val="1"/>
      </rPr>
      <t xml:space="preserve">Nombre d'UGB recevant au moins un insecticide</t>
    </r>
    <r>
      <rPr>
        <sz val="11"/>
        <rFont val="Calibri"/>
        <family val="2"/>
        <charset val="1"/>
      </rPr>
      <t xml:space="preserve"> :</t>
    </r>
  </si>
  <si>
    <t xml:space="preserve">BIEN ETRE DES ANIMAUX D'ELEVAGE (B23)</t>
  </si>
  <si>
    <t xml:space="preserve">Auto-évaluation du socle de base de la condition animale :</t>
  </si>
  <si>
    <t xml:space="preserve">Accès à l’eau propre, alimentation suffisante </t>
  </si>
  <si>
    <t xml:space="preserve">Confort dans les bâtiments d’élevage et au champ (ombres, abris,…)</t>
  </si>
  <si>
    <t xml:space="preserve">Bon état général du troupeau (pas de boiteries généralisées, blessures,….)</t>
  </si>
  <si>
    <t xml:space="preserve">Conditions de transports et abattage repectant la legislation</t>
  </si>
  <si>
    <t xml:space="preserve">Initiatives ou engagements personnels:</t>
  </si>
  <si>
    <t xml:space="preserve">Cahier de charges avec volet BEA (Les 2 Vaches, Monoprix, Cooperl ..)</t>
  </si>
  <si>
    <t xml:space="preserve">Arrêt des interventions non curatives (écornage, caudectomie …)</t>
  </si>
  <si>
    <t xml:space="preserve">Outils de monitoring pour mise bas</t>
  </si>
  <si>
    <t xml:space="preserve">Euthanasie systématique des animaux pathologiquement condamnés</t>
  </si>
  <si>
    <t xml:space="preserve">Vision du métier / relation de l’éleveur à l’animal</t>
  </si>
  <si>
    <t xml:space="preserve">Elevage en plein air permanent avec présence d'abris</t>
  </si>
  <si>
    <t xml:space="preserve">Livraison à des abattoirs certifiés AB ou Label Rouge </t>
  </si>
  <si>
    <t xml:space="preserve">Abattage à la ferme (si la législation le permet)</t>
  </si>
  <si>
    <t xml:space="preserve">Autres initiatives pour le BEA</t>
  </si>
  <si>
    <t xml:space="preserve">La(es)quelle(s)?</t>
  </si>
  <si>
    <t xml:space="preserve">MALUS</t>
  </si>
  <si>
    <t xml:space="preserve">Présence d’atelier de claustration</t>
  </si>
  <si>
    <t xml:space="preserve">Zéro-pâturage</t>
  </si>
  <si>
    <t xml:space="preserve">Muselière pour veau de lait</t>
  </si>
  <si>
    <t xml:space="preserve">Ecornage à l’âge adulte</t>
  </si>
  <si>
    <t xml:space="preserve">III - Gestion des cultures</t>
  </si>
  <si>
    <t xml:space="preserve">INVENTAIRE FOURRAGE</t>
  </si>
  <si>
    <t xml:space="preserve">Variété</t>
  </si>
  <si>
    <t xml:space="preserve">Surface </t>
  </si>
  <si>
    <t xml:space="preserve">Rdmt</t>
  </si>
  <si>
    <t xml:space="preserve">% lég.</t>
  </si>
  <si>
    <t xml:space="preserve">Fourrage vendu</t>
  </si>
  <si>
    <t xml:space="preserve"> (pures, population, mélange)</t>
  </si>
  <si>
    <t xml:space="preserve">en ha</t>
  </si>
  <si>
    <t xml:space="preserve">en t MS/ha</t>
  </si>
  <si>
    <t xml:space="preserve">en % légumineuse</t>
  </si>
  <si>
    <t xml:space="preserve">Quantité en tMS</t>
  </si>
  <si>
    <t xml:space="preserve">Destination</t>
  </si>
  <si>
    <t xml:space="preserve">FOURRAGES annuels </t>
  </si>
  <si>
    <t xml:space="preserve">Maïs ensilage</t>
  </si>
  <si>
    <t xml:space="preserve">Chou fourrager</t>
  </si>
  <si>
    <t xml:space="preserve">FG annuel en dérobé 1</t>
  </si>
  <si>
    <t xml:space="preserve">FG annuel en dérobé 2</t>
  </si>
  <si>
    <t xml:space="preserve">Meteil 1</t>
  </si>
  <si>
    <t xml:space="preserve">Méteil 2</t>
  </si>
  <si>
    <t xml:space="preserve">Paille non traitée NH3</t>
  </si>
  <si>
    <t xml:space="preserve">Paille traitée NH3</t>
  </si>
  <si>
    <t xml:space="preserve">FOURRAGES pluriannuels (&gt; 2 ans)</t>
  </si>
  <si>
    <t xml:space="preserve">PT 1</t>
  </si>
  <si>
    <t xml:space="preserve">PT 2</t>
  </si>
  <si>
    <t xml:space="preserve">PT 3</t>
  </si>
  <si>
    <t xml:space="preserve">PT 4</t>
  </si>
  <si>
    <t xml:space="preserve">PT 5</t>
  </si>
  <si>
    <t xml:space="preserve">PT 6</t>
  </si>
  <si>
    <t xml:space="preserve">LEGUMINEUSES</t>
  </si>
  <si>
    <t xml:space="preserve">Luzerne seule</t>
  </si>
  <si>
    <t xml:space="preserve">Trèfles seuls</t>
  </si>
  <si>
    <t xml:space="preserve">Autres légum. seules</t>
  </si>
  <si>
    <t xml:space="preserve">Luzerne + graminées</t>
  </si>
  <si>
    <t xml:space="preserve">Trèfles + graminées</t>
  </si>
  <si>
    <t xml:space="preserve">FOURRAGES pérennes (&gt; 5 ans)</t>
  </si>
  <si>
    <t xml:space="preserve">PP 1</t>
  </si>
  <si>
    <t xml:space="preserve">PP 2</t>
  </si>
  <si>
    <t xml:space="preserve">PP 3</t>
  </si>
  <si>
    <t xml:space="preserve">PP 4</t>
  </si>
  <si>
    <t xml:space="preserve">INVENTAIRE CULTURES NON FOURRAGERES</t>
  </si>
  <si>
    <t xml:space="preserve">Achat / Vente</t>
  </si>
  <si>
    <t xml:space="preserve"> (pures, pop., mélange)</t>
  </si>
  <si>
    <t xml:space="preserve">en qx/ha 
ou t/ha</t>
  </si>
  <si>
    <t xml:space="preserve">Quantité 
en t brute</t>
  </si>
  <si>
    <t xml:space="preserve">Origine / Destination</t>
  </si>
  <si>
    <t xml:space="preserve">Cultures annuelles : </t>
  </si>
  <si>
    <t xml:space="preserve">Avoine grain</t>
  </si>
  <si>
    <t xml:space="preserve">Blé tendre</t>
  </si>
  <si>
    <t xml:space="preserve">Blé dur</t>
  </si>
  <si>
    <t xml:space="preserve">Colza ptps</t>
  </si>
  <si>
    <t xml:space="preserve">Maïs grain</t>
  </si>
  <si>
    <t xml:space="preserve">Orge grain</t>
  </si>
  <si>
    <t xml:space="preserve">Seigle grain</t>
  </si>
  <si>
    <t xml:space="preserve">Sorgho grain</t>
  </si>
  <si>
    <t xml:space="preserve">Tournesol grain</t>
  </si>
  <si>
    <t xml:space="preserve">Triticale</t>
  </si>
  <si>
    <t xml:space="preserve">Betteraves industrielles</t>
  </si>
  <si>
    <t xml:space="preserve">Association 1</t>
  </si>
  <si>
    <t xml:space="preserve">Association 2</t>
  </si>
  <si>
    <t xml:space="preserve">Légumineuse/ Protéagineuse:</t>
  </si>
  <si>
    <t xml:space="preserve">Féverole d'hiver</t>
  </si>
  <si>
    <t xml:space="preserve">Féverole de printemps</t>
  </si>
  <si>
    <t xml:space="preserve">Lupin de printemps</t>
  </si>
  <si>
    <t xml:space="preserve">Pois printemps</t>
  </si>
  <si>
    <t xml:space="preserve">Soja (grain)</t>
  </si>
  <si>
    <t xml:space="preserve">Maraîchage pleine terre: </t>
  </si>
  <si>
    <t xml:space="preserve">noter détail des vente par prod.</t>
  </si>
  <si>
    <t xml:space="preserve">Arboriculture : </t>
  </si>
  <si>
    <t xml:space="preserve">Pommes</t>
  </si>
  <si>
    <t xml:space="preserve">Poires </t>
  </si>
  <si>
    <t xml:space="preserve">Prunes </t>
  </si>
  <si>
    <t xml:space="preserve">Viticulture : </t>
  </si>
  <si>
    <t xml:space="preserve">Raisin de table</t>
  </si>
  <si>
    <t xml:space="preserve">Raisin jus ou vin</t>
  </si>
  <si>
    <t xml:space="preserve">Jachères</t>
  </si>
  <si>
    <t xml:space="preserve">Présence de parcelle en agroforesterie</t>
  </si>
  <si>
    <t xml:space="preserve">détail</t>
  </si>
  <si>
    <t xml:space="preserve">ROTATIONS</t>
  </si>
  <si>
    <r>
      <rPr>
        <b val="true"/>
        <sz val="10"/>
        <rFont val="Calibri"/>
        <family val="2"/>
        <charset val="1"/>
      </rPr>
      <t xml:space="preserve">Surface 
</t>
    </r>
    <r>
      <rPr>
        <b val="true"/>
        <sz val="8"/>
        <rFont val="Calibri"/>
        <family val="2"/>
        <charset val="1"/>
      </rPr>
      <t xml:space="preserve">(en ha)</t>
    </r>
  </si>
  <si>
    <r>
      <rPr>
        <b val="true"/>
        <sz val="10"/>
        <rFont val="Calibri"/>
        <family val="2"/>
        <charset val="1"/>
      </rPr>
      <t xml:space="preserve">Durée de la rotation </t>
    </r>
    <r>
      <rPr>
        <b val="true"/>
        <sz val="8"/>
        <rFont val="Calibri"/>
        <family val="2"/>
        <charset val="1"/>
      </rPr>
      <t xml:space="preserve">(an)</t>
    </r>
  </si>
  <si>
    <t xml:space="preserve">Cultures de la succession</t>
  </si>
  <si>
    <t xml:space="preserve">Rotation 1</t>
  </si>
  <si>
    <t xml:space="preserve">Rotation 2</t>
  </si>
  <si>
    <t xml:space="preserve">Rotation 3</t>
  </si>
  <si>
    <t xml:space="preserve">Rotation 4</t>
  </si>
  <si>
    <t xml:space="preserve">ENGRAIS MINERAUX</t>
  </si>
  <si>
    <t xml:space="preserve">Quantités utilisées</t>
  </si>
  <si>
    <t xml:space="preserve">tonnes</t>
  </si>
  <si>
    <t xml:space="preserve">K Chlorure de potasse</t>
  </si>
  <si>
    <t xml:space="preserve">K Patenkali</t>
  </si>
  <si>
    <t xml:space="preserve">K Sulfate de potasse</t>
  </si>
  <si>
    <t xml:space="preserve">N Ammonitrate</t>
  </si>
  <si>
    <t xml:space="preserve">N Cyanamide de chaux</t>
  </si>
  <si>
    <t xml:space="preserve">N Nitrate de chaux</t>
  </si>
  <si>
    <t xml:space="preserve">N Nitrate de chaux et magnésie</t>
  </si>
  <si>
    <t xml:space="preserve">N Nitrate de soude du Chili</t>
  </si>
  <si>
    <t xml:space="preserve">N Orgabio</t>
  </si>
  <si>
    <t xml:space="preserve">N Sulfate d'ammoniaque</t>
  </si>
  <si>
    <t xml:space="preserve">N Sulfonitrate</t>
  </si>
  <si>
    <t xml:space="preserve">N Urée - Perlurée</t>
  </si>
  <si>
    <t xml:space="preserve">NK Nitrate de Potasse</t>
  </si>
  <si>
    <t xml:space="preserve">NP Phosphate d'ammoniaque 18-46</t>
  </si>
  <si>
    <t xml:space="preserve">NPK Agrobio +</t>
  </si>
  <si>
    <t xml:space="preserve">NPK Azofort</t>
  </si>
  <si>
    <t xml:space="preserve">NPK Composts urbains</t>
  </si>
  <si>
    <t xml:space="preserve">NPK Engrais Ternaire 14-8-20</t>
  </si>
  <si>
    <t xml:space="preserve">NPK Guanofort</t>
  </si>
  <si>
    <t xml:space="preserve">P Scories Thomas</t>
  </si>
  <si>
    <t xml:space="preserve">P Super 18</t>
  </si>
  <si>
    <t xml:space="preserve">P Super 45</t>
  </si>
  <si>
    <t xml:space="preserve">N</t>
  </si>
  <si>
    <t xml:space="preserve">P2O5</t>
  </si>
  <si>
    <t xml:space="preserve">K2O</t>
  </si>
  <si>
    <t xml:space="preserve">PK Engrais Binaire </t>
  </si>
  <si>
    <t xml:space="preserve">kg /1000 kg d'engrais</t>
  </si>
  <si>
    <t xml:space="preserve">Tourbes</t>
  </si>
  <si>
    <t xml:space="preserve">ENGRAIS ORGANIQUES</t>
  </si>
  <si>
    <t xml:space="preserve">Quantité produite</t>
  </si>
  <si>
    <t xml:space="preserve">Quantité vendue</t>
  </si>
  <si>
    <t xml:space="preserve">Quantité importée</t>
  </si>
  <si>
    <t xml:space="preserve">Type d'engrais</t>
  </si>
  <si>
    <r>
      <rPr>
        <i val="true"/>
        <sz val="9"/>
        <rFont val="Calibri"/>
        <family val="2"/>
        <charset val="1"/>
      </rPr>
      <t xml:space="preserve">t ou m</t>
    </r>
    <r>
      <rPr>
        <vertAlign val="superscript"/>
        <sz val="11"/>
        <rFont val="Calibri"/>
        <family val="2"/>
        <charset val="1"/>
      </rPr>
      <t xml:space="preserve">3</t>
    </r>
  </si>
  <si>
    <t xml:space="preserve">Bovin : Fumier très compact, litière accumulée</t>
  </si>
  <si>
    <t xml:space="preserve">Bovin : Fumier compact</t>
  </si>
  <si>
    <t xml:space="preserve">Bovin : Fumier mou logette</t>
  </si>
  <si>
    <t xml:space="preserve">Lisier bovins à l'engrais</t>
  </si>
  <si>
    <t xml:space="preserve">Lisier autres bovins</t>
  </si>
  <si>
    <t xml:space="preserve">Lisier bovin dilué</t>
  </si>
  <si>
    <t xml:space="preserve">Lisier bovin très dilué</t>
  </si>
  <si>
    <t xml:space="preserve">Purin bovin pur</t>
  </si>
  <si>
    <t xml:space="preserve">Lixiviat bovin (purins dilués de fumières)</t>
  </si>
  <si>
    <t xml:space="preserve">Lisier poules pondeuses</t>
  </si>
  <si>
    <t xml:space="preserve">Fientes poules pondeuses</t>
  </si>
  <si>
    <t xml:space="preserve">Fientes préséchées sur tapis</t>
  </si>
  <si>
    <t xml:space="preserve">Fientes séchées sous hangar</t>
  </si>
  <si>
    <t xml:space="preserve">Lisier de porc à l'engrais (caillebotis)</t>
  </si>
  <si>
    <t xml:space="preserve">Lisier de porcs mixte (fosse extérieure)</t>
  </si>
  <si>
    <t xml:space="preserve">Porcs : Fumier de litière accumulée</t>
  </si>
  <si>
    <t xml:space="preserve">Porcs : Fumier de litière raclée</t>
  </si>
  <si>
    <t xml:space="preserve">Algues de mer</t>
  </si>
  <si>
    <t xml:space="preserve">Boue Station épuration</t>
  </si>
  <si>
    <t xml:space="preserve">Compost  méthode Guernevez</t>
  </si>
  <si>
    <t xml:space="preserve">Compost à base de marc de raisin</t>
  </si>
  <si>
    <t xml:space="preserve">Compost de déchets verts</t>
  </si>
  <si>
    <t xml:space="preserve">Compost de déchets verts + fientes de volaille</t>
  </si>
  <si>
    <t xml:space="preserve">Compost de déchets verts + fumier de volaille</t>
  </si>
  <si>
    <t xml:space="preserve">Compost de déchets verts avec lisier de porc</t>
  </si>
  <si>
    <t xml:space="preserve">Compost fumier bovins &lt; 6 mois</t>
  </si>
  <si>
    <t xml:space="preserve">Compost fumier porc litière accumulée</t>
  </si>
  <si>
    <t xml:space="preserve">Compost fumier porc litière raclée</t>
  </si>
  <si>
    <t xml:space="preserve">Compost fumier volailles</t>
  </si>
  <si>
    <t xml:space="preserve">Compost fumiers + tourt. (type Végor, Végéh)</t>
  </si>
  <si>
    <t xml:space="preserve">Marc de Raisin</t>
  </si>
  <si>
    <t xml:space="preserve">Si épandage de boues de stations d'épuration, prise en compte de la qualité des boues ?</t>
  </si>
  <si>
    <t xml:space="preserve">Part des effluents venant du territoire (en tonnes) :</t>
  </si>
  <si>
    <t xml:space="preserve">Echanges paille-fumier ou équivalent :</t>
  </si>
  <si>
    <t xml:space="preserve">DIVERSITE DES CULTURES</t>
  </si>
  <si>
    <t xml:space="preserve">Participation à des programmes de création/sélection variétale, entretien des ressources génétiques sur des espèces anciennes :</t>
  </si>
  <si>
    <t xml:space="preserve">sélection participative avec possibilité d'en bénéficier</t>
  </si>
  <si>
    <t xml:space="preserve">Prise en compte de critères de tolérance/résistance à des stress biotiques et abiotiques dans les choix variétaux ?</t>
  </si>
  <si>
    <t xml:space="preserve">y compris pour les port-greffes</t>
  </si>
  <si>
    <t xml:space="preserve">Grandes cultures / Arbo</t>
  </si>
  <si>
    <t xml:space="preserve">Nom variétés de la culture principale</t>
  </si>
  <si>
    <t xml:space="preserve">Surface (ha)</t>
  </si>
  <si>
    <t xml:space="preserve"> Arboriculture</t>
  </si>
  <si>
    <t xml:space="preserve">A3</t>
  </si>
  <si>
    <t xml:space="preserve">Durée de l'interculture en arboriculture :</t>
  </si>
  <si>
    <t xml:space="preserve">Qualité de l'interculture :</t>
  </si>
  <si>
    <t xml:space="preserve">Sol nu ou jachère</t>
  </si>
  <si>
    <t xml:space="preserve">Couvert enrichissant le sol en MO</t>
  </si>
  <si>
    <t xml:space="preserve">Couvert à effet nematicide</t>
  </si>
  <si>
    <t xml:space="preserve">Nombre de cépages sur l'exploitation :</t>
  </si>
  <si>
    <t xml:space="preserve">Pratique de l'encépagement polyclonale :</t>
  </si>
  <si>
    <t xml:space="preserve">Présence de cépage très peu représenté dans la zone d'appellation :</t>
  </si>
  <si>
    <t xml:space="preserve">Durée de l'interculture en viticulture</t>
  </si>
  <si>
    <t xml:space="preserve">A1</t>
  </si>
  <si>
    <t xml:space="preserve">Nombre de familles botaniques cultivées sur l'exploitation : </t>
  </si>
  <si>
    <t xml:space="preserve">Est-ce que la diversification des familles botaniques est présente toute l'année ? </t>
  </si>
  <si>
    <t xml:space="preserve">L'explotation produit-elle des légumes des trois catégories : tige/feuille; racine/tubercule/bulbe; fruits ? </t>
  </si>
  <si>
    <t xml:space="preserve">Nbre d'espèces botaniques cultivées en 3 variétés ou + :</t>
  </si>
  <si>
    <t xml:space="preserve">Présence de variété population dans la production :</t>
  </si>
  <si>
    <t xml:space="preserve">Nombre de familles botaniques différentes dans le cycle de rotation le plus important en surface :  </t>
  </si>
  <si>
    <t xml:space="preserve">Présence dans le cycle de rotation de la même famille botanique deux fois de suite :  </t>
  </si>
  <si>
    <t xml:space="preserve">Intégration de couverts intermédiaires à objectif agronomique dans les rotations :  </t>
  </si>
  <si>
    <t xml:space="preserve">A4</t>
  </si>
  <si>
    <t xml:space="preserve">Mise en place de cultures associés et/ou semis sous couvert sur une même planche </t>
  </si>
  <si>
    <t xml:space="preserve">SEMENCE ET GENETIQUE</t>
  </si>
  <si>
    <t xml:space="preserve">A6</t>
  </si>
  <si>
    <t xml:space="preserve">Surfaces cultivées en semences de ferme et/ou en « plants et greffons de ferme » (en %) :</t>
  </si>
  <si>
    <t xml:space="preserve">Démarche de sélection variétale, reproduction et/ou échanges de semences :</t>
  </si>
  <si>
    <t xml:space="preserve">Lesquelles: </t>
  </si>
  <si>
    <r>
      <rPr>
        <sz val="11"/>
        <color rgb="FF000000"/>
        <rFont val="Calibri"/>
        <family val="2"/>
        <charset val="1"/>
      </rPr>
      <t xml:space="preserve">Présence de variétés/cépages </t>
    </r>
    <r>
      <rPr>
        <b val="true"/>
        <sz val="11"/>
        <color rgb="FF000000"/>
        <rFont val="Calibri"/>
        <family val="2"/>
        <charset val="1"/>
      </rPr>
      <t xml:space="preserve">locaux</t>
    </r>
    <r>
      <rPr>
        <sz val="11"/>
        <color rgb="FF000000"/>
        <rFont val="Calibri"/>
        <family val="2"/>
        <charset val="1"/>
      </rPr>
      <t xml:space="preserve"> à faibles effectifs rentrant dans l’acte de production</t>
    </r>
  </si>
  <si>
    <t xml:space="preserve">GESTION PHYTO.</t>
  </si>
  <si>
    <t xml:space="preserve">Stratégie d'alternance des matières actives et lutte contre les résistance :</t>
  </si>
  <si>
    <t xml:space="preserve">Totale et systématique</t>
  </si>
  <si>
    <t xml:space="preserve">Partielle ou occasionnelle</t>
  </si>
  <si>
    <t xml:space="preserve">Aucune alternance</t>
  </si>
  <si>
    <t xml:space="preserve">A17</t>
  </si>
  <si>
    <t xml:space="preserve">Utilisation de matériel anti-dérive :</t>
  </si>
  <si>
    <t xml:space="preserve">Utilisation de produits de type CMR ou perturbateurs endocriniens (cancerogène, mutagène, …):</t>
  </si>
  <si>
    <t xml:space="preserve">Mise en place de pratiques alternatives pour gérer les adventices, pathogènes et/ou ravageurs :</t>
  </si>
  <si>
    <t xml:space="preserve">dans une stratégie d'action sur le stock initiale :</t>
  </si>
  <si>
    <t xml:space="preserve">dans une stratégie d'évitement :</t>
  </si>
  <si>
    <t xml:space="preserve">dans une stratégie d'atténuation en végétation :</t>
  </si>
  <si>
    <t xml:space="preserve">dans une stratégie de solution mécaniques et biologiques :</t>
  </si>
  <si>
    <t xml:space="preserve">SAU recevant au moins un insecticide  y compris  traitement de semences, hors produit de biocontrôle (ha) :</t>
  </si>
  <si>
    <t xml:space="preserve">Inventaire traitements </t>
  </si>
  <si>
    <t xml:space="preserve">Culture</t>
  </si>
  <si>
    <t xml:space="preserve">Nom produit</t>
  </si>
  <si>
    <t xml:space="preserve">Poste</t>
  </si>
  <si>
    <t xml:space="preserve">dose utilisée 
à l'ha</t>
  </si>
  <si>
    <t xml:space="preserve">dose homologuée</t>
  </si>
  <si>
    <t xml:space="preserve">surface traitée</t>
  </si>
  <si>
    <t xml:space="preserve">surface parcelle</t>
  </si>
  <si>
    <t xml:space="preserve">H: Herbicide
F: Fongicide
I: Insecticide</t>
  </si>
  <si>
    <t xml:space="preserve">IV - Gestion ressources 
(Eau, Air, Sol, Biodiversité, Energier …)</t>
  </si>
  <si>
    <t xml:space="preserve">GESTION DU SOL</t>
  </si>
  <si>
    <t xml:space="preserve">Legumineuse et N</t>
  </si>
  <si>
    <t xml:space="preserve">A8</t>
  </si>
  <si>
    <t xml:space="preserve">Surface de cultures intermédiaires en légumineuses :</t>
  </si>
  <si>
    <t xml:space="preserve">Surface de cultures pérennes enherbées avec des légumineuses :</t>
  </si>
  <si>
    <t xml:space="preserve">Surface en agroforesterie avec au moins 50% d'essences de légumineuses :</t>
  </si>
  <si>
    <t xml:space="preserve">Matière Organique</t>
  </si>
  <si>
    <t xml:space="preserve">A13</t>
  </si>
  <si>
    <t xml:space="preserve">Surface où sont mises en place des actions de gestion spécifique de la MO :</t>
  </si>
  <si>
    <t xml:space="preserve">lesquels:</t>
  </si>
  <si>
    <t xml:space="preserve">Brulage des pailles :</t>
  </si>
  <si>
    <t xml:space="preserve">Contamination par des métaux lourds :</t>
  </si>
  <si>
    <t xml:space="preserve">Cuivre en fongicide, apport de lisier de porc (Cd, Zn) ou boue de STEP, …</t>
  </si>
  <si>
    <t xml:space="preserve">Vie biologique des sols</t>
  </si>
  <si>
    <t xml:space="preserve">Couverture permanente du sol (au moins 3 ans) (ha)</t>
  </si>
  <si>
    <t xml:space="preserve">Surface non travaillée (semi direct) (ha)</t>
  </si>
  <si>
    <t xml:space="preserve">Surface ne recevant PAS de produits phytosanitaires (ha):</t>
  </si>
  <si>
    <t xml:space="preserve">Recours à la désinfection vapeur des sols :</t>
  </si>
  <si>
    <t xml:space="preserve">Erosion</t>
  </si>
  <si>
    <t xml:space="preserve">Mise en place de mesure spécifique pour contrer l'érosion :</t>
  </si>
  <si>
    <t xml:space="preserve">QUALITE DE L'AIR</t>
  </si>
  <si>
    <t xml:space="preserve">Nombre de passages d'engins émetteurs de particules et de gaz précurseurs sur la culture principale :</t>
  </si>
  <si>
    <t xml:space="preserve">,</t>
  </si>
  <si>
    <t xml:space="preserve">Travail du sol, récolte de tubercules, moissons, enfouissement de résidus, épandage d'engrais uréique, de lisier, d'engrais uréique, …</t>
  </si>
  <si>
    <t xml:space="preserve">Nombres de pratiques de réduction des émissions de particules et de gaz précurseurs :</t>
  </si>
  <si>
    <t xml:space="preserve">Exemples de pratiques: couverture des fosses, filtration de l’air, lavage de l'air, pendillards, injection, enfouissement, séchage des fientes, activateur de litière, haie brise vent, limitation/mutualisation des transports, matériel de chauffage et de réfrégiration économe, méthanisation avec récupération des gaz fermentiscibles…</t>
  </si>
  <si>
    <t xml:space="preserve">ENERGIE ET GES</t>
  </si>
  <si>
    <t xml:space="preserve">Utilisation d'énergie produite sur l'exploitation ou valorisation directe d'énergie renouvelable :</t>
  </si>
  <si>
    <t xml:space="preserve">détails:</t>
  </si>
  <si>
    <t xml:space="preserve">A11</t>
  </si>
  <si>
    <t xml:space="preserve">Consommation en énergie</t>
  </si>
  <si>
    <t xml:space="preserve">Unité d'entrée</t>
  </si>
  <si>
    <t xml:space="preserve">Quantité consommée</t>
  </si>
  <si>
    <t xml:space="preserve">électricité de l'exploitation</t>
  </si>
  <si>
    <t xml:space="preserve">kWh</t>
  </si>
  <si>
    <t xml:space="preserve">fioul, essence, gazoil</t>
  </si>
  <si>
    <t xml:space="preserve">y compris par les éventuels prestataires de service sur l'exploitation</t>
  </si>
  <si>
    <t xml:space="preserve">biocarburburant</t>
  </si>
  <si>
    <t xml:space="preserve">gaz naturel, propane/butane</t>
  </si>
  <si>
    <t xml:space="preserve">kg</t>
  </si>
  <si>
    <t xml:space="preserve">biogaz  (65% méthane)</t>
  </si>
  <si>
    <t xml:space="preserve">bois</t>
  </si>
  <si>
    <t xml:space="preserve">kg MS</t>
  </si>
  <si>
    <t xml:space="preserve">Miscanthus</t>
  </si>
  <si>
    <t xml:space="preserve">charbon</t>
  </si>
  <si>
    <t xml:space="preserve">lubrifiant</t>
  </si>
  <si>
    <t xml:space="preserve">pailles</t>
  </si>
  <si>
    <t xml:space="preserve">A18</t>
  </si>
  <si>
    <t xml:space="preserve">Nombre d'arbre implanté en agroforesterie</t>
  </si>
  <si>
    <t xml:space="preserve">Production d’énergie sur l’exploitation à partir de ressources locales (méthanisation, chaudière bois, …)</t>
  </si>
  <si>
    <t xml:space="preserve"> (autre qu'agro-carburants de 1ère génération et fermes solaires avec panneaux au sol) </t>
  </si>
  <si>
    <t xml:space="preserve">Utilisation d’énergie produite sur le territoire locale :</t>
  </si>
  <si>
    <t xml:space="preserve">EAU</t>
  </si>
  <si>
    <t xml:space="preserve">Exploitation prélevant de l'eau</t>
  </si>
  <si>
    <t xml:space="preserve">A9</t>
  </si>
  <si>
    <t xml:space="preserve">Exploitation implantée dans une zone de conflit sur l'eau</t>
  </si>
  <si>
    <t xml:space="preserve">Origine du prélèvement</t>
  </si>
  <si>
    <t xml:space="preserve">Eaux souterraines</t>
  </si>
  <si>
    <t xml:space="preserve">Eaux superficielles</t>
  </si>
  <si>
    <t xml:space="preserve">Retenues collinaires</t>
  </si>
  <si>
    <t xml:space="preserve">Quantité totale d'eau prélevée annuellement</t>
  </si>
  <si>
    <r>
      <rPr>
        <sz val="11"/>
        <rFont val="Calibri"/>
        <family val="2"/>
        <charset val="1"/>
      </rPr>
      <t xml:space="preserve">m</t>
    </r>
    <r>
      <rPr>
        <vertAlign val="superscript"/>
        <sz val="11"/>
        <rFont val="Calibri"/>
        <family val="2"/>
        <charset val="1"/>
      </rPr>
      <t xml:space="preserve">3</t>
    </r>
  </si>
  <si>
    <t xml:space="preserve">A12</t>
  </si>
  <si>
    <t xml:space="preserve">Présence de sous-compteurs ou de vannes d'arrêt sur les différents réseaux :</t>
  </si>
  <si>
    <t xml:space="preserve">Abreuvement en elevage</t>
  </si>
  <si>
    <t xml:space="preserve">Exploitation en système herbagé avec pâturage dominant</t>
  </si>
  <si>
    <t xml:space="preserve">Utilisation de technique ou de matériel d'abreuvement économe en eau</t>
  </si>
  <si>
    <t xml:space="preserve">Exploitation irrigante</t>
  </si>
  <si>
    <t xml:space="preserve">Réutilisation d’eau de station ou de process agro-alimentaire pour irrigation :</t>
  </si>
  <si>
    <t xml:space="preserve">Type de culture irrigué</t>
  </si>
  <si>
    <t xml:space="preserve">Maraichage sous serres - Cultures florales sous serres - Arboriculture</t>
  </si>
  <si>
    <t xml:space="preserve">Systèmes en grandes cultures avec cultures irriguées dominantes de maïs, soja, pomme de terre ou légumes plein champ</t>
  </si>
  <si>
    <t xml:space="preserve">Autres cultures irriguées</t>
  </si>
  <si>
    <t xml:space="preserve">Aucune culture irriguée</t>
  </si>
  <si>
    <t xml:space="preserve">Mise en place de stratégies d'irrigation économes :</t>
  </si>
  <si>
    <t xml:space="preserve">Irrigation à l’ETM, variété précoce, date de semis précoce, réduction de la densité, paillage, BRF…</t>
  </si>
  <si>
    <r>
      <rPr>
        <sz val="11"/>
        <color rgb="FF000000"/>
        <rFont val="Calibri"/>
        <family val="2"/>
        <charset val="1"/>
      </rPr>
      <t xml:space="preserve">Utilisation de technique ou de matériel d'irrigation économe en eau</t>
    </r>
    <r>
      <rPr>
        <i val="true"/>
        <sz val="8"/>
        <color rgb="FF000000"/>
        <rFont val="Calibri"/>
        <family val="2"/>
        <charset val="1"/>
      </rPr>
      <t xml:space="preserve"> 
(micro irrigation, goutte à goute, pivot ou rampe frontale)</t>
    </r>
  </si>
  <si>
    <t xml:space="preserve">Autres usages</t>
  </si>
  <si>
    <t xml:space="preserve">Utilisation de technique ou de matériel de lavage des batiments et du matériel économe en eau</t>
  </si>
  <si>
    <t xml:space="preserve">Utilisation de technique ou de matériel de lavage des prodiuits économe en eau</t>
  </si>
  <si>
    <t xml:space="preserve">Récupération significative et réutilisation des eaux de pluie, eaux de drainage, eaux de lavage pour les besoins de l'exploitation</t>
  </si>
  <si>
    <t xml:space="preserve">Qualité de l'eau</t>
  </si>
  <si>
    <t xml:space="preserve">A16</t>
  </si>
  <si>
    <t xml:space="preserve">Fertilisation minérale ou apport de lisier entre septembre et novembre :</t>
  </si>
  <si>
    <t xml:space="preserve">Mise en place d'actions pour limiter les transferts lors des traitements</t>
  </si>
  <si>
    <t xml:space="preserve">Enherbement des cultures pérennes, dispositif de remédiation (bassin "de décantation" avant rejet), protection par enherbement des zones de transfert rapide (au-delà des obligations BCAE), semis sous couvert permanent sans destruction chimique</t>
  </si>
  <si>
    <t xml:space="preserve">Surface en culture à forte capacité d'absorption d'azote pendant le drainage à l'automne (ha)</t>
  </si>
  <si>
    <t xml:space="preserve">Comprend:
les CIPAN implantés au plus 3 semaines après les récoltes d'été (au 15 septembre max), durant au moins 3 mois ;
les cultures de vente pièges à nitrates (notamment les crucifères et le colza, mais aussi les choux, poireaux, épinards, betteraves, céleris, salades d'hivers) ;
les PT de plus de 1 an qui ne seront pas retournées dans l'année ;
les PP et les surfaces enherbées en culture pérenne ;</t>
  </si>
  <si>
    <t xml:space="preserve">GESTION DE LA BIODIVERSITE</t>
  </si>
  <si>
    <t xml:space="preserve">Gestion de l'espace</t>
  </si>
  <si>
    <t xml:space="preserve">linéaire</t>
  </si>
  <si>
    <t xml:space="preserve">surface</t>
  </si>
  <si>
    <t xml:space="preserve">m</t>
  </si>
  <si>
    <t xml:space="preserve">Haies basses</t>
  </si>
  <si>
    <t xml:space="preserve">Agroforesterie intraparcellaire</t>
  </si>
  <si>
    <t xml:space="preserve">Arbres denses, lisière forêt</t>
  </si>
  <si>
    <t xml:space="preserve">Tourbières</t>
  </si>
  <si>
    <t xml:space="preserve">Arbres isolés (nb arbre)</t>
  </si>
  <si>
    <t xml:space="preserve">Prairies permanentes</t>
  </si>
  <si>
    <t xml:space="preserve">Mares, lavognes (m de perimetre)</t>
  </si>
  <si>
    <t xml:space="preserve">Ripisylve</t>
  </si>
  <si>
    <t xml:space="preserve">Bordures et bandes enherbées </t>
  </si>
  <si>
    <t xml:space="preserve">Murets et terrasses</t>
  </si>
  <si>
    <t xml:space="preserve">Enherbement permanent des cultures perennes 
(avec au moins 30% peu fauché)</t>
  </si>
  <si>
    <t xml:space="preserve">Nombre d'unités spatiales supérieures à 12 ha</t>
  </si>
  <si>
    <t xml:space="preserve">Pour arboriculture, viticulture ou maraichage: 
Nombre d'unités spatiales supérieures à  6 ha.</t>
  </si>
  <si>
    <t xml:space="preserve">Implantations de jachères/intercultures mellifères, ou bandes fleuries à destination des insectes pollinisateurs :</t>
  </si>
  <si>
    <t xml:space="preserve">Mode de gestion des zones non-productives :</t>
  </si>
  <si>
    <t xml:space="preserve">sans phyto entretien écologique</t>
  </si>
  <si>
    <t xml:space="preserve">sans phyto entretien intensif</t>
  </si>
  <si>
    <t xml:space="preserve">présence phyto</t>
  </si>
  <si>
    <t xml:space="preserve">aucune zone non productive</t>
  </si>
  <si>
    <t xml:space="preserve">B23 </t>
  </si>
  <si>
    <t xml:space="preserve">Tenir compte de la faune sauvage</t>
  </si>
  <si>
    <t xml:space="preserve">Mise en place/entretien d'habitats pour la faune sauvage</t>
  </si>
  <si>
    <t xml:space="preserve">Présence et entretien de haies, rangées d'arbres ou bosquets</t>
  </si>
  <si>
    <t xml:space="preserve">Bandes enherbées, bord de champs ou enherbement permanent des cultures pérennes avec une gestion favorable à la faune</t>
  </si>
  <si>
    <t xml:space="preserve">Mare et plan d'eau</t>
  </si>
  <si>
    <t xml:space="preserve">Implantation d'intercultures ou de jachères favorables à la faune sauvage</t>
  </si>
  <si>
    <t xml:space="preserve">Maintien d'habitats dans les parcelles 
(retard de la fauche après le 15 juillet, maintien des chaumes d'environ 20 cm et/ou de bandes refuges non-récoltées)</t>
  </si>
  <si>
    <t xml:space="preserve">Libre accès aux étabes et toitures de bâtiments pour la nidification</t>
  </si>
  <si>
    <t xml:space="preserve">Mise en place de nichoir (oiseaux, insectes, chauve-souris, etc….)</t>
  </si>
  <si>
    <t xml:space="preserve">Cohabiter avec la faune sauvage et éviter les accidents</t>
  </si>
  <si>
    <t xml:space="preserve">Largeur de travail réduite et utilisation de barres d'effarouchement (moisson, herse, …)</t>
  </si>
  <si>
    <t xml:space="preserve">Fauche ou récolte à faible vitesse (&lt; 15 km/h), notamment en bords de champs (&lt;10km/h)</t>
  </si>
  <si>
    <t xml:space="preserve">Fauche ou récolte selon un itinéraire centrifuge</t>
  </si>
  <si>
    <t xml:space="preserve">Limitation de l'utilisation d'intrants à partir de mars sur les lisières des parcelles</t>
  </si>
  <si>
    <t xml:space="preserve">Utilisation de repulsifs (non toxiques), d'effaroucheurs sonores ou visuels comme mesure de prévention non-létale</t>
  </si>
  <si>
    <t xml:space="preserve">Chantier de récolte nocturne </t>
  </si>
  <si>
    <t xml:space="preserve">V - Aspects socio-territoriaux</t>
  </si>
  <si>
    <t xml:space="preserve">APPROVISIONNEMENT</t>
  </si>
  <si>
    <t xml:space="preserve">Vous arrive-t-il d’avoir des problèmes d’approvisionnement : qualité, quantité, délais?</t>
  </si>
  <si>
    <t xml:space="preserve">Approvisionnement en semences, phytos, engrais, aliments.
HORS RESSOURSES FOURRAGERES</t>
  </si>
  <si>
    <t xml:space="preserve">Aucun problème</t>
  </si>
  <si>
    <t xml:space="preserve">Je trouve tout ce que je veux, en quantité et livré rapidement</t>
  </si>
  <si>
    <t xml:space="preserve">Problèmes mineurs</t>
  </si>
  <si>
    <t xml:space="preserve">Quelques gammes sont inaccessibles ou limitées. Les délais sont parfois un peu longs.  </t>
  </si>
  <si>
    <t xml:space="preserve">Problèmes majeurs</t>
  </si>
  <si>
    <t xml:space="preserve">Je n’ai pas de choix dans différentes gammes. Au moins un produit manque en quantité. </t>
  </si>
  <si>
    <t xml:space="preserve">Pb de sécurisation</t>
  </si>
  <si>
    <t xml:space="preserve">Au moins un produit essentiel est introuvable. Certaines commandes ne sont pas livrées. </t>
  </si>
  <si>
    <t xml:space="preserve">Vous arrive-t-il d’avoir des problèmes d'accès et de disponibilité des moyens de collecte?</t>
  </si>
  <si>
    <t xml:space="preserve">Diversité des collecte (individuel, collective, privée), pluralité des acteurs, problème de délais de collecte</t>
  </si>
  <si>
    <t xml:space="preserve">Choix entre les options de collectes, acteurs nombreux. Pas problème de délais</t>
  </si>
  <si>
    <t xml:space="preserve">Seuls qqs acteurs de collecte sont disponibles. J’ai déjà eu des problèmes de délais. </t>
  </si>
  <si>
    <t xml:space="preserve">Un seul acteur de collecte est disponible. Il est fréquent qu’il y ait des problèmes de délais </t>
  </si>
  <si>
    <t xml:space="preserve">Une production n’est pas collectée. Le retard m’a déjà fait perdre une partie de ma prod.</t>
  </si>
  <si>
    <t xml:space="preserve">Approvisionnements significatifs en produits locaux (emballages, bouteilles, …)</t>
  </si>
  <si>
    <t xml:space="preserve">MATERIEL EQUIPEMENT ET MUTUALISATION</t>
  </si>
  <si>
    <t xml:space="preserve">Autoconstruction en matière de machinisme ou adaptation de matériel existant :</t>
  </si>
  <si>
    <t xml:space="preserve">Autonomie dans la réparation du matériel agricole (hors entretien courant): </t>
  </si>
  <si>
    <t xml:space="preserve">Utilisation de matériaux (cloture, bâti, construction):</t>
  </si>
  <si>
    <t xml:space="preserve">produits sur l’exploitation ou en groupe </t>
  </si>
  <si>
    <t xml:space="preserve">produits localement</t>
  </si>
  <si>
    <t xml:space="preserve">B13</t>
  </si>
  <si>
    <t xml:space="preserve">Mutualisation des matériels / équipements / bâtiments / services :</t>
  </si>
  <si>
    <t xml:space="preserve">CUMA, copropriété, atelier de transfo ou de vente collectif, …</t>
  </si>
  <si>
    <t xml:space="preserve">B15</t>
  </si>
  <si>
    <t xml:space="preserve">Mutualisation de projets productifs :</t>
  </si>
  <si>
    <t xml:space="preserve">Assolement en commun, projet en commun de diversification, points de vente partagés…</t>
  </si>
  <si>
    <t xml:space="preserve">CHARTE et LABELS</t>
  </si>
  <si>
    <t xml:space="preserve">B3</t>
  </si>
  <si>
    <t xml:space="preserve">Obtention d'un lable de qualité</t>
  </si>
  <si>
    <t xml:space="preserve">Liée au territoire: IGP</t>
  </si>
  <si>
    <t xml:space="preserve">Liée au territoire: AOP ou AOC</t>
  </si>
  <si>
    <t xml:space="preserve">Liée au process (label rouge et autres normes STG) :</t>
  </si>
  <si>
    <t xml:space="preserve">Liée à la nutrition (lait de système herbager, alimentation à base de lin…) :</t>
  </si>
  <si>
    <t xml:space="preserve">Agriculture Biologique (AB) :</t>
  </si>
  <si>
    <t xml:space="preserve">B6</t>
  </si>
  <si>
    <t xml:space="preserve">Contractualisation pour la prévention des risques naturels pour la collectivité :</t>
  </si>
  <si>
    <t xml:space="preserve">Limiter les crues par présence de prairies inondables, limiter les coulées de boue, lutte contre les incendies (DFCI)...</t>
  </si>
  <si>
    <t xml:space="preserve">Adhésion à des chartes environnementales, contractualisation de programmes locaux environnementaux :</t>
  </si>
  <si>
    <t xml:space="preserve">oui, sur moins de 50% de SAU</t>
  </si>
  <si>
    <t xml:space="preserve">oui, sur plus de 50% de SAU</t>
  </si>
  <si>
    <t xml:space="preserve">Part de la SAU sous respect d’un cahier des charges territorialisé, lié ou non à un dédomagement :
-MAET;  -MAEC système;  -Contrat lié au document d'objectif des sites Natura 2000;  -Préservation des captages
-Conventions avec des Parcs Naturels Régionaux, Réserves Naturelles, ou des Conservatoires de Sites
-Tout autre engagement de respect d'un cahier des charges précis dans des objectifs environnementaux et/ou patrimoniaux</t>
  </si>
  <si>
    <t xml:space="preserve">PERTES ET GASPILLAGES</t>
  </si>
  <si>
    <t xml:space="preserve">B4</t>
  </si>
  <si>
    <t xml:space="preserve">Actions pour limiter les pertes et le gaspillage :</t>
  </si>
  <si>
    <t xml:space="preserve">Participation à un programme de prévention, de formation contre gaspillage</t>
  </si>
  <si>
    <t xml:space="preserve">Présence d'une capacité de stockage adaptée et de qualité sur l'exploitation</t>
  </si>
  <si>
    <r>
      <rPr>
        <sz val="10"/>
        <color rgb="FF333333"/>
        <rFont val="Calibri"/>
        <family val="2"/>
        <charset val="1"/>
      </rPr>
      <t xml:space="preserve">Développement d'action sociale pour limiter les pertes de produits restés au champ (toutes formes de glanage associatif ou d’ateliers</t>
    </r>
    <r>
      <rPr>
        <sz val="10"/>
        <color rgb="FF0000FF"/>
        <rFont val="Calibri"/>
        <family val="2"/>
        <charset val="1"/>
      </rPr>
      <t xml:space="preserve"> </t>
    </r>
    <r>
      <rPr>
        <sz val="10"/>
        <color rgb="FF000000"/>
        <rFont val="Calibri"/>
        <family val="2"/>
        <charset val="1"/>
      </rPr>
      <t xml:space="preserve">cueillette à la ferme</t>
    </r>
    <r>
      <rPr>
        <sz val="10"/>
        <color rgb="FF333333"/>
        <rFont val="Calibri"/>
        <family val="2"/>
        <charset val="1"/>
      </rPr>
      <t xml:space="preserve">)</t>
    </r>
  </si>
  <si>
    <t xml:space="preserve">Dons à des associations d’aide alimentaire</t>
  </si>
  <si>
    <t xml:space="preserve">Dons ou trocs/échanges des produits autres qu'aux associations</t>
  </si>
  <si>
    <t xml:space="preserve">Valorisation alimentaire des produits non conformes aux standards des distributeurs ou des transformateurs, ou commercialisation sans marché rémunérateur, ou adhésion à des groupements de producteurs ou de coopératives valorisant ces types de produits </t>
  </si>
  <si>
    <t xml:space="preserve">Transformation et valorisation à destination alimentaire de tout produit qui aurait été écarté, y compris co- et sous-produits (sous toutes leurs formes)</t>
  </si>
  <si>
    <t xml:space="preserve">Autres</t>
  </si>
  <si>
    <t xml:space="preserve">GESTION DES DECHETS</t>
  </si>
  <si>
    <t xml:space="preserve">Présence</t>
  </si>
  <si>
    <t xml:space="preserve">Pratiques</t>
  </si>
  <si>
    <t xml:space="preserve">B12</t>
  </si>
  <si>
    <t xml:space="preserve">Oui / Non</t>
  </si>
  <si>
    <t xml:space="preserve">Tri, recyclage, autre</t>
  </si>
  <si>
    <t xml:space="preserve">Types de déchets</t>
  </si>
  <si>
    <t xml:space="preserve">Déchets dangereux</t>
  </si>
  <si>
    <t xml:space="preserve">Batteries, huiles usagées, déchets amiantés</t>
  </si>
  <si>
    <t xml:space="preserve">Produits phytosanitaires, médicaments et  déchets de soins à risques infectieux DASRI (gants, compresses, seringues…), produits lessiviels et leurs emballages</t>
  </si>
  <si>
    <t xml:space="preserve">Autres (ampoules, tubes néons, ampoules infrarouges, à vapeur de sodium…)</t>
  </si>
  <si>
    <t xml:space="preserve">Déchets volumineux </t>
  </si>
  <si>
    <t xml:space="preserve">Déchets plastiques et pneumatiques</t>
  </si>
  <si>
    <t xml:space="preserve">Pratiques à risques dans la gestion des déchets</t>
  </si>
  <si>
    <t xml:space="preserve">Brûlage, dépôt sauvage, enfouissement, abandon</t>
  </si>
  <si>
    <t xml:space="preserve">Valorisation de boues de station et/ou autres déchets urbains transformés :</t>
  </si>
  <si>
    <t xml:space="preserve">Autres utilisation de sous produit issu de la collectivité</t>
  </si>
  <si>
    <t xml:space="preserve">SERVICES RENDUS AU TERRITOIRE</t>
  </si>
  <si>
    <t xml:space="preserve">B7</t>
  </si>
  <si>
    <t xml:space="preserve">Services marchands (rétribué):</t>
  </si>
  <si>
    <t xml:space="preserve">Agrotourisme :</t>
  </si>
  <si>
    <t xml:space="preserve">Ferme pédagogique :</t>
  </si>
  <si>
    <t xml:space="preserve">Services marchands rendus au territoire :</t>
  </si>
  <si>
    <t xml:space="preserve">B11</t>
  </si>
  <si>
    <t xml:space="preserve">Accessibilité de l'espace</t>
  </si>
  <si>
    <t xml:space="preserve">En zone rurale :</t>
  </si>
  <si>
    <t xml:space="preserve">(libre accès des chemins aux randonnneurs, VTT, chevaux, parapentes,…)</t>
  </si>
  <si>
    <t xml:space="preserve">En zone urbaine : </t>
  </si>
  <si>
    <t xml:space="preserve">(libre accès des chemins privatifs)</t>
  </si>
  <si>
    <t xml:space="preserve">Entretien des chemins de randonnée ou de voirie d'accès : </t>
  </si>
  <si>
    <t xml:space="preserve">PATRIMOINE</t>
  </si>
  <si>
    <r>
      <rPr>
        <b val="true"/>
        <sz val="10"/>
        <color rgb="FF000000"/>
        <rFont val="Calibri"/>
        <family val="2"/>
        <charset val="1"/>
      </rPr>
      <t xml:space="preserve">Qualité du patrimoine bâti</t>
    </r>
    <r>
      <rPr>
        <b val="true"/>
        <sz val="8"/>
        <color rgb="FF000000"/>
        <rFont val="Calibri"/>
        <family val="2"/>
        <charset val="1"/>
      </rPr>
      <t xml:space="preserve"> </t>
    </r>
    <r>
      <rPr>
        <sz val="8"/>
        <color rgb="FF000000"/>
        <rFont val="Calibri"/>
        <family val="2"/>
        <charset val="1"/>
      </rPr>
      <t xml:space="preserve">(y compris habitation si présente sur la ferme): </t>
    </r>
  </si>
  <si>
    <t xml:space="preserve">Entretien ou restauration du bâti ancien :</t>
  </si>
  <si>
    <t xml:space="preserve">Qualité et typicité architecturale et intégration paysagère</t>
  </si>
  <si>
    <t xml:space="preserve">Qualité paysagère :</t>
  </si>
  <si>
    <t xml:space="preserve">Aménagement paysager des surfaces de l’exploitation</t>
  </si>
  <si>
    <t xml:space="preserve">Mise en œuvre d’actions visant à valoriser le paysage</t>
  </si>
  <si>
    <t xml:space="preserve">(concours fermes fleuries, jachères fleuries, engagement chartes paysagères locales)</t>
  </si>
  <si>
    <t xml:space="preserve">Contribution par les pratiques à l’entretien du paysage culturel :</t>
  </si>
  <si>
    <t xml:space="preserve">Bonne qualité des abords du siège d’exploitation :</t>
  </si>
  <si>
    <t xml:space="preserve">Contribution au maintien de savoirs locaux productifs ou culturels reconnus :</t>
  </si>
  <si>
    <t xml:space="preserve">Détail</t>
  </si>
  <si>
    <t xml:space="preserve">B5</t>
  </si>
  <si>
    <t xml:space="preserve">Liens sociaux, hédoniques et culturels à l'alimentation</t>
  </si>
  <si>
    <t xml:space="preserve">Démarches favorisant le lien ou l'entre-aide entre le consommateur et le produceur :</t>
  </si>
  <si>
    <t xml:space="preserve">Ouverture de l'exploitation aux consommateurs pour vente ou visite, contractualisation entre consommateurs et producteur (ex: AMAP), participation à des journées sur la découverte des produits alimentaires, tables d'hôtes, restauration à la ferme, commerce equitable…</t>
  </si>
  <si>
    <t xml:space="preserve">Démarches favorisant l'apprentissage ou la culture autour de l'aliment :</t>
  </si>
  <si>
    <t xml:space="preserve">Ferme pédagogique avec ateliers de transformation et de cuisine sur la ferme, communication par le prodcuteur de recettes de cuisine à partir de ses produits, contribution à des réseaux ou projet alimentaire territoriaux</t>
  </si>
  <si>
    <t xml:space="preserve">Production significative de variétés d'aliments à forte valeur patrimoniale locale ou peu représentées en commercialisation courante :</t>
  </si>
  <si>
    <t xml:space="preserve">CONNAISSANCE ET FORMATION</t>
  </si>
  <si>
    <t xml:space="preserve">Participation à des réseaux de connaissance :</t>
  </si>
  <si>
    <t xml:space="preserve">Travail ou participation à des réseaux d'essai, de connaissance, de gestion, collectifs d'apprentissage ou de conception de pratiques environnementales innovantes        </t>
  </si>
  <si>
    <t xml:space="preserve">Lesquels ?</t>
  </si>
  <si>
    <t xml:space="preserve">B18</t>
  </si>
  <si>
    <t xml:space="preserve">Participation à des formations continues : nombre de jours par an et par UTH</t>
  </si>
  <si>
    <t xml:space="preserve">Accueil de groupes de professionnels ou d'étudiants : nombre de groupes accueillis</t>
  </si>
  <si>
    <t xml:space="preserve">TRAVAIL ET EMPLOI</t>
  </si>
  <si>
    <t xml:space="preserve">Accueil de stagiaire (1 mois minimum) ou apprenti au cours des deux dernières années :</t>
  </si>
  <si>
    <t xml:space="preserve">B14</t>
  </si>
  <si>
    <t xml:space="preserve">Plus de 50% de la main d’œuvre saisonnière réside de façon permanente sur le territoire :</t>
  </si>
  <si>
    <t xml:space="preserve">Territoire = dans un rayon de 80 km</t>
  </si>
  <si>
    <t xml:space="preserve">Recours à la mutualisation du travail :</t>
  </si>
  <si>
    <t xml:space="preserve">Entraide (&gt;10j/an) :</t>
  </si>
  <si>
    <t xml:space="preserve">Banque de travail :</t>
  </si>
  <si>
    <t xml:space="preserve">Appartenance à un groupement d'employeur :</t>
  </si>
  <si>
    <t xml:space="preserve">CUMA service complet (=/ CUMA intégrale) :</t>
  </si>
  <si>
    <t xml:space="preserve">Création d’un emploi sur l’exploitation dans les 5 dernières années : </t>
  </si>
  <si>
    <t xml:space="preserve">Création d’un emploi dans un réseau de proximité (groupement d’employeur, etc.) dans les 5 dernières années : </t>
  </si>
  <si>
    <t xml:space="preserve">Emploi équivalent à 1 UTH annuel</t>
  </si>
  <si>
    <t xml:space="preserve">Qualité au travail</t>
  </si>
  <si>
    <t xml:space="preserve">Qualité au travail des salariés :</t>
  </si>
  <si>
    <t xml:space="preserve">Présence d'un accident du travail ou maladie professionnelle parmi les salariés au cours de l'année précédente :</t>
  </si>
  <si>
    <t xml:space="preserve">Autonomie et responsabilité dans les missions confiées aux salariés :</t>
  </si>
  <si>
    <t xml:space="preserve">Nature des tâches confiées au(x) salarié(s)</t>
  </si>
  <si>
    <t xml:space="preserve">variée</t>
  </si>
  <si>
    <t xml:space="preserve">répétitives</t>
  </si>
  <si>
    <t xml:space="preserve">B16</t>
  </si>
  <si>
    <t xml:space="preserve">Qualité au travail de(s) exploitant(e.s)</t>
  </si>
  <si>
    <t xml:space="preserve">Plaisir et satisfaction au travail de 0 à 4 :</t>
  </si>
  <si>
    <t xml:space="preserve">Pénibilité du travail de 0 (aucune) à -4 (très pénible)</t>
  </si>
  <si>
    <t xml:space="preserve">Nb de semaines par an où l'agriculteur se sent surchargé</t>
  </si>
  <si>
    <t xml:space="preserve">L'exploitant estime-il nécessaire de prendre des congés ?</t>
  </si>
  <si>
    <t xml:space="preserve">L'exploitant prend-t-il des congés?</t>
  </si>
  <si>
    <t xml:space="preserve">ACCUEIL ET SECURITE</t>
  </si>
  <si>
    <t xml:space="preserve">B17</t>
  </si>
  <si>
    <t xml:space="preserve">Auto-évaluation de la qualité d'accueil et d'hébergement de la main-d'œuvre temporaire/stagiaires entre 0 et 2</t>
  </si>
  <si>
    <t xml:space="preserve">Contrôle des installations par un organisme certifié :</t>
  </si>
  <si>
    <t xml:space="preserve">Protection des cardans, des fosses à lisier, éléctricité aux normes…</t>
  </si>
  <si>
    <t xml:space="preserve">Local de stockage des pesticides conforme aux préconisations réglementaires :</t>
  </si>
  <si>
    <t xml:space="preserve">Pratiques exposants les individus aux produits phytosanitaires</t>
  </si>
  <si>
    <t xml:space="preserve">Fumigation, brumisation, traitement manuel, non respect des délais de réentrée à la parcelle</t>
  </si>
  <si>
    <t xml:space="preserve">Aucun produit phytosanitaire utilisé (hors produits de bio-contrôle) :</t>
  </si>
  <si>
    <t xml:space="preserve">IMPLICATON SOCIAL TERRITORIALE ET SOLIDAIRE</t>
  </si>
  <si>
    <t xml:space="preserve">B19</t>
  </si>
  <si>
    <t xml:space="preserve">Implication dans des structures professionnelles agricoles</t>
  </si>
  <si>
    <t xml:space="preserve">Responsabilités dans une de ces structures :</t>
  </si>
  <si>
    <t xml:space="preserve">Implication dans des structures non agricoles (associatives et/ou électives) hors champ professionnel dans le territoire</t>
  </si>
  <si>
    <r>
      <rPr>
        <sz val="11"/>
        <color rgb="FF000000"/>
        <rFont val="Calibri"/>
        <family val="2"/>
        <charset val="1"/>
      </rPr>
      <t xml:space="preserve">Travail</t>
    </r>
    <r>
      <rPr>
        <sz val="11"/>
        <color rgb="FF333333"/>
        <rFont val="Calibri"/>
        <family val="2"/>
        <charset val="1"/>
      </rPr>
      <t xml:space="preserve"> avec des structures relevant du champ de l'économie sociale et solidaire et pratiques d’insertion et/ou d’expérimentation sociale : </t>
    </r>
  </si>
  <si>
    <t xml:space="preserve">Implication de citoyens dans les travaux ou la vie de l'exploitation :</t>
  </si>
  <si>
    <t xml:space="preserve">Si non, raisons? (impossibilité réglementaire, difficultés familiales…)
Si oui, comment?</t>
  </si>
  <si>
    <t xml:space="preserve">Accueil bénévole de public :</t>
  </si>
  <si>
    <t xml:space="preserve">DEMARCHE DE TRANSPARENCE</t>
  </si>
  <si>
    <t xml:space="preserve">B20</t>
  </si>
  <si>
    <t xml:space="preserve">Communication de l'agriculteur sur ses pratiques :</t>
  </si>
  <si>
    <t xml:space="preserve">A partir de démarches certifiées (ou non) individuelles ou collectives</t>
  </si>
  <si>
    <t xml:space="preserve">Lesquelles?</t>
  </si>
  <si>
    <t xml:space="preserve">Adhésion à un système participatif de garantie :</t>
  </si>
  <si>
    <t xml:space="preserve">Ex: Nature et Progrès</t>
  </si>
  <si>
    <t xml:space="preserve">Le(s)quel(s)?</t>
  </si>
  <si>
    <t xml:space="preserve">QUALITE DE VIE ET ISOLEMENT</t>
  </si>
  <si>
    <t xml:space="preserve">B21</t>
  </si>
  <si>
    <t xml:space="preserve">Auto-Estimation de la qualité de vie sur une echelle de 0 à 6 :</t>
  </si>
  <si>
    <t xml:space="preserve">0 = très mauvaise qualité de vie ; 6 = très bonne qualité de vie</t>
  </si>
  <si>
    <t xml:space="preserve">B22</t>
  </si>
  <si>
    <r>
      <rPr>
        <sz val="11"/>
        <color rgb="FF000000"/>
        <rFont val="Calibri"/>
        <family val="2"/>
        <charset val="1"/>
      </rPr>
      <t xml:space="preserve">Auto-estimation de</t>
    </r>
    <r>
      <rPr>
        <b val="true"/>
        <sz val="11"/>
        <color rgb="FFFF8080"/>
        <rFont val="Calibri"/>
        <family val="2"/>
        <charset val="1"/>
      </rPr>
      <t xml:space="preserve"> 0 à 3</t>
    </r>
    <r>
      <rPr>
        <b val="true"/>
        <i val="true"/>
        <sz val="11"/>
        <color rgb="FFFF8080"/>
        <rFont val="Calibri"/>
        <family val="2"/>
        <charset val="1"/>
      </rPr>
      <t xml:space="preserve"> </t>
    </r>
    <r>
      <rPr>
        <b val="true"/>
        <sz val="11"/>
        <color rgb="FF000000"/>
        <rFont val="Calibri"/>
        <family val="2"/>
        <charset val="1"/>
      </rPr>
      <t xml:space="preserve">du</t>
    </r>
    <r>
      <rPr>
        <b val="true"/>
        <i val="true"/>
        <sz val="11"/>
        <color rgb="FF000000"/>
        <rFont val="Calibri"/>
        <family val="2"/>
        <charset val="1"/>
      </rPr>
      <t xml:space="preserve"> </t>
    </r>
    <r>
      <rPr>
        <b val="true"/>
        <sz val="11"/>
        <color rgb="FF000000"/>
        <rFont val="Calibri"/>
        <family val="2"/>
        <charset val="1"/>
      </rPr>
      <t xml:space="preserve">sentiment d'isolement géographique, social, culturel, accès aux services publics :</t>
    </r>
  </si>
  <si>
    <r>
      <rPr>
        <sz val="11"/>
        <color rgb="FF000000"/>
        <rFont val="Calibri"/>
        <family val="2"/>
        <charset val="1"/>
      </rPr>
      <t xml:space="preserve">Auto-estimation de</t>
    </r>
    <r>
      <rPr>
        <b val="true"/>
        <sz val="11"/>
        <color rgb="FFFF8080"/>
        <rFont val="Calibri"/>
        <family val="2"/>
        <charset val="1"/>
      </rPr>
      <t xml:space="preserve"> 0 à 3</t>
    </r>
    <r>
      <rPr>
        <b val="true"/>
        <i val="true"/>
        <sz val="11"/>
        <color rgb="FFFF8080"/>
        <rFont val="Calibri"/>
        <family val="2"/>
        <charset val="1"/>
      </rPr>
      <t xml:space="preserve"> </t>
    </r>
    <r>
      <rPr>
        <b val="true"/>
        <sz val="11"/>
        <color rgb="FF000000"/>
        <rFont val="Calibri"/>
        <family val="2"/>
        <charset val="1"/>
      </rPr>
      <t xml:space="preserve">de la qualité d'accès aux services productifs de l'exploitation :</t>
    </r>
  </si>
  <si>
    <t xml:space="preserve">Ex: voirie, déneigement, électricité, réseau téléphonique, internet…</t>
  </si>
  <si>
    <t xml:space="preserve">VI - Aspects économiques</t>
  </si>
  <si>
    <t xml:space="preserve">COLLECTE DES DONNEE COMPTABLES</t>
  </si>
  <si>
    <t xml:space="preserve">Compte de résultat: Charges</t>
  </si>
  <si>
    <t xml:space="preserve">Variables</t>
  </si>
  <si>
    <t xml:space="preserve">Valeur (en euros)</t>
  </si>
  <si>
    <t xml:space="preserve">N-1</t>
  </si>
  <si>
    <t xml:space="preserve">N-2</t>
  </si>
  <si>
    <t xml:space="preserve">Charges d'approvisionnement</t>
  </si>
  <si>
    <t xml:space="preserve">C10 / C11</t>
  </si>
  <si>
    <t xml:space="preserve">Comprend les semences, engrais, amendements, produits phytosanitaires, produits vétérinaires, aliments achetés et autres fournitures stockées</t>
  </si>
  <si>
    <t xml:space="preserve">Charges de travaux par tiers et services pour les cultures et l'elevage</t>
  </si>
  <si>
    <t xml:space="preserve">C10</t>
  </si>
  <si>
    <t xml:space="preserve">Comprend les charges d'entreprises de travaux agricoles (ETA) ainsi que les frais vétérinaires et d'insémination</t>
  </si>
  <si>
    <t xml:space="preserve">Charges énergétiques et eau</t>
  </si>
  <si>
    <t xml:space="preserve">Comprend les carburants, lubrifiants, combustibles, gaz, électricité ainsi que l'eau du réseau et l'eau d'irrigation</t>
  </si>
  <si>
    <t xml:space="preserve">Charges de matériel et batiment</t>
  </si>
  <si>
    <t xml:space="preserve">Comprend les frais d'entretien des batiments et du matériel (notamment garagiste), les charges de petit matériel ainsi que les locations de matériel et de cheptel.
Attention, ne comprend pas les fermages et autres locations de terres</t>
  </si>
  <si>
    <t xml:space="preserve">Charges d'achat du cheptel</t>
  </si>
  <si>
    <t xml:space="preserve">C11</t>
  </si>
  <si>
    <t xml:space="preserve">Comprend uniquement l'achat d'animaux (non reproducteurs) pour les cycles de production courts
Les locations de cheptels sont a renseigner dans les charges de matériel. Les frais vétérinaires sont à renseigner dans les charges de services pour l'élevage</t>
  </si>
  <si>
    <t xml:space="preserve">Charges de transformation et de commercialisation </t>
  </si>
  <si>
    <t xml:space="preserve">Comprend l'achat de matériel spécifique à la transformation et à la commercialisation</t>
  </si>
  <si>
    <t xml:space="preserve">Charges de transports, de gestion et de communication</t>
  </si>
  <si>
    <t xml:space="preserve">Comprend les frais de transports, les frais de gestions, de comptabilité, les assurances, les redevances de crédit-bail, les frais de poste, de téléphonie et d'internet</t>
  </si>
  <si>
    <t xml:space="preserve">Dotation aux amortissements </t>
  </si>
  <si>
    <t xml:space="preserve">C1</t>
  </si>
  <si>
    <t xml:space="preserve">Souvent dans la catégorie charges financières</t>
  </si>
  <si>
    <t xml:space="preserve">Compte de résultat: Produits</t>
  </si>
  <si>
    <t xml:space="preserve">Chiffre d'affaires</t>
  </si>
  <si>
    <t xml:space="preserve">C4 / C10</t>
  </si>
  <si>
    <t xml:space="preserve">Total de toutes les ventes de l'exploitation  = tous les comptes 70
Y compris les produits des activités annexes (travaux à façon, produits résiduels, pension d’animaux, terres louées prêtes à semer, autres locations, agritourisme, …)</t>
  </si>
  <si>
    <t xml:space="preserve">Variation de stock</t>
  </si>
  <si>
    <t xml:space="preserve">Production autoconsommée ou immobilisée</t>
  </si>
  <si>
    <t xml:space="preserve">Ventes issues des actions d'achat revente</t>
  </si>
  <si>
    <t xml:space="preserve">Total des comptes 707</t>
  </si>
  <si>
    <t xml:space="preserve">Subvention PAC du 1er pilier ( DPB + paiement vert +aides couplées)</t>
  </si>
  <si>
    <t xml:space="preserve">C6</t>
  </si>
  <si>
    <t xml:space="preserve">Aides non prises en compte : ICHN, MAEC, MAB et conversion bio, DJA, Aides des collectivités locales, Aides à l’investissement</t>
  </si>
  <si>
    <t xml:space="preserve">EBE retenu IDEA</t>
  </si>
  <si>
    <t xml:space="preserve">C1 / C2 
C6 / C8</t>
  </si>
  <si>
    <t xml:space="preserve">*Calcul de l'EBE:  = valeur ajoutée + subventions d'exploitation - (charges de personnel et impôts et taxes) + rémunération des associés
Attention avec l'EBE fourni par le doc comptable: réintégrer dans l'EBE la rémunération des associés (compte 6412 ou 6413) et soustraire de l'EBE les charges sociales des associées (à demander à l'agriculteur) si elle n'ont pas été prise en compte dans son calcul (notamment dans le cas des sociétés avec plusieurs associés)</t>
  </si>
  <si>
    <t xml:space="preserve">Résultat courant</t>
  </si>
  <si>
    <t xml:space="preserve">Emprunts</t>
  </si>
  <si>
    <r>
      <rPr>
        <b val="true"/>
        <sz val="11"/>
        <rFont val="Calibri"/>
        <family val="2"/>
        <charset val="1"/>
      </rPr>
      <t xml:space="preserve">Emprunts Long et Moyen Terme (LMT)</t>
    </r>
    <r>
      <rPr>
        <b val="true"/>
        <sz val="10"/>
        <rFont val="Calibri"/>
        <family val="2"/>
        <charset val="1"/>
      </rPr>
      <t xml:space="preserve"> (capital total restant du) </t>
    </r>
  </si>
  <si>
    <t xml:space="preserve">C3</t>
  </si>
  <si>
    <t xml:space="preserve">Solde des comptes 16 hors comptes 1643 qui correspondent aux emprunts à court-terme et comptes 1688 qui correspondent aux interets courus
Attention: Si les comptes d’associés sont importants, il convient de les diviser en deux blocs:
• une 1ère part qui est laissée en dettes CT (prendre le montant moyen des prélèvements annuels des associés sur les 3 dernières),
• une 2nd part correspond au reste de la valeur du compte associé que l’on considère alors comme des dettes LMT.
On a alors Emprunts LMT = dettes LMT + montant du compte associé - montant moyen des prélèvements annuels des associés sur les 3 dernières années.
</t>
  </si>
  <si>
    <r>
      <rPr>
        <b val="true"/>
        <sz val="11"/>
        <rFont val="Calibri"/>
        <family val="2"/>
        <charset val="1"/>
      </rPr>
      <t xml:space="preserve">Annuités LMT </t>
    </r>
    <r>
      <rPr>
        <b val="true"/>
        <sz val="9"/>
        <rFont val="Calibri"/>
        <family val="2"/>
        <charset val="1"/>
      </rPr>
      <t xml:space="preserve">(capital remboursé + intérêt des emprunts LMT) </t>
    </r>
    <r>
      <rPr>
        <b val="true"/>
        <sz val="11"/>
        <rFont val="Calibri"/>
        <family val="2"/>
        <charset val="1"/>
      </rPr>
      <t xml:space="preserve"> </t>
    </r>
  </si>
  <si>
    <t xml:space="preserve">C1 / C2</t>
  </si>
  <si>
    <t xml:space="preserve">Pour la partie capital : dans les débits des comptes 16, notamment 164  (attention : ne pas prendre en compte les montants du compte 1643 des emprunts CT )
Pour la partie intérêt : soit dans les comptes 66 (intérêt d'emprunt LMT 6612), soit dans le débit des comptes 168842</t>
  </si>
  <si>
    <t xml:space="preserve">Frais financiers des emprunts Court Terme (CT)</t>
  </si>
  <si>
    <t xml:space="preserve">C2</t>
  </si>
  <si>
    <t xml:space="preserve">Bilan</t>
  </si>
  <si>
    <t xml:space="preserve">Actif net hors foncier</t>
  </si>
  <si>
    <t xml:space="preserve">C8</t>
  </si>
  <si>
    <t xml:space="preserve">actif net total (en bas de l'actif) - valeur des terres (dans la catégorie immo. corporelles de l'actif)</t>
  </si>
  <si>
    <t xml:space="preserve">Capitaux propres</t>
  </si>
  <si>
    <t xml:space="preserve">Provisions pour risques et charges </t>
  </si>
  <si>
    <t xml:space="preserve">REVENUS</t>
  </si>
  <si>
    <t xml:space="preserve">Estimez-vous que votre exploitation dégage un revenu suffisant sur une échelle de 0 à 5 ? </t>
  </si>
  <si>
    <t xml:space="preserve">C7</t>
  </si>
  <si>
    <t xml:space="preserve">Existence d'un revenu significatif extérieur ou issu de la pluriactivité de l'agriculteur </t>
  </si>
  <si>
    <t xml:space="preserve">y compris revenu du conjoit/ de la conjointe</t>
  </si>
  <si>
    <t xml:space="preserve">PERENNITE</t>
  </si>
  <si>
    <t xml:space="preserve">C9</t>
  </si>
  <si>
    <t xml:space="preserve">Vision de l'exploitant sur l'existence de l'exploitation dans 10 ans ?</t>
  </si>
  <si>
    <t xml:space="preserve">Existence quasi-certaine</t>
  </si>
  <si>
    <t xml:space="preserve">Existence probable</t>
  </si>
  <si>
    <t xml:space="preserve">Existence souhaitée si possible</t>
  </si>
  <si>
    <t xml:space="preserve">Disparition probable </t>
  </si>
  <si>
    <t xml:space="preserve">Foncier sécurisé :</t>
  </si>
  <si>
    <t xml:space="preserve">Propriété ou présence de baux à long terme.</t>
  </si>
  <si>
    <t xml:space="preserve">Existence d'un projet de développement, d'aménagement ou d'extension</t>
  </si>
  <si>
    <t xml:space="preserve">Lequel?</t>
  </si>
  <si>
    <t xml:space="preserve">Qualité de la structure du parcellaire :</t>
  </si>
  <si>
    <t xml:space="preserve">Difficile</t>
  </si>
  <si>
    <t xml:space="preserve">Eloignement du parcellaire par rapport à l'exploitation</t>
  </si>
  <si>
    <t xml:space="preserve">Normale</t>
  </si>
  <si>
    <t xml:space="preserve">Atomisation et discontinuité du parcellaire (mitage)</t>
  </si>
  <si>
    <t xml:space="preserve">Bonne</t>
  </si>
  <si>
    <t xml:space="preserve">Forme et taille facilitant un travail mécanique (découpage)</t>
  </si>
  <si>
    <t xml:space="preserve">Habitation très éloignée des lieux de production (&gt;20km) </t>
  </si>
  <si>
    <t xml:space="preserve">COMMERCIALISATION</t>
  </si>
  <si>
    <t xml:space="preserve">Le CA comme le PB s'entendent hors subvention</t>
  </si>
  <si>
    <t xml:space="preserve">CA par produits</t>
  </si>
  <si>
    <t xml:space="preserve">Produit brut par atelier</t>
  </si>
  <si>
    <t xml:space="preserve">k€</t>
  </si>
  <si>
    <t xml:space="preserve">Atelier 1 : grandes cultures (hors cultures sous contrat)</t>
  </si>
  <si>
    <t xml:space="preserve">céréales à paille</t>
  </si>
  <si>
    <t xml:space="preserve">maïs - sorgho</t>
  </si>
  <si>
    <t xml:space="preserve">oléagineux</t>
  </si>
  <si>
    <t xml:space="preserve">protéagineux</t>
  </si>
  <si>
    <r>
      <rPr>
        <sz val="11"/>
        <color rgb="FF000000"/>
        <rFont val="Calibri"/>
        <family val="2"/>
        <charset val="1"/>
      </rPr>
      <t xml:space="preserve">Atelier 2 : cultures industrielles </t>
    </r>
    <r>
      <rPr>
        <sz val="8"/>
        <color rgb="FF000000"/>
        <rFont val="Calibri"/>
        <family val="2"/>
        <charset val="1"/>
      </rPr>
      <t xml:space="preserve">(dont plantes à fibres, semences, plantes aromatiques et médécinales et grandes cultures sous contrat)</t>
    </r>
  </si>
  <si>
    <t xml:space="preserve">Bettrave</t>
  </si>
  <si>
    <t xml:space="preserve">Pomme de terre (feculerie)</t>
  </si>
  <si>
    <t xml:space="preserve">autre culture</t>
  </si>
  <si>
    <t xml:space="preserve">Atelier 3 : cultures légumières +  cultures Horticulture ornementale</t>
  </si>
  <si>
    <t xml:space="preserve">culture 1</t>
  </si>
  <si>
    <t xml:space="preserve">culture 2</t>
  </si>
  <si>
    <t xml:space="preserve">culture 3</t>
  </si>
  <si>
    <t xml:space="preserve">Atelier  4 : arboriculture et/ou raisin de table</t>
  </si>
  <si>
    <t xml:space="preserve">arbo: espèce 1</t>
  </si>
  <si>
    <t xml:space="preserve">arbo: espèce 2</t>
  </si>
  <si>
    <t xml:space="preserve">arbo: espèce 3</t>
  </si>
  <si>
    <t xml:space="preserve">Atelier  5 : viticulture et vinification</t>
  </si>
  <si>
    <t xml:space="preserve">raisin de table</t>
  </si>
  <si>
    <t xml:space="preserve">Vin rouge</t>
  </si>
  <si>
    <t xml:space="preserve">Vin rosé</t>
  </si>
  <si>
    <t xml:space="preserve">Vin blanc</t>
  </si>
  <si>
    <t xml:space="preserve">Vin liquoreux</t>
  </si>
  <si>
    <t xml:space="preserve">Vin doux naturel</t>
  </si>
  <si>
    <t xml:space="preserve">Vin effervescent</t>
  </si>
  <si>
    <t xml:space="preserve">eaux de vie</t>
  </si>
  <si>
    <t xml:space="preserve">Atelier  6: bovin lait </t>
  </si>
  <si>
    <t xml:space="preserve">ventes d'animaux vifs</t>
  </si>
  <si>
    <t xml:space="preserve">lait</t>
  </si>
  <si>
    <t xml:space="preserve">produits laitiers</t>
  </si>
  <si>
    <t xml:space="preserve">Atelier  7: bovin viande</t>
  </si>
  <si>
    <t xml:space="preserve">viande transformée</t>
  </si>
  <si>
    <t xml:space="preserve">Atelier  8 : ovin lait viande</t>
  </si>
  <si>
    <t xml:space="preserve">vente d'animaux vifs</t>
  </si>
  <si>
    <t xml:space="preserve">Atelier  9 :caprin lait et viande </t>
  </si>
  <si>
    <t xml:space="preserve">Atelier 10 : porc </t>
  </si>
  <si>
    <t xml:space="preserve">Atelier 11 : volaille</t>
  </si>
  <si>
    <t xml:space="preserve">œufs</t>
  </si>
  <si>
    <t xml:space="preserve">Atelier 12: services, transformation et agritourisme</t>
  </si>
  <si>
    <t xml:space="preserve">transformation</t>
  </si>
  <si>
    <t xml:space="preserve">agritourisme</t>
  </si>
  <si>
    <t xml:space="preserve">Atelier 13 Autres typres de production (dont électricité, gaz naturel, …)</t>
  </si>
  <si>
    <t xml:space="preserve">production 1</t>
  </si>
  <si>
    <t xml:space="preserve">production 2</t>
  </si>
  <si>
    <t xml:space="preserve">C5</t>
  </si>
  <si>
    <t xml:space="preserve">% du CA représenté par le principal client :</t>
  </si>
  <si>
    <t xml:space="preserve">Nom du principal client :</t>
  </si>
  <si>
    <t xml:space="preserve">Qualité de la relation contractuelle pour la production principale :</t>
  </si>
  <si>
    <t xml:space="preserve">absence de contrat</t>
  </si>
  <si>
    <t xml:space="preserve">adhésion coop</t>
  </si>
  <si>
    <t xml:space="preserve">Détails, remarques sur les contrats :</t>
  </si>
  <si>
    <t xml:space="preserve">contrat longue durée</t>
  </si>
  <si>
    <t xml:space="preserve">contrat solidaire</t>
  </si>
  <si>
    <t xml:space="preserve">Atelier principal en intégration</t>
  </si>
  <si>
    <t xml:space="preserve">B8</t>
  </si>
  <si>
    <t xml:space="preserve">Valeur des ventes en vente directe ou circuit court :</t>
  </si>
  <si>
    <t xml:space="preserve">Vente de proximité (rayon de 80 km maximum) :</t>
  </si>
  <si>
    <t xml:space="preserve">- de façon collective :</t>
  </si>
  <si>
    <t xml:space="preserve">- de façon individuelle :</t>
  </si>
  <si>
    <t xml:space="preserve">Démarche de contractualisation avec des cantines locales / restauration locale / marchés publics locaux :</t>
  </si>
  <si>
    <t xml:space="preserve">I - Données générales et inventaires de l'exploitation</t>
  </si>
  <si>
    <t xml:space="preserve">Caractéristique d'enquête</t>
  </si>
  <si>
    <t xml:space="preserve">pg 1</t>
  </si>
  <si>
    <t xml:space="preserve">ID. EXPLOITATION </t>
  </si>
  <si>
    <t xml:space="preserve">(Code à 6 chiffres ne commencant pas par 0)</t>
  </si>
  <si>
    <t xml:space="preserve">Date d'enquête :</t>
  </si>
  <si>
    <t xml:space="preserve">Année d'enquête :</t>
  </si>
  <si>
    <t xml:space="preserve">(par défaut dernière année comptable renseignée)</t>
  </si>
  <si>
    <t xml:space="preserve">1.1 L'exploitation agricole</t>
  </si>
  <si>
    <t xml:space="preserve">DAUJAN Sébastien</t>
  </si>
  <si>
    <t xml:space="preserve">Département du siège :</t>
  </si>
  <si>
    <t xml:space="preserve">32 - Gers</t>
  </si>
  <si>
    <t xml:space="preserve">Téléphone :</t>
  </si>
  <si>
    <t xml:space="preserve">06 84 30 96 98</t>
  </si>
  <si>
    <t xml:space="preserve">Type d'exploitation :</t>
  </si>
  <si>
    <t xml:space="preserve">6184 - Polyculture et/ou polyélevage (et apiculture)</t>
  </si>
  <si>
    <t xml:space="preserve">Individuel</t>
  </si>
  <si>
    <t xml:space="preserve">Présence et type d'élevage :</t>
  </si>
  <si>
    <t xml:space="preserve">1 - monogastrique</t>
  </si>
  <si>
    <t xml:space="preserve">Présence d'un atelier hors sol :</t>
  </si>
  <si>
    <t xml:space="preserve">Usage de produits phyto.</t>
  </si>
  <si>
    <t xml:space="preserve">Certification AB</t>
  </si>
  <si>
    <t xml:space="preserve">Grandes cultures, cultures fourragères et industrielles</t>
  </si>
  <si>
    <t xml:space="preserve">Prairies temporaires</t>
  </si>
  <si>
    <r>
      <rPr>
        <b val="true"/>
        <i val="true"/>
        <sz val="11"/>
        <color rgb="FF000000"/>
        <rFont val="Times New Roman"/>
        <family val="1"/>
        <charset val="1"/>
      </rPr>
      <t xml:space="preserve">Surface Toujours en Herbe 
</t>
    </r>
    <r>
      <rPr>
        <b val="true"/>
        <i val="true"/>
        <sz val="10"/>
        <color rgb="FF000000"/>
        <rFont val="Times New Roman"/>
        <family val="1"/>
        <charset val="1"/>
      </rPr>
      <t xml:space="preserve">(prairies perm., alpages...)</t>
    </r>
  </si>
  <si>
    <t xml:space="preserve">Autres terres productives</t>
  </si>
  <si>
    <t xml:space="preserve">Lesquelles:</t>
  </si>
  <si>
    <t xml:space="preserve">Autres terres non-productives (chemins, batiments…)</t>
  </si>
  <si>
    <t xml:space="preserve">1.2 Le personnel de l'exploitation</t>
  </si>
  <si>
    <t xml:space="preserve">dont UTH non salariées (associés)  </t>
  </si>
  <si>
    <t xml:space="preserve">Age du chef d'exploitation :</t>
  </si>
  <si>
    <t xml:space="preserve">dont UTH salariées   </t>
  </si>
  <si>
    <t xml:space="preserve">dont UTH stagiaires et apprentis  </t>
  </si>
  <si>
    <t xml:space="preserve">1.3 Les animaux de l'exploitation</t>
  </si>
  <si>
    <t xml:space="preserve">1.3.1 Description du cheptel</t>
  </si>
  <si>
    <t xml:space="preserve">pg 2</t>
  </si>
  <si>
    <t xml:space="preserve">Nom des Races </t>
  </si>
  <si>
    <t xml:space="preserve">Catégories d'individus</t>
  </si>
  <si>
    <t xml:space="preserve">Nombre d'individus total</t>
  </si>
  <si>
    <t xml:space="preserve">Nombre d'individus:</t>
  </si>
  <si>
    <t xml:space="preserve">dont temps au pâturage (mois/an)</t>
  </si>
  <si>
    <t xml:space="preserve">Coefficient UGB</t>
  </si>
  <si>
    <t xml:space="preserve">Nombre d'UGB (équivalent)</t>
  </si>
  <si>
    <t xml:space="preserve">Races pures</t>
  </si>
  <si>
    <t xml:space="preserve">Croisée</t>
  </si>
  <si>
    <t xml:space="preserve">Bovin</t>
  </si>
  <si>
    <t xml:space="preserve">(mois/an)</t>
  </si>
  <si>
    <t xml:space="preserve">Réfèrence UGB</t>
  </si>
  <si>
    <t xml:space="preserve">Bovin laitier:</t>
  </si>
  <si>
    <t xml:space="preserve">taureaux</t>
  </si>
  <si>
    <t xml:space="preserve">veaux vendus</t>
  </si>
  <si>
    <t xml:space="preserve">Bovin alaitant:</t>
  </si>
  <si>
    <t xml:space="preserve">génisses 0-1 an</t>
  </si>
  <si>
    <t xml:space="preserve">génisses 1-2 ans</t>
  </si>
  <si>
    <t xml:space="preserve">génisses +2 ans</t>
  </si>
  <si>
    <t xml:space="preserve">males 0-1 an</t>
  </si>
  <si>
    <t xml:space="preserve">males 1-2 ans</t>
  </si>
  <si>
    <t xml:space="preserve">males +2 ans</t>
  </si>
  <si>
    <t xml:space="preserve">Ovins-Caprins :</t>
  </si>
  <si>
    <t xml:space="preserve">Brebis/chèvre mère -lait</t>
  </si>
  <si>
    <t xml:space="preserve">Brebis/chèvre mère - viande</t>
  </si>
  <si>
    <t xml:space="preserve">agnelles/chevrettes de souche</t>
  </si>
  <si>
    <t xml:space="preserve">béliers/boucs</t>
  </si>
  <si>
    <t xml:space="preserve">agneaux à l'engrais vendus</t>
  </si>
  <si>
    <t xml:space="preserve">Porcins :</t>
  </si>
  <si>
    <t xml:space="preserve">Volailles :</t>
  </si>
  <si>
    <t xml:space="preserve">dindes reproductrices fermières</t>
  </si>
  <si>
    <t xml:space="preserve">Equins</t>
  </si>
  <si>
    <t xml:space="preserve">Anes </t>
  </si>
  <si>
    <t xml:space="preserve">Autres espèces productives et touristiques (abeilles, …) :</t>
  </si>
  <si>
    <t xml:space="preserve">races</t>
  </si>
  <si>
    <t xml:space="preserve">espèce</t>
  </si>
  <si>
    <t xml:space="preserve">Nombre individus totaux</t>
  </si>
  <si>
    <t xml:space="preserve">Nombre individus croisés</t>
  </si>
  <si>
    <t xml:space="preserve">Totaux UGB:</t>
  </si>
  <si>
    <t xml:space="preserve">UGB Ruminants</t>
  </si>
  <si>
    <t xml:space="preserve">Nombre totales de mères</t>
  </si>
  <si>
    <t xml:space="preserve">Nombre de mères croisés</t>
  </si>
  <si>
    <t xml:space="preserve">UGB monogastrique</t>
  </si>
  <si>
    <t xml:space="preserve">1.3.2 Les produits animaux qui entrent et sortent de l'exploitation</t>
  </si>
  <si>
    <t xml:space="preserve">pg 3</t>
  </si>
  <si>
    <t xml:space="preserve">Lait vendu (y c. fromages)</t>
  </si>
  <si>
    <t xml:space="preserve">litres</t>
  </si>
  <si>
    <t xml:space="preserve">TP</t>
  </si>
  <si>
    <t xml:space="preserve">Entrée d'animaux</t>
  </si>
  <si>
    <t xml:space="preserve">Nb achetés</t>
  </si>
  <si>
    <t xml:space="preserve">Poids unitaire</t>
  </si>
  <si>
    <t xml:space="preserve">Poids total entré</t>
  </si>
  <si>
    <t xml:space="preserve">Origine </t>
  </si>
  <si>
    <t xml:space="preserve">Sortie d'animaux</t>
  </si>
  <si>
    <t xml:space="preserve">Nb sortis</t>
  </si>
  <si>
    <t xml:space="preserve">Poids total sorti</t>
  </si>
  <si>
    <t xml:space="preserve">tonne</t>
  </si>
  <si>
    <t xml:space="preserve">Bovins:</t>
  </si>
  <si>
    <t xml:space="preserve">Vache allaitante</t>
  </si>
  <si>
    <t xml:space="preserve">Génisse viande</t>
  </si>
  <si>
    <t xml:space="preserve">Taurillons, bœufs viande</t>
  </si>
  <si>
    <t xml:space="preserve">Veau viande</t>
  </si>
  <si>
    <t xml:space="preserve">Taureau</t>
  </si>
  <si>
    <t xml:space="preserve">Vache laitière</t>
  </si>
  <si>
    <t xml:space="preserve">Génisses laitières</t>
  </si>
  <si>
    <t xml:space="preserve">Veau laitier</t>
  </si>
  <si>
    <t xml:space="preserve">Ovins-caprins :</t>
  </si>
  <si>
    <t xml:space="preserve">Agneaux/chevreaux 1 mois</t>
  </si>
  <si>
    <t xml:space="preserve">Agneaux/chevreaux 3 mois</t>
  </si>
  <si>
    <t xml:space="preserve">brebis/chèvres</t>
  </si>
  <si>
    <t xml:space="preserve">agnelles/chevrettes</t>
  </si>
  <si>
    <t xml:space="preserve">Porcs :</t>
  </si>
  <si>
    <t xml:space="preserve">Verrat</t>
  </si>
  <si>
    <t xml:space="preserve">Porcs charcutiers</t>
  </si>
  <si>
    <t xml:space="preserve">Porcelets</t>
  </si>
  <si>
    <t xml:space="preserve">poussins</t>
  </si>
  <si>
    <t xml:space="preserve">Poulets</t>
  </si>
  <si>
    <t xml:space="preserve">dindonneaux</t>
  </si>
  <si>
    <t xml:space="preserve">Dindes</t>
  </si>
  <si>
    <t xml:space="preserve">canetons</t>
  </si>
  <si>
    <t xml:space="preserve">Canards</t>
  </si>
  <si>
    <t xml:space="preserve">poussins de pintades</t>
  </si>
  <si>
    <t xml:space="preserve">pintades</t>
  </si>
  <si>
    <t xml:space="preserve">Oies</t>
  </si>
  <si>
    <t xml:space="preserve">Locale</t>
  </si>
  <si>
    <t xml:space="preserve">Autres espèces:</t>
  </si>
  <si>
    <t xml:space="preserve">Chevaux / Jument</t>
  </si>
  <si>
    <t xml:space="preserve">Nombre d'animaux achetés localement</t>
  </si>
  <si>
    <t xml:space="preserve">bêtes</t>
  </si>
  <si>
    <t xml:space="preserve">1.3.3 Achats de concentrés et de fourrages pour le bétails</t>
  </si>
  <si>
    <t xml:space="preserve">pg 4</t>
  </si>
  <si>
    <t xml:space="preserve">Type d'aliments concentrés</t>
  </si>
  <si>
    <t xml:space="preserve">Quantité achetée </t>
  </si>
  <si>
    <t xml:space="preserve">Fourrages grossiers et litières</t>
  </si>
  <si>
    <t xml:space="preserve">Quantité achetée</t>
  </si>
  <si>
    <t xml:space="preserve">tonne produit brute</t>
  </si>
  <si>
    <t xml:space="preserve">t MS</t>
  </si>
  <si>
    <t xml:space="preserve">tourteaux de soja (TS)</t>
  </si>
  <si>
    <t xml:space="preserve">tourteau de colza</t>
  </si>
  <si>
    <t xml:space="preserve">céréales graines</t>
  </si>
  <si>
    <t xml:space="preserve">Farine de maïs</t>
  </si>
  <si>
    <t xml:space="preserve">total fourrages :</t>
  </si>
  <si>
    <t xml:space="preserve">achetés</t>
  </si>
  <si>
    <t xml:space="preserve">Origine des fourrages:</t>
  </si>
  <si>
    <t xml:space="preserve">fourrage d'origine locale</t>
  </si>
  <si>
    <t xml:space="preserve">fourrage achetés dans le cadre d'un projet territorial collectif :</t>
  </si>
  <si>
    <t xml:space="preserve">dont fourrage d'origine locale</t>
  </si>
  <si>
    <t xml:space="preserve">dont fourrage d'origine non-locale</t>
  </si>
  <si>
    <t xml:space="preserve">poudre de lait</t>
  </si>
  <si>
    <t xml:space="preserve">luzerne déshydratée (LD)</t>
  </si>
  <si>
    <t xml:space="preserve">Autre.1</t>
  </si>
  <si>
    <t xml:space="preserve">Autre.2</t>
  </si>
  <si>
    <t xml:space="preserve">Autre.3</t>
  </si>
  <si>
    <t xml:space="preserve">Autre.4</t>
  </si>
  <si>
    <t xml:space="preserve">Total concentrés</t>
  </si>
  <si>
    <t xml:space="preserve"> achetés</t>
  </si>
  <si>
    <t xml:space="preserve">Concentrés d'origine locale</t>
  </si>
  <si>
    <t xml:space="preserve">Concentrés achetés dans le cadre d'un projet territorial collectif :</t>
  </si>
  <si>
    <t xml:space="preserve">dont concentré d'origine locale</t>
  </si>
  <si>
    <t xml:space="preserve">dont concentré d'origine non-locale</t>
  </si>
  <si>
    <t xml:space="preserve">1.4. Les cultures de l'exploitation</t>
  </si>
  <si>
    <t xml:space="preserve">1.4.1 Les cultures fourragères (et litière) destinées aux animaux ou à la vente</t>
  </si>
  <si>
    <t xml:space="preserve">pg 6</t>
  </si>
  <si>
    <t xml:space="preserve">Production</t>
  </si>
  <si>
    <t xml:space="preserve">Entrée</t>
  </si>
  <si>
    <t xml:space="preserve">Sorties</t>
  </si>
  <si>
    <t xml:space="preserve">Variété (pures, population ou mélange variétal)</t>
  </si>
  <si>
    <t xml:space="preserve">Rendement</t>
  </si>
  <si>
    <t xml:space="preserve">Part de légumineuse</t>
  </si>
  <si>
    <t xml:space="preserve">Quantité de fourrage achetée</t>
  </si>
  <si>
    <t xml:space="preserve">Quantité de fourrage vendue</t>
  </si>
  <si>
    <t xml:space="preserve">Nombre de  Variétés (NB Var)</t>
  </si>
  <si>
    <t xml:space="preserve">t MS / ha</t>
  </si>
  <si>
    <t xml:space="preserve">%</t>
  </si>
  <si>
    <t xml:space="preserve">Fourrages annuels 
(durée &lt;= 18mois)</t>
  </si>
  <si>
    <t xml:space="preserve">RG en cult. principale</t>
  </si>
  <si>
    <t xml:space="preserve">Fourrage annuel en dérobé</t>
  </si>
  <si>
    <t xml:space="preserve">autre Fourrage dérobé</t>
  </si>
  <si>
    <t xml:space="preserve">Drèches fraiches</t>
  </si>
  <si>
    <t xml:space="preserve">Autre</t>
  </si>
  <si>
    <t xml:space="preserve">Pailles</t>
  </si>
  <si>
    <t xml:space="preserve">Qté achetée</t>
  </si>
  <si>
    <t xml:space="preserve">Fourrages pluriannuels
(de 2 à 5 ans)</t>
  </si>
  <si>
    <t xml:space="preserve">reference</t>
  </si>
  <si>
    <t xml:space="preserve">RG anglais et hybride</t>
  </si>
  <si>
    <t xml:space="preserve">Ens.herbe</t>
  </si>
  <si>
    <t xml:space="preserve">Dactyle</t>
  </si>
  <si>
    <t xml:space="preserve">Fétuque</t>
  </si>
  <si>
    <t xml:space="preserve">Autres graminées seules</t>
  </si>
  <si>
    <t xml:space="preserve">Foin  </t>
  </si>
  <si>
    <t xml:space="preserve">Autres graminées seules 2</t>
  </si>
  <si>
    <t xml:space="preserve">Légumineuses :</t>
  </si>
  <si>
    <t xml:space="preserve">Foin legum.</t>
  </si>
  <si>
    <t xml:space="preserve">Autres mélanges G+L</t>
  </si>
  <si>
    <t xml:space="preserve">Autres mélanges G+L 2</t>
  </si>
  <si>
    <t xml:space="preserve">Autres mélanges G+L 3</t>
  </si>
  <si>
    <t xml:space="preserve">Fourrages pérennes 
(durée &gt; 5 ans)</t>
  </si>
  <si>
    <t xml:space="preserve">Prairies Nat. (PN) 1</t>
  </si>
  <si>
    <t xml:space="preserve">PN 2</t>
  </si>
  <si>
    <t xml:space="preserve">PN 3</t>
  </si>
  <si>
    <t xml:space="preserve">PN 4</t>
  </si>
  <si>
    <t xml:space="preserve">Qté de fourrage produite</t>
  </si>
  <si>
    <t xml:space="preserve">Qté de fourrage vendue</t>
  </si>
  <si>
    <t xml:space="preserve">Qté de fourrage achetée</t>
  </si>
  <si>
    <t xml:space="preserve">Qté fourrage consommée</t>
  </si>
  <si>
    <t xml:space="preserve">1.4.2 Les cultures non fourragères destinées aux animaux ou à la vente</t>
  </si>
  <si>
    <t xml:space="preserve">pg 7</t>
  </si>
  <si>
    <t xml:space="preserve">Caractéristique de parcelle</t>
  </si>
  <si>
    <t xml:space="preserve">Rendement </t>
  </si>
  <si>
    <t xml:space="preserve">Quantité produite </t>
  </si>
  <si>
    <t xml:space="preserve">présence d'agroforesterie</t>
  </si>
  <si>
    <t xml:space="preserve">NB Var</t>
  </si>
  <si>
    <t xml:space="preserve">qtx / ha</t>
  </si>
  <si>
    <t xml:space="preserve">tonne de produit brute</t>
  </si>
  <si>
    <t xml:space="preserve">pure</t>
  </si>
  <si>
    <t xml:space="preserve">Autre 1  : maïs semences</t>
  </si>
  <si>
    <t xml:space="preserve">Autre 2</t>
  </si>
  <si>
    <t xml:space="preserve">Autre 3</t>
  </si>
  <si>
    <t xml:space="preserve">Autre 4</t>
  </si>
  <si>
    <t xml:space="preserve">Autre 5</t>
  </si>
  <si>
    <t xml:space="preserve">Légumineuse/Protéagineuse:</t>
  </si>
  <si>
    <t xml:space="preserve">t / ha</t>
  </si>
  <si>
    <t xml:space="preserve">Qté vendue</t>
  </si>
  <si>
    <t xml:space="preserve">qtx/ha</t>
  </si>
  <si>
    <t xml:space="preserve">Haricot grain</t>
  </si>
  <si>
    <t xml:space="preserve">Haricot vert</t>
  </si>
  <si>
    <t xml:space="preserve">Type d'enherbement des parcelles</t>
  </si>
  <si>
    <t xml:space="preserve">Autres arbo </t>
  </si>
  <si>
    <t xml:space="preserve">Raisin de table (en t/ha)</t>
  </si>
  <si>
    <t xml:space="preserve">Raisin vendu transformé (jus ou vin)</t>
  </si>
  <si>
    <t xml:space="preserve">Qté produite</t>
  </si>
  <si>
    <t xml:space="preserve">Qté  vendue</t>
  </si>
  <si>
    <t xml:space="preserve">Qté acheté</t>
  </si>
  <si>
    <t xml:space="preserve">Qté consommée</t>
  </si>
  <si>
    <t xml:space="preserve">1.4.3 Les rotations</t>
  </si>
  <si>
    <t xml:space="preserve">pg 8</t>
  </si>
  <si>
    <t xml:space="preserve">Caractéristique de la succession:</t>
  </si>
  <si>
    <t xml:space="preserve">Numéro de la rotation</t>
  </si>
  <si>
    <t xml:space="preserve">Durée: 
courte = 3 ans ou moins
longue = 4 ans ou plus</t>
  </si>
  <si>
    <t xml:space="preserve">Retour d'une même culture deux années de suite: 
(Expl: monoculture, blé sur blé,….)</t>
  </si>
  <si>
    <t xml:space="preserve">Surface en ha </t>
  </si>
  <si>
    <t xml:space="preserve">Cultures de la succession (liste ou ouverte)</t>
  </si>
  <si>
    <t xml:space="preserve">Somme des surfaces en succession à délais de retour court:</t>
  </si>
  <si>
    <t xml:space="preserve">R1</t>
  </si>
  <si>
    <t xml:space="preserve">rotation courte (=&lt;3 ans)</t>
  </si>
  <si>
    <t xml:space="preserve">monoculture de maÏs</t>
  </si>
  <si>
    <t xml:space="preserve">R2</t>
  </si>
  <si>
    <t xml:space="preserve">Blé-Colza</t>
  </si>
  <si>
    <t xml:space="preserve">R3</t>
  </si>
  <si>
    <t xml:space="preserve">Blé-Colza-Tournesol</t>
  </si>
  <si>
    <t xml:space="preserve">R4</t>
  </si>
  <si>
    <t xml:space="preserve">R5</t>
  </si>
  <si>
    <t xml:space="preserve">R6</t>
  </si>
  <si>
    <t xml:space="preserve">1.5 les effluents d'élevage</t>
  </si>
  <si>
    <t xml:space="preserve">pg 9</t>
  </si>
  <si>
    <t xml:space="preserve">quantité produite</t>
  </si>
  <si>
    <t xml:space="preserve">quantité vendue</t>
  </si>
  <si>
    <t xml:space="preserve">quantité importée</t>
  </si>
  <si>
    <t xml:space="preserve">quantité épandue</t>
  </si>
  <si>
    <t xml:space="preserve">Coef d'utilisation d'N (pour calcul du N disponible dans l'année N)</t>
  </si>
  <si>
    <t xml:space="preserve">N organique épandu</t>
  </si>
  <si>
    <t xml:space="preserve">N organique épandu effet direct (N dispo. dans l'année N)</t>
  </si>
  <si>
    <t xml:space="preserve">dont N organique importé effet direct (N dispo. dans l'année N)</t>
  </si>
  <si>
    <r>
      <rPr>
        <sz val="11"/>
        <rFont val="Times New Roman"/>
        <family val="1"/>
        <charset val="1"/>
      </rPr>
      <t xml:space="preserve">tonne ou m</t>
    </r>
    <r>
      <rPr>
        <vertAlign val="superscript"/>
        <sz val="11"/>
        <rFont val="Times New Roman"/>
        <family val="1"/>
        <charset val="1"/>
      </rPr>
      <t xml:space="preserve">3</t>
    </r>
  </si>
  <si>
    <t xml:space="preserve">kg / m3 ou kg / tonne</t>
  </si>
  <si>
    <t xml:space="preserve">référence</t>
  </si>
  <si>
    <t xml:space="preserve">kg </t>
  </si>
  <si>
    <t xml:space="preserve">Source</t>
  </si>
  <si>
    <t xml:space="preserve">Lisier canard gras</t>
  </si>
  <si>
    <t xml:space="preserve">https://occitanie.chambre-agriculture.fr/fileadmin/user_upload/National/FAL_commun/publications/Occitanie/18_Teneur_Azote_tab.pdf</t>
  </si>
  <si>
    <t xml:space="preserve">Compost de déchets verts avec du lisier de porc</t>
  </si>
  <si>
    <t xml:space="preserve">Compost fumiers + tourteaux    (type Végor, Végéh...)</t>
  </si>
  <si>
    <t xml:space="preserve">Total quantité importée</t>
  </si>
  <si>
    <t xml:space="preserve">Total quantité épandue</t>
  </si>
  <si>
    <r>
      <rPr>
        <b val="true"/>
        <sz val="11"/>
        <rFont val="Times New Roman"/>
        <family val="1"/>
        <charset val="1"/>
      </rPr>
      <t xml:space="preserve">N organique épandu effet direct </t>
    </r>
    <r>
      <rPr>
        <b val="true"/>
        <sz val="9"/>
        <rFont val="Times New Roman"/>
        <family val="1"/>
        <charset val="1"/>
      </rPr>
      <t xml:space="preserve">(N dispo. dans l'année N)</t>
    </r>
  </si>
  <si>
    <r>
      <rPr>
        <b val="true"/>
        <sz val="11"/>
        <rFont val="Times New Roman"/>
        <family val="1"/>
        <charset val="1"/>
      </rPr>
      <t xml:space="preserve">dont N organique importé effet direct 
</t>
    </r>
    <r>
      <rPr>
        <b val="true"/>
        <sz val="9"/>
        <rFont val="Times New Roman"/>
        <family val="1"/>
        <charset val="1"/>
      </rPr>
      <t xml:space="preserve">(N dispo. dans l'année N)</t>
    </r>
  </si>
  <si>
    <t xml:space="preserve">Total </t>
  </si>
  <si>
    <t xml:space="preserve">Part des effluents importés venant du territoire en tonnes :</t>
  </si>
  <si>
    <t xml:space="preserve">II- L'agriculteur et son système productif: Dimension Agro-écologique</t>
  </si>
  <si>
    <t xml:space="preserve">Questionnaire page</t>
  </si>
  <si>
    <t xml:space="preserve">A1 ROB 1 - Diversité des espèces cultivées</t>
  </si>
  <si>
    <t xml:space="preserve">pg 6-7-10</t>
  </si>
  <si>
    <t xml:space="preserve">Grandes cultures, cultures fourragères et industrielles, cultures perennes</t>
  </si>
  <si>
    <t xml:space="preserve">pg 6-7</t>
  </si>
  <si>
    <t xml:space="preserve">Part dans l'assolement de la culture la plus importante :</t>
  </si>
  <si>
    <t xml:space="preserve">Attention si code d'erreur #nombre </t>
  </si>
  <si>
    <t xml:space="preserve">Part dans l'assolement de la 2e culture la plus importante :</t>
  </si>
  <si>
    <t xml:space="preserve">Total</t>
  </si>
  <si>
    <t xml:space="preserve">"Équitabilité" des cultures</t>
  </si>
  <si>
    <t xml:space="preserve">Monoculture sur 95% ou plus de la (SAU-PP)</t>
  </si>
  <si>
    <t xml:space="preserve">1 à 2 espèces représentent plus de 80% de la (SAU-PP)</t>
  </si>
  <si>
    <t xml:space="preserve">Autres cas</t>
  </si>
  <si>
    <t xml:space="preserve">Indice de diversité des cultures (IDC)</t>
  </si>
  <si>
    <t xml:space="preserve">1 à 2</t>
  </si>
  <si>
    <t xml:space="preserve">Cultures en pur</t>
  </si>
  <si>
    <t xml:space="preserve">Nombre d'espèces en pur</t>
  </si>
  <si>
    <t xml:space="preserve">3 à 5</t>
  </si>
  <si>
    <t xml:space="preserve">Cultures en association 
(dont prairie temporaire, agroforesterie)</t>
  </si>
  <si>
    <t xml:space="preserve">Nombre d'espèce cultivée dans chaque association</t>
  </si>
  <si>
    <t xml:space="preserve">6 à 9</t>
  </si>
  <si>
    <t xml:space="preserve">10 et +</t>
  </si>
  <si>
    <t xml:space="preserve">SCORE TABLEAU</t>
  </si>
  <si>
    <t xml:space="preserve">2 ou 3 familles</t>
  </si>
  <si>
    <t xml:space="preserve">pg 10</t>
  </si>
  <si>
    <t xml:space="preserve">Référence</t>
  </si>
  <si>
    <t xml:space="preserve">L'explotation produit-elle l'ensemble des trois catégories de légumes  ? </t>
  </si>
  <si>
    <t xml:space="preserve">(tige/feuille/inflorescence; racine/tubercule/bulbe; fruits/légumes)</t>
  </si>
  <si>
    <t xml:space="preserve">Part des prairies permanentes % :</t>
  </si>
  <si>
    <t xml:space="preserve">A2 ROB2 - Diversité génétique</t>
  </si>
  <si>
    <t xml:space="preserve">pg 4-5-10-11</t>
  </si>
  <si>
    <t xml:space="preserve">Participation à des programmes de création/sélection variétale; entretien des ressources génétiques sur des races à petits effectifs ou espèces anciennes; pratique de sélection massale avec garantie sanitaire :</t>
  </si>
  <si>
    <t xml:space="preserve">pg 5-10</t>
  </si>
  <si>
    <t xml:space="preserve">Végétaux</t>
  </si>
  <si>
    <t xml:space="preserve">Prise en compte de critères de tolérance/résistance à des stress biotiques et abiotiques dans les choix variétaux et/ou de porte greffe ?</t>
  </si>
  <si>
    <t xml:space="preserve"> Dans quel but?</t>
  </si>
  <si>
    <t xml:space="preserve">Grandes cultures, cultures industrielles et cultures fourragères : pour l'espèce principale</t>
  </si>
  <si>
    <t xml:space="preserve">nom variété</t>
  </si>
  <si>
    <t xml:space="preserve">compteur variétés</t>
  </si>
  <si>
    <t xml:space="preserve">surface variété</t>
  </si>
  <si>
    <t xml:space="preserve">inconnues (mais semences)</t>
  </si>
  <si>
    <t xml:space="preserve">Présence de variété population :</t>
  </si>
  <si>
    <t xml:space="preserve">Présence au moins d'un mélange variétal intra-parcellaire :</t>
  </si>
  <si>
    <t xml:space="preserve">Part de la sole de la culture principale occupée par la variété principale (EV) :</t>
  </si>
  <si>
    <t xml:space="preserve">EV</t>
  </si>
  <si>
    <t xml:space="preserve">Nombre de variétés totales retenues (NVCgc) :</t>
  </si>
  <si>
    <t xml:space="preserve">NVCgc</t>
  </si>
  <si>
    <t xml:space="preserve">Les deux variétés principales représentent 80% ou plus de la sole de l'espèce</t>
  </si>
  <si>
    <t xml:space="preserve">≤ 3</t>
  </si>
  <si>
    <t xml:space="preserve">4 à 7</t>
  </si>
  <si>
    <t xml:space="preserve">≥ 8</t>
  </si>
  <si>
    <t xml:space="preserve">SCORE TABLEAU GRANDE CULTURE</t>
  </si>
  <si>
    <t xml:space="preserve">Arboriculture : pour l'espèce principale</t>
  </si>
  <si>
    <t xml:space="preserve">Nombre de variétés :</t>
  </si>
  <si>
    <t xml:space="preserve">Surface des deux variétés principales de la culture principale :</t>
  </si>
  <si>
    <t xml:space="preserve">Mélange de variétés intraparcellaire :</t>
  </si>
  <si>
    <t xml:space="preserve">Surface de la culture principale de l'atelier : </t>
  </si>
  <si>
    <t xml:space="preserve">Nombre de variétés totales retenues (NVCarb) :</t>
  </si>
  <si>
    <t xml:space="preserve">NVCarb</t>
  </si>
  <si>
    <t xml:space="preserve">≤ 5</t>
  </si>
  <si>
    <t xml:space="preserve">6 à 10</t>
  </si>
  <si>
    <t xml:space="preserve">≥ 10</t>
  </si>
  <si>
    <t xml:space="preserve">SCORE TABLEAU ARBORICULTURE</t>
  </si>
  <si>
    <t xml:space="preserve">SCORE VITICULTURE</t>
  </si>
  <si>
    <t xml:space="preserve">Nombre d'espèces botaniques cultivées en 3 variétés ou plus :</t>
  </si>
  <si>
    <t xml:space="preserve">SCORE MARAICHAGE</t>
  </si>
  <si>
    <t xml:space="preserve">Animaux</t>
  </si>
  <si>
    <t xml:space="preserve">(ne pas remplir si pas d'élevage)</t>
  </si>
  <si>
    <t xml:space="preserve">L'exploitation gère-t-elle la reproduction du cheptel (exploitation naisseur) :</t>
  </si>
  <si>
    <t xml:space="preserve">Nombre de mères croisées :</t>
  </si>
  <si>
    <t xml:space="preserve">Nombre total de mères :</t>
  </si>
  <si>
    <t xml:space="preserve">Ratio =</t>
  </si>
  <si>
    <t xml:space="preserve">pg 4-5</t>
  </si>
  <si>
    <t xml:space="preserve">Intégration de la rusticité comme un critère principal dans les choix de reproduction :</t>
  </si>
  <si>
    <t xml:space="preserve">non, critère secondaire ou absent</t>
  </si>
  <si>
    <t xml:space="preserve">A3 ROB3 - Diversité temporelle des cultures</t>
  </si>
  <si>
    <t xml:space="preserve">pg 8-10-11</t>
  </si>
  <si>
    <t xml:space="preserve">Grandes cultures, cultures fouragères et industrielles</t>
  </si>
  <si>
    <t xml:space="preserve">Poids des successions à délais de retour courts  (% Surface Assolable) :</t>
  </si>
  <si>
    <t xml:space="preserve">Présence de cultures pluriannuelles à fauches multiples dans la succession :</t>
  </si>
  <si>
    <t xml:space="preserve">Ex: luzerne, prairie</t>
  </si>
  <si>
    <t xml:space="preserve">Cultures perennes
(arboriculture et viticulture)</t>
  </si>
  <si>
    <t xml:space="preserve">Durée de l'interculture en viticulture :</t>
  </si>
  <si>
    <t xml:space="preserve">pg 11</t>
  </si>
  <si>
    <t xml:space="preserve">A4 ROB4 - Qualité de l'organisation spatiale</t>
  </si>
  <si>
    <t xml:space="preserve">pg 16-11</t>
  </si>
  <si>
    <t xml:space="preserve">Nombre d'unités spatiales supérieures à 12 ha :</t>
  </si>
  <si>
    <t xml:space="preserve">pg 16</t>
  </si>
  <si>
    <t xml:space="preserve">Arboriculture </t>
  </si>
  <si>
    <t xml:space="preserve">Nombre d'unités spatiales supérieures à 6 ha :</t>
  </si>
  <si>
    <t xml:space="preserve">Mise en place de cultures associés et/ou semis sous couvert sur une même planche :</t>
  </si>
  <si>
    <t xml:space="preserve">A l'aide du parcellaire PAC et de la déclaration PAC (SIE), évaluation des infrastructures agroécologiques. Mesure de la surface développée des bordures : </t>
  </si>
  <si>
    <t xml:space="preserve">Linéaire</t>
  </si>
  <si>
    <t xml:space="preserve">Coefficient conversion</t>
  </si>
  <si>
    <t xml:space="preserve">Eq Surface développée</t>
  </si>
  <si>
    <t xml:space="preserve">eq m2</t>
  </si>
  <si>
    <t xml:space="preserve">Arbres isolés (en nombre d'arbre)</t>
  </si>
  <si>
    <t xml:space="preserve">Surface en biodiversité développée en %</t>
  </si>
  <si>
    <t xml:space="preserve">Mares et lavognes (en m de perimetre)</t>
  </si>
  <si>
    <t xml:space="preserve">Muret</t>
  </si>
  <si>
    <t xml:space="preserve">m2</t>
  </si>
  <si>
    <t xml:space="preserve">STH : Prairies permanentes</t>
  </si>
  <si>
    <t xml:space="preserve">Bordures (bandes enherbées …) qui n'ont pas été comptée dans les STH</t>
  </si>
  <si>
    <t xml:space="preserve">A5 CAP1 RES1 - Gestion des insectes pollinisateurs et des auxiliaires des cultures </t>
  </si>
  <si>
    <t xml:space="preserve">pg 6-11-16</t>
  </si>
  <si>
    <r>
      <rPr>
        <b val="true"/>
        <sz val="11"/>
        <rFont val="Times New Roman"/>
        <family val="1"/>
        <charset val="1"/>
      </rPr>
      <t xml:space="preserve">SAU recevant au moins un insecticide</t>
    </r>
    <r>
      <rPr>
        <sz val="11"/>
        <rFont val="Times New Roman"/>
        <family val="1"/>
        <charset val="1"/>
      </rPr>
      <t xml:space="preserve"> :</t>
    </r>
  </si>
  <si>
    <r>
      <rPr>
        <b val="true"/>
        <sz val="11"/>
        <rFont val="Times New Roman"/>
        <family val="1"/>
        <charset val="1"/>
      </rPr>
      <t xml:space="preserve">Nombre d'UGB recevant au moins un insecticide</t>
    </r>
    <r>
      <rPr>
        <sz val="11"/>
        <rFont val="Times New Roman"/>
        <family val="1"/>
        <charset val="1"/>
      </rPr>
      <t xml:space="preserve"> :</t>
    </r>
  </si>
  <si>
    <t xml:space="preserve">UGB</t>
  </si>
  <si>
    <t xml:space="preserve">A6 AUT1 - Autonomie en énergie, matériaux, matériels, semences et plants</t>
  </si>
  <si>
    <t xml:space="preserve">pg 11-17</t>
  </si>
  <si>
    <t xml:space="preserve">Non</t>
  </si>
  <si>
    <t xml:space="preserve">Oui</t>
  </si>
  <si>
    <t xml:space="preserve">pg 17</t>
  </si>
  <si>
    <t xml:space="preserve">Autonomie dans la réparation du matériel agricole (hors entretien courant) : </t>
  </si>
  <si>
    <t xml:space="preserve">Utilisation de matériaux produits sur l’exploitation ou en groupe :</t>
  </si>
  <si>
    <t xml:space="preserve">Autonomie en matériaux et matériels agricoles :</t>
  </si>
  <si>
    <t xml:space="preserve">Part des surfaces cultivées en semences de ferme et/ou en « plants et greffons de ferme » (en %) :</t>
  </si>
  <si>
    <t xml:space="preserve">A7 AUT2 - Autonomie alimentaire de l'élevage</t>
  </si>
  <si>
    <t xml:space="preserve">Elevage principal :</t>
  </si>
  <si>
    <t xml:space="preserve">monogastrique</t>
  </si>
  <si>
    <t xml:space="preserve">Données estimées mais il est de possible de mettre les valeurs réelles si l'exploitant peut les fournir</t>
  </si>
  <si>
    <t xml:space="preserve"> Fourrage acheté :</t>
  </si>
  <si>
    <t xml:space="preserve">t MS/an</t>
  </si>
  <si>
    <r>
      <rPr>
        <b val="true"/>
        <sz val="11"/>
        <color rgb="FF000000"/>
        <rFont val="Times New Roman"/>
        <family val="1"/>
        <charset val="1"/>
      </rPr>
      <t xml:space="preserve">Quantité de fourrage consommée :
</t>
    </r>
    <r>
      <rPr>
        <i val="true"/>
        <sz val="10"/>
        <color rgb="FF000000"/>
        <rFont val="Times New Roman"/>
        <family val="1"/>
        <charset val="1"/>
      </rPr>
      <t xml:space="preserve">Estimée en multipliant le nombre d'UGB par 5tMS </t>
    </r>
  </si>
  <si>
    <t xml:space="preserve">TMS/an</t>
  </si>
  <si>
    <t xml:space="preserve">Autonomie en fourrage</t>
  </si>
  <si>
    <t xml:space="preserve">Estimée selon les productions et les achats de l'EA</t>
  </si>
  <si>
    <t xml:space="preserve">Concentré acheté :</t>
  </si>
  <si>
    <t xml:space="preserve">tonnes brutes/an</t>
  </si>
  <si>
    <r>
      <rPr>
        <b val="true"/>
        <sz val="11"/>
        <color rgb="FF000000"/>
        <rFont val="Times New Roman"/>
        <family val="1"/>
        <charset val="1"/>
      </rPr>
      <t xml:space="preserve">Quantité de concentré consommée :
</t>
    </r>
    <r>
      <rPr>
        <i val="true"/>
        <sz val="10"/>
        <color rgb="FF000000"/>
        <rFont val="Times New Roman"/>
        <family val="1"/>
        <charset val="1"/>
      </rPr>
      <t xml:space="preserve">Selon les coefficients précisés à droite</t>
    </r>
  </si>
  <si>
    <t xml:space="preserve">Autonomie en concentré</t>
  </si>
  <si>
    <t xml:space="preserve">Exemples grossiers de coefficients de consommation de concentrés (source V. Manneville)</t>
  </si>
  <si>
    <t xml:space="preserve">1VL = 1,2 tonnes concentrés
1 truie = 1,2 tonnes concentrés
500 équivalents volailles =  1,2 tonnes concentrés
Entre 5 et 6 porcs charcutiers = 1,2 tonnes concentrés</t>
  </si>
  <si>
    <t xml:space="preserve">A8 AUT3 - Autonomie en azote</t>
  </si>
  <si>
    <t xml:space="preserve">pg 13</t>
  </si>
  <si>
    <t xml:space="preserve">N importé sur l’EA :</t>
  </si>
  <si>
    <t xml:space="preserve">Kg</t>
  </si>
  <si>
    <t xml:space="preserve">N total épandu :</t>
  </si>
  <si>
    <t xml:space="preserve">Autonomie de l'EA 
vis-à-vis de l'azote extérieur</t>
  </si>
  <si>
    <t xml:space="preserve">Engrais minéral importé :</t>
  </si>
  <si>
    <t xml:space="preserve">Engrais organique importée (direct) :</t>
  </si>
  <si>
    <t xml:space="preserve">Engrais organique total (direct) :</t>
  </si>
  <si>
    <t xml:space="preserve">(legumineuse fourrage et non fourrage)</t>
  </si>
  <si>
    <t xml:space="preserve">Surface dédiée aux plantes fixatrices d'N dans l'assolement : </t>
  </si>
  <si>
    <t xml:space="preserve">Part de légumineuses dans l'assolement</t>
  </si>
  <si>
    <t xml:space="preserve">A9 RES2 - Sobriété dans l'usage de l'eau et partage de la ressource</t>
  </si>
  <si>
    <t xml:space="preserve">pg 14</t>
  </si>
  <si>
    <t xml:space="preserve">Prélèvement d'eau pour la production:</t>
  </si>
  <si>
    <t xml:space="preserve">Si Non, passer à l'indicateur suivant.</t>
  </si>
  <si>
    <t xml:space="preserve">irrigation, abreuvement, pulvérisation, transformation, lavage, …</t>
  </si>
  <si>
    <t xml:space="preserve">Sensibilité de la ressource en eau :</t>
  </si>
  <si>
    <t xml:space="preserve">Très forte sensibilité</t>
  </si>
  <si>
    <t xml:space="preserve">Forte sensibilité</t>
  </si>
  <si>
    <t xml:space="preserve">Faible sensibilité</t>
  </si>
  <si>
    <t xml:space="preserve">Sensibilité moyenne</t>
  </si>
  <si>
    <t xml:space="preserve">Quantité totale d'eau prélevée par l'exploitation :</t>
  </si>
  <si>
    <t xml:space="preserve">QP =</t>
  </si>
  <si>
    <t xml:space="preserve">en m3/an</t>
  </si>
  <si>
    <t xml:space="preserve">Pression de prélèvement</t>
  </si>
  <si>
    <t xml:space="preserve">QP &lt; 10 000 m3</t>
  </si>
  <si>
    <t xml:space="preserve">10 000 m3 &lt; QP &lt; 30 000 m3</t>
  </si>
  <si>
    <t xml:space="preserve">QP &gt; 30 000 m3</t>
  </si>
  <si>
    <t xml:space="preserve">Sensibilité de la ressource en eau</t>
  </si>
  <si>
    <t xml:space="preserve">Très forte</t>
  </si>
  <si>
    <t xml:space="preserve">Forte</t>
  </si>
  <si>
    <t xml:space="preserve">Résultat tableau croisée</t>
  </si>
  <si>
    <t xml:space="preserve">Moyenne</t>
  </si>
  <si>
    <t xml:space="preserve">Faible</t>
  </si>
  <si>
    <t xml:space="preserve">A10 RES3 - Sobriété dans l'utilisation du phosphore</t>
  </si>
  <si>
    <t xml:space="preserve">Phosphore minéral épandu (kg):</t>
  </si>
  <si>
    <t xml:space="preserve">Consommation en phosphore</t>
  </si>
  <si>
    <t xml:space="preserve">A11 RES4 - Sobriété dans la consommation en énergie</t>
  </si>
  <si>
    <t xml:space="preserve">Energie Directe</t>
  </si>
  <si>
    <t xml:space="preserve">type</t>
  </si>
  <si>
    <t xml:space="preserve">unité d'entrée</t>
  </si>
  <si>
    <t xml:space="preserve">quantité consommée</t>
  </si>
  <si>
    <t xml:space="preserve">coefficient de conversion</t>
  </si>
  <si>
    <t xml:space="preserve">quantié consommée </t>
  </si>
  <si>
    <t xml:space="preserve">en EQF / unité</t>
  </si>
  <si>
    <t xml:space="preserve">EQF</t>
  </si>
  <si>
    <t xml:space="preserve">Attention: prendre en compte l'énergie consommé par les ETA si prestation de service sur l'exploitation</t>
  </si>
  <si>
    <t xml:space="preserve">Total consommation d'énergie directe</t>
  </si>
  <si>
    <t xml:space="preserve">Energie Indirecte</t>
  </si>
  <si>
    <t xml:space="preserve">quantité achetée</t>
  </si>
  <si>
    <t xml:space="preserve">quantié consommée indirectement</t>
  </si>
  <si>
    <t xml:space="preserve">Total intrants énergétiques (en EQF)</t>
  </si>
  <si>
    <t xml:space="preserve">Tourteaux de soja</t>
  </si>
  <si>
    <t xml:space="preserve">TMB</t>
  </si>
  <si>
    <t xml:space="preserve">Tourteaux de colza</t>
  </si>
  <si>
    <t xml:space="preserve">Céréales graines (référence blé)</t>
  </si>
  <si>
    <t xml:space="preserve">pulpes surpréssées</t>
  </si>
  <si>
    <t xml:space="preserve">TMS</t>
  </si>
  <si>
    <t xml:space="preserve">Consommation en énergie (EQF/ha)</t>
  </si>
  <si>
    <t xml:space="preserve">concentré du commerce</t>
  </si>
  <si>
    <t xml:space="preserve">T</t>
  </si>
  <si>
    <t xml:space="preserve">aliments porcs (blé,orge,TS)</t>
  </si>
  <si>
    <t xml:space="preserve">Aliment volaille</t>
  </si>
  <si>
    <t xml:space="preserve">luzerne deshydratée</t>
  </si>
  <si>
    <t xml:space="preserve">Fertilisation N (ref ammonitrate)</t>
  </si>
  <si>
    <t xml:space="preserve">pour 1 unité d'N</t>
  </si>
  <si>
    <t xml:space="preserve">Total consommation d'énergie indirecte =</t>
  </si>
  <si>
    <t xml:space="preserve">A12 CAP2 - Raisonner l'utilisation de l'eau</t>
  </si>
  <si>
    <t xml:space="preserve">pg 14-15</t>
  </si>
  <si>
    <t xml:space="preserve">Réduire les besoins</t>
  </si>
  <si>
    <r>
      <rPr>
        <u val="single"/>
        <sz val="12"/>
        <color rgb="FF000000"/>
        <rFont val="Times New Roman"/>
        <family val="1"/>
        <charset val="1"/>
      </rPr>
      <t xml:space="preserve">Exploitation sans élevage</t>
    </r>
    <r>
      <rPr>
        <b val="true"/>
        <sz val="12"/>
        <color rgb="FF000000"/>
        <rFont val="Times New Roman"/>
        <family val="1"/>
        <charset val="1"/>
      </rPr>
      <t xml:space="preserve"> </t>
    </r>
  </si>
  <si>
    <t xml:space="preserve">Type de cultures consommatrices d'eau :</t>
  </si>
  <si>
    <r>
      <rPr>
        <u val="single"/>
        <sz val="12"/>
        <color rgb="FF000000"/>
        <rFont val="Times New Roman"/>
        <family val="1"/>
        <charset val="1"/>
      </rPr>
      <t xml:space="preserve">Exploitation avec élevage</t>
    </r>
    <r>
      <rPr>
        <b val="true"/>
        <u val="single"/>
        <sz val="12"/>
        <color rgb="FF000000"/>
        <rFont val="Times New Roman"/>
        <family val="1"/>
        <charset val="1"/>
      </rPr>
      <t xml:space="preserve"> </t>
    </r>
    <r>
      <rPr>
        <u val="single"/>
        <sz val="12"/>
        <color rgb="FF000000"/>
        <rFont val="Times New Roman"/>
        <family val="1"/>
        <charset val="1"/>
      </rPr>
      <t xml:space="preserve">dominant</t>
    </r>
  </si>
  <si>
    <t xml:space="preserve">Système herbagé avec pâturage dominant :</t>
  </si>
  <si>
    <t xml:space="preserve">Mise en place de stratégies d'économie (pour les irrigants):</t>
  </si>
  <si>
    <t xml:space="preserve">Exemples: 
- Evitement (variété précoce, dates de semis précoce…) 
- Atténuation des besoins (réduction de la densité, paillage, BRF…)
- Rationnement (Irrigation en dessous de l’ETM)</t>
  </si>
  <si>
    <t xml:space="preserve">Réduire le gaspillage</t>
  </si>
  <si>
    <t xml:space="preserve">Optimiser l'usage par des dispositifs économes en eau</t>
  </si>
  <si>
    <t xml:space="preserve">Efficience du lavage des produits </t>
  </si>
  <si>
    <t xml:space="preserve">matériel spécialisé économe en eau</t>
  </si>
  <si>
    <t xml:space="preserve">Efficience du matériel d'irrigation :</t>
  </si>
  <si>
    <t xml:space="preserve">micro irrigation, goutte à goutte, pivot ou rampe frontale</t>
  </si>
  <si>
    <t xml:space="preserve">Efficience de l'abreuvement :</t>
  </si>
  <si>
    <t xml:space="preserve">dispositif économe en eau tels que arrêt-flotteurs</t>
  </si>
  <si>
    <t xml:space="preserve">Efficience du lavage des bâtiments et du matériel de l'exploitation :</t>
  </si>
  <si>
    <t xml:space="preserve">matérriel économe, lavage à haute préssion</t>
  </si>
  <si>
    <t xml:space="preserve">Recycler et réutiliser l'eau</t>
  </si>
  <si>
    <t xml:space="preserve">Récupération significative des eaux de pluie pour les besoins de l'exploitation, réutilisation des eaux de drainage pour l'irrigation en serre ou réutilisation des eaux de lavage pour d'autres usages :</t>
  </si>
  <si>
    <t xml:space="preserve">A13 CAP3 -Favoriser la fertilité des sols</t>
  </si>
  <si>
    <t xml:space="preserve">Gestion de la matière organique des sols</t>
  </si>
  <si>
    <t xml:space="preserve">% de la SAU</t>
  </si>
  <si>
    <t xml:space="preserve">Actions possibles : BRF, restitution des résidus de culture à la parcelle en majorité (pailles, sarments…), production de biomasse en interculture pour restitution, enherbement des cultures pérennes, système de culture sans labour systématique et  sous couvert permanent…</t>
  </si>
  <si>
    <t xml:space="preserve">Couverture permanente du sol (au moins 3 ans)</t>
  </si>
  <si>
    <t xml:space="preserve">CPS =</t>
  </si>
  <si>
    <t xml:space="preserve">Surface non travaillée durant l'année (semi direct) y compris les prairies</t>
  </si>
  <si>
    <t xml:space="preserve">NTS =</t>
  </si>
  <si>
    <t xml:space="preserve">Surface ne recevant PAS de produits phytosanitaires</t>
  </si>
  <si>
    <t xml:space="preserve">Lesquelles :</t>
  </si>
  <si>
    <t xml:space="preserve">Agroforesterie, couverture du sol, travail simplifié, sens d'implantation, terrasses, murets, haies, bandes enherbées, dispositifs aménagés d'abreuvement, mise en place de fascine et clayon, etc.</t>
  </si>
  <si>
    <t xml:space="preserve">A14 ROB5 - Maintenir l'efficacité de la protection sanitaire des cultures et des animaux</t>
  </si>
  <si>
    <t xml:space="preserve">pg 5-11</t>
  </si>
  <si>
    <t xml:space="preserve">Usage de produits phytosanitaires ou vétérinaires :</t>
  </si>
  <si>
    <t xml:space="preserve">Oui les 2</t>
  </si>
  <si>
    <t xml:space="preserve">Uniquement pour produits phytosanitaires</t>
  </si>
  <si>
    <t xml:space="preserve">Uniquement pour produits vétérinaires</t>
  </si>
  <si>
    <t xml:space="preserve">pg 5</t>
  </si>
  <si>
    <t xml:space="preserve">Mode d'action des familles chimiques :</t>
  </si>
  <si>
    <t xml:space="preserve">Pas d'alternance</t>
  </si>
  <si>
    <t xml:space="preserve">Raisonnement du traitement :</t>
  </si>
  <si>
    <t xml:space="preserve">Traitement au cas par cas</t>
  </si>
  <si>
    <t xml:space="preserve">Raisonnement du traitement</t>
  </si>
  <si>
    <t xml:space="preserve">Mode d’action famille chimique </t>
  </si>
  <si>
    <t xml:space="preserve">Traitements avec application systématique</t>
  </si>
  <si>
    <t xml:space="preserve">Traitement cas par cas (en fonction du problème constaté)</t>
  </si>
  <si>
    <t xml:space="preserve">Alternance familles chimiques </t>
  </si>
  <si>
    <t xml:space="preserve">Absence d’alternance</t>
  </si>
  <si>
    <t xml:space="preserve">A15 ROB6 - Sécuriser la disponibilité des moyens matériels de production</t>
  </si>
  <si>
    <t xml:space="preserve">pg 4-17</t>
  </si>
  <si>
    <t xml:space="preserve">Approvisionnement en semences, phytos, engrais, aliment (coopératives et négoces).
HORS RESSOURSES FOURRAGERES (voir item 3)</t>
  </si>
  <si>
    <t xml:space="preserve">Quelques gammes sont inaccessibles ou limitées. Les délais de livraison sont parfois un peu longs.  </t>
  </si>
  <si>
    <t xml:space="preserve">Diversité des méthodologies de collecte (individuel, collective, privée), pluralité des acteurs de collecte, problème de délais de collecte (attente de la disponibilité des acteurs)</t>
  </si>
  <si>
    <t xml:space="preserve">J’ai le choix entre de nombreuses options de collectes, les acteurs sont nombreux. Je n’ai jamais eu de problème de délais</t>
  </si>
  <si>
    <t xml:space="preserve">Seuls deux ou trois acteurs de collecte sont disponibles. J’ai déjà eu des problèmes de délais. </t>
  </si>
  <si>
    <t xml:space="preserve">Au moins une de mes productions n’est pas collectée. Le retard de collecte m’a déjà fait perdre une partie de ma production.</t>
  </si>
  <si>
    <t xml:space="preserve">Pour élevage ruminant uniquement </t>
  </si>
  <si>
    <r>
      <rPr>
        <sz val="11"/>
        <color rgb="FF000000"/>
        <rFont val="Times New Roman"/>
        <family val="1"/>
        <charset val="1"/>
      </rPr>
      <t xml:space="preserve">Quantité de Stock de Fourrages à la date de mise à l'herbe des animaux  </t>
    </r>
    <r>
      <rPr>
        <b val="true"/>
        <sz val="11"/>
        <color rgb="FF000000"/>
        <rFont val="Times New Roman"/>
        <family val="1"/>
        <charset val="1"/>
      </rPr>
      <t xml:space="preserve">QSF</t>
    </r>
    <r>
      <rPr>
        <sz val="11"/>
        <color rgb="FF000000"/>
        <rFont val="Times New Roman"/>
        <family val="1"/>
        <charset val="1"/>
      </rPr>
      <t xml:space="preserve"> :</t>
    </r>
  </si>
  <si>
    <t xml:space="preserve">en TMS</t>
  </si>
  <si>
    <t xml:space="preserve">Besoin du bétail/mois:</t>
  </si>
  <si>
    <t xml:space="preserve">tMS</t>
  </si>
  <si>
    <t xml:space="preserve">Mois de sécurité en stock fourager</t>
  </si>
  <si>
    <t xml:space="preserve">A16 RES5 - Réduire l'impact des pratiques sur la qualité de l'eau</t>
  </si>
  <si>
    <t xml:space="preserve">pg 15</t>
  </si>
  <si>
    <t xml:space="preserve">Résultat du bilan apparent :</t>
  </si>
  <si>
    <t xml:space="preserve">Chargement (UGB/ha) :</t>
  </si>
  <si>
    <t xml:space="preserve">IFT Herbicide :</t>
  </si>
  <si>
    <t xml:space="preserve">Mise en place d'actions pour limiter les transferts :</t>
  </si>
  <si>
    <t xml:space="preserve">Enherbement des cultures pérennes, dispositif de remédiation (bassin "de décantation" avant rejet dans le milieu), protection par enherbement des zones de transfert rapide (au-delà des obligations BCAE), semis sous couvert permanent sans destruction chimique</t>
  </si>
  <si>
    <t xml:space="preserve">Surface en culture à forte capacité d'absorption d'azote pendant le drainage à l'automne :</t>
  </si>
  <si>
    <t xml:space="preserve">En proportion de la SAU :</t>
  </si>
  <si>
    <t xml:space="preserve">Comprend:
</t>
  </si>
  <si>
    <t xml:space="preserve">les CIPAN implantés au plus 3 semaines après les récoltes d'été (au 15 septembre max), durant au moins 3 mois ;</t>
  </si>
  <si>
    <t xml:space="preserve">les cultures de vente pièges à nitrates (notamment les crucifères et le colza) ;</t>
  </si>
  <si>
    <t xml:space="preserve">les PT de plus de 1 an qui ne seront pas retournées dans l'année ;</t>
  </si>
  <si>
    <t xml:space="preserve">les PP ;</t>
  </si>
  <si>
    <t xml:space="preserve">les surfaces enherbées en culture pérenne ;</t>
  </si>
  <si>
    <t xml:space="preserve">les cultures légumières d'automne de plein champs à forte absorption d'azote (choux, poireaux, épinards, betteraves, céleris, salades d'hivers)</t>
  </si>
  <si>
    <t xml:space="preserve">A17 RES6 - Réduire l'impact des pratiques sur la qualité de l'air</t>
  </si>
  <si>
    <t xml:space="preserve">pg 11-13-14</t>
  </si>
  <si>
    <t xml:space="preserve">Nombre de passages d'engins émetteurs de particules primaires et de gaz précurseurs de particules secondaires sur la culture principale :</t>
  </si>
  <si>
    <t xml:space="preserve">pg 13-14</t>
  </si>
  <si>
    <t xml:space="preserve">Travail du sol, récolte de tubercules, moissons, enfouissement de résidus, épandage d'engrais uréique, azoté ou de lisier…</t>
  </si>
  <si>
    <t xml:space="preserve">Nombres de pratiques de réduction des émissions de particules primaires et de gaz précurseurs de particules secondaires :</t>
  </si>
  <si>
    <t xml:space="preserve">Exemples de pratiques: couverture des fosses, filtration de l’air, lavage de l'air, pendillards, injection , enfouissement, séchage des fientes,</t>
  </si>
  <si>
    <t xml:space="preserve">activateur de litière, haie brise vent, limitation/mutualisation des transports, matériel de chauffage et de réfrégiration économe, </t>
  </si>
  <si>
    <t xml:space="preserve">méthanisation avec récupération des gaz fermentiscibles…</t>
  </si>
  <si>
    <t xml:space="preserve">IFT exploitation (Rappel)</t>
  </si>
  <si>
    <t xml:space="preserve">Pression d’usage de pesticides</t>
  </si>
  <si>
    <t xml:space="preserve">IFT ≤ 1</t>
  </si>
  <si>
    <t xml:space="preserve">1 &lt; IFT ≤ 4</t>
  </si>
  <si>
    <t xml:space="preserve">4 &lt; IFT</t>
  </si>
  <si>
    <t xml:space="preserve">Matériel 
anti-dérive</t>
  </si>
  <si>
    <t xml:space="preserve">Aucun traitement </t>
  </si>
  <si>
    <t xml:space="preserve">A18 RES7 - Réduire l'impact des pratiques sur le changement climatique</t>
  </si>
  <si>
    <t xml:space="preserve">pg 2-14</t>
  </si>
  <si>
    <t xml:space="preserve">Postes</t>
  </si>
  <si>
    <t xml:space="preserve">Valeur de l’exploitation</t>
  </si>
  <si>
    <t xml:space="preserve">Unité</t>
  </si>
  <si>
    <t xml:space="preserve">Référence en kg équivalent CO2</t>
  </si>
  <si>
    <t xml:space="preserve">Total exploitation</t>
  </si>
  <si>
    <r>
      <rPr>
        <b val="true"/>
        <sz val="10"/>
        <rFont val="Times New Roman"/>
        <family val="1"/>
        <charset val="1"/>
      </rPr>
      <t xml:space="preserve">CO</t>
    </r>
    <r>
      <rPr>
        <b val="true"/>
        <vertAlign val="subscript"/>
        <sz val="10"/>
        <rFont val="Times New Roman"/>
        <family val="1"/>
        <charset val="1"/>
      </rPr>
      <t xml:space="preserve">2</t>
    </r>
  </si>
  <si>
    <t xml:space="preserve">Gasoil, essence, fioul</t>
  </si>
  <si>
    <t xml:space="preserve">Electricité</t>
  </si>
  <si>
    <t xml:space="preserve"> KWh</t>
  </si>
  <si>
    <t xml:space="preserve">Gaz</t>
  </si>
  <si>
    <t xml:space="preserve"> m3</t>
  </si>
  <si>
    <t xml:space="preserve">N minéral épandu</t>
  </si>
  <si>
    <t xml:space="preserve">kg éléments fertilisants</t>
  </si>
  <si>
    <t xml:space="preserve">Concentrés achetés</t>
  </si>
  <si>
    <r>
      <rPr>
        <b val="true"/>
        <sz val="10"/>
        <rFont val="Times New Roman"/>
        <family val="1"/>
        <charset val="1"/>
      </rPr>
      <t xml:space="preserve">CH</t>
    </r>
    <r>
      <rPr>
        <b val="true"/>
        <vertAlign val="subscript"/>
        <sz val="10"/>
        <rFont val="Times New Roman"/>
        <family val="1"/>
        <charset val="1"/>
      </rPr>
      <t xml:space="preserve">4</t>
    </r>
  </si>
  <si>
    <t xml:space="preserve">Entérique</t>
  </si>
  <si>
    <t xml:space="preserve">UGB Ruminant</t>
  </si>
  <si>
    <t xml:space="preserve">Effluents (bat, stock)</t>
  </si>
  <si>
    <t xml:space="preserve">UGB totaux</t>
  </si>
  <si>
    <t xml:space="preserve">Mois de présence au batiment</t>
  </si>
  <si>
    <t xml:space="preserve">Pâturage</t>
  </si>
  <si>
    <t xml:space="preserve">Mois de présence en paturage</t>
  </si>
  <si>
    <r>
      <rPr>
        <b val="true"/>
        <sz val="10"/>
        <rFont val="Times New Roman"/>
        <family val="1"/>
        <charset val="1"/>
      </rPr>
      <t xml:space="preserve">N</t>
    </r>
    <r>
      <rPr>
        <b val="true"/>
        <vertAlign val="subscript"/>
        <sz val="10"/>
        <rFont val="Times New Roman"/>
        <family val="1"/>
        <charset val="1"/>
      </rPr>
      <t xml:space="preserve">2</t>
    </r>
    <r>
      <rPr>
        <b val="true"/>
        <sz val="10"/>
        <rFont val="Times New Roman"/>
        <family val="1"/>
        <charset val="1"/>
      </rPr>
      <t xml:space="preserve">O</t>
    </r>
  </si>
  <si>
    <t xml:space="preserve">Effluents (bat, stock, ép)</t>
  </si>
  <si>
    <t xml:space="preserve">kg de N</t>
  </si>
  <si>
    <t xml:space="preserve">EB : Emissions brutes (en kg éq CO2) =</t>
  </si>
  <si>
    <t xml:space="preserve">Stockage de carbone</t>
  </si>
  <si>
    <t xml:space="preserve">Prairies permanentes (STH)</t>
  </si>
  <si>
    <t xml:space="preserve">Haies</t>
  </si>
  <si>
    <t xml:space="preserve">mètres linéaires</t>
  </si>
  <si>
    <t xml:space="preserve">Agroforesterie</t>
  </si>
  <si>
    <t xml:space="preserve">100 arbres moyens</t>
  </si>
  <si>
    <t xml:space="preserve"> S : Stockage de carbone (en kg éq CO2) =</t>
  </si>
  <si>
    <t xml:space="preserve">Emissions nettes (en T eq. CO2 / an)</t>
  </si>
  <si>
    <t xml:space="preserve">T eq. CO2 / an</t>
  </si>
  <si>
    <t xml:space="preserve">A19 RES8 - Réduire l'usage des produits phytosanitaires et des traitements vétérinaires</t>
  </si>
  <si>
    <t xml:space="preserve">pg 5-11-12</t>
  </si>
  <si>
    <t xml:space="preserve">Sobriété dans l'utilisation des produits phytosanitaires 
(calcul de l'IFT global simplifié - remplir le tableau suivant - une ligne par traitement - hors produit de biocontrole (sauf soufre))</t>
  </si>
  <si>
    <t xml:space="preserve">pg 11-12</t>
  </si>
  <si>
    <t xml:space="preserve">dose utilisée à l'ha</t>
  </si>
  <si>
    <t xml:space="preserve">surface de la parcelle</t>
  </si>
  <si>
    <t xml:space="preserve">IFT traitement</t>
  </si>
  <si>
    <t xml:space="preserve">IFT global de l'exploitation : </t>
  </si>
  <si>
    <t xml:space="preserve">IFT herbicide de l'exploitation :</t>
  </si>
  <si>
    <t xml:space="preserve">Utilisation de produits de type CMR ou perturbateurs endocriniens :</t>
  </si>
  <si>
    <t xml:space="preserve">CMR : Cancérogènes, Mutagènes, Reprotoxiques</t>
  </si>
  <si>
    <t xml:space="preserve">L'exploitation a recours à des pratiques alternatives pour gérer les adventices, pathogènes et/ou ravageurs :</t>
  </si>
  <si>
    <t xml:space="preserve">Sobriété dans l'utilisation des traitements vétérinaires</t>
  </si>
  <si>
    <t xml:space="preserve">Ne pas remplir si pas d'élevage.</t>
  </si>
  <si>
    <t xml:space="preserve">Nombre de traitements vétérinaires annuels : </t>
  </si>
  <si>
    <t xml:space="preserve">Nombre de traitements vétérinaires moyen :</t>
  </si>
  <si>
    <t xml:space="preserve">Traitements homéopathiques ou par essences naturelles, implantation de plante deparasitaires :</t>
  </si>
  <si>
    <t xml:space="preserve">Absence de délais avant retour des animaux dans les parcelles :</t>
  </si>
  <si>
    <t xml:space="preserve">Utilisation d'antibiotique critique :</t>
  </si>
  <si>
    <t xml:space="preserve">III - Données socio-territoriales</t>
  </si>
  <si>
    <t xml:space="preserve">B1 CAP4 RES9- Production alimentaire de l'exploitation</t>
  </si>
  <si>
    <t xml:space="preserve">Surface consacrée à l'alimentation humaine et animale :</t>
  </si>
  <si>
    <t xml:space="preserve">Part de la SAU consacrée à l'alimentation Humaine:             PAE =</t>
  </si>
  <si>
    <t xml:space="preserve">Production de légumes secs sur l'exploitation ou de fruits et légumes destinées à la vente et à la consommation humaine :</t>
  </si>
  <si>
    <t xml:space="preserve">Présence d'ateliers de production animale hors sol :</t>
  </si>
  <si>
    <t xml:space="preserve">B2 RES10 - Contribution à l'équilibre alimentaire mondial</t>
  </si>
  <si>
    <t xml:space="preserve">pg 4-6-7</t>
  </si>
  <si>
    <t xml:space="preserve">Présence d'élevage :</t>
  </si>
  <si>
    <t xml:space="preserve">En présence d'élevage uniquement :</t>
  </si>
  <si>
    <t xml:space="preserve">Aliment du bétail concentré acheté hors projet territorial collectif :</t>
  </si>
  <si>
    <t xml:space="preserve">Taux d'importation:                  TI =</t>
  </si>
  <si>
    <t xml:space="preserve">Surface importée:</t>
  </si>
  <si>
    <t xml:space="preserve">En absence d'élevage uniquement :</t>
  </si>
  <si>
    <r>
      <rPr>
        <b val="true"/>
        <sz val="11"/>
        <rFont val="Times New Roman"/>
        <family val="1"/>
        <charset val="1"/>
      </rPr>
      <t xml:space="preserve">Surface avec p</t>
    </r>
    <r>
      <rPr>
        <b val="true"/>
        <sz val="11"/>
        <color rgb="FF000000"/>
        <rFont val="Times New Roman"/>
        <family val="1"/>
        <charset val="1"/>
      </rPr>
      <t xml:space="preserve">roduction de plantes riches en protéines :</t>
    </r>
  </si>
  <si>
    <t xml:space="preserve">Part de la SAU consacrée à la production de protéines               Pprot =</t>
  </si>
  <si>
    <t xml:space="preserve">Plantes riches en protéines : soja, tournesol, colza, protéagineux fourragers (luzene) ou alimentaires (pois, féverole, lupin), légumes secs (haricot, lentille, pois chiche)</t>
  </si>
  <si>
    <t xml:space="preserve">B3 ANC1 CAP5 - Qualité de la production</t>
  </si>
  <si>
    <t xml:space="preserve">Production à la qualité alimentaire reconnue / certifiée</t>
  </si>
  <si>
    <t xml:space="preserve">de par son originie par une IGP :</t>
  </si>
  <si>
    <t xml:space="preserve">Laquelle ?</t>
  </si>
  <si>
    <t xml:space="preserve">de par son origine par une AOP ou AOC : </t>
  </si>
  <si>
    <t xml:space="preserve">de par son process (label rouge et autres normes STG) :</t>
  </si>
  <si>
    <t xml:space="preserve">de par sa qualité nutritionnelle (lait de système herbager, alimentation à base de lin…) :</t>
  </si>
  <si>
    <t xml:space="preserve">B4 RES11 - Pertes et gaspillages</t>
  </si>
  <si>
    <t xml:space="preserve">pg 18</t>
  </si>
  <si>
    <t xml:space="preserve">Participation à un programme de prévention, de formation contre le gaspillage :</t>
  </si>
  <si>
    <t xml:space="preserve">Présence d'une capacité de stockage adaptée et de qualité sur l'exploitation :</t>
  </si>
  <si>
    <r>
      <rPr>
        <sz val="11"/>
        <color rgb="FF333333"/>
        <rFont val="Times New Roman"/>
        <family val="1"/>
        <charset val="1"/>
      </rPr>
      <t xml:space="preserve">Développement d'action sociale pour limiter les pertes de produits restés au champ (toutes formes de glanage associatif ou d’ateliers</t>
    </r>
    <r>
      <rPr>
        <sz val="11"/>
        <color rgb="FF0000FF"/>
        <rFont val="Times New Roman"/>
        <family val="1"/>
        <charset val="1"/>
      </rPr>
      <t xml:space="preserve"> </t>
    </r>
    <r>
      <rPr>
        <sz val="11"/>
        <color rgb="FF000000"/>
        <rFont val="Times New Roman"/>
        <family val="1"/>
        <charset val="1"/>
      </rPr>
      <t xml:space="preserve">cueillette à la ferme</t>
    </r>
    <r>
      <rPr>
        <sz val="11"/>
        <color rgb="FF333333"/>
        <rFont val="Times New Roman"/>
        <family val="1"/>
        <charset val="1"/>
      </rPr>
      <t xml:space="preserve">) :</t>
    </r>
  </si>
  <si>
    <t xml:space="preserve">Dons à des associations d’aide alimentaire (banque alimentaire, associations, épiceries solidaires, etc.) :</t>
  </si>
  <si>
    <t xml:space="preserve">Dons ou trocs/échanges de produits autre qu'aux associations (particulier, …) :</t>
  </si>
  <si>
    <t xml:space="preserve">Valorisation alimentaire des produits non conformes aux standards des distributeurs ou des transformateurs, ou commercialisation sans marché rémunérateur, ou adhésion à des groupements de producteurs ou de coopératives valorisant ces types de produits :</t>
  </si>
  <si>
    <t xml:space="preserve">Transformation et valorisation à destination alimentaire de tout produit qui aurait été écarté, y compris co- et sous-produits (sous toutes leurs formes) :</t>
  </si>
  <si>
    <t xml:space="preserve">Autres / Lesquelles :</t>
  </si>
  <si>
    <t xml:space="preserve">B5 RES12 - Liens sociaux, hédoniques et culturels à l'alimentation</t>
  </si>
  <si>
    <t xml:space="preserve">pg 19</t>
  </si>
  <si>
    <t xml:space="preserve">Démarches favorisant le lien ou l'entre-aide entre le consommateur et le producteur :</t>
  </si>
  <si>
    <t xml:space="preserve">Ouverture de l'exploitation aux consommateurs pour vente ou visite, contractualisation entre consommateurs et producteur (ex: AMAP), participation à des journées sur la découverte des produits alimentaires, tables d'hôtes, restauration à la ferme, commerce équitable…</t>
  </si>
  <si>
    <t xml:space="preserve">Production significative de variétés d'aliments à forte valeur patrimoniale territoriale ou peu représentées en commercialisation courante :</t>
  </si>
  <si>
    <t xml:space="preserve">oui </t>
  </si>
  <si>
    <t xml:space="preserve">B6 ANC2 -  Engagement dans des démarches environnementales contractualisées et territoriales</t>
  </si>
  <si>
    <t xml:space="preserve">pg 17-18</t>
  </si>
  <si>
    <t xml:space="preserve">Part de la SAU sous respect d’un cahier des charges territorialisé, lié ou non à un dédomagement :
-MAET
-MAEC système
-Contrat lié au document d'objectif des sites Natura 2000
-Préservation des captages
-Conventions avec des Parcs Naturels Régionaux, Réserves Naturelles, ou des Conservatoires de Sites
-Tout autre engagement de respect d'un cahier des charges précis dans des objectifs environnementaux et/ou patrimoniaux</t>
  </si>
  <si>
    <t xml:space="preserve">B7 ANC3 - Services marchands au territoire</t>
  </si>
  <si>
    <t xml:space="preserve">Services marchands :</t>
  </si>
  <si>
    <t xml:space="preserve">Le(s)quel(s) ? </t>
  </si>
  <si>
    <t xml:space="preserve">Déneigement , débroussaillage</t>
  </si>
  <si>
    <t xml:space="preserve">B8 ANC4 AUT4 - Valorisation par filières courtes ou de proximité</t>
  </si>
  <si>
    <t xml:space="preserve">pg 25</t>
  </si>
  <si>
    <t xml:space="preserve">€</t>
  </si>
  <si>
    <t xml:space="preserve">Part du CA en vente directe ou circuit court :</t>
  </si>
  <si>
    <t xml:space="preserve">Détail(s)</t>
  </si>
  <si>
    <t xml:space="preserve">B9 ANC5 - Valorisation des ressources locales</t>
  </si>
  <si>
    <t xml:space="preserve">pg 3-4-9-11-14-15-17-18</t>
  </si>
  <si>
    <t xml:space="preserve">Approvisionnements locaux auprès de la communauté agricole</t>
  </si>
  <si>
    <t xml:space="preserve">Part de l'alimentation du bétail consommé produit localement :</t>
  </si>
  <si>
    <t xml:space="preserve">Part de l'engrais organique consommé produit localement :</t>
  </si>
  <si>
    <t xml:space="preserve">Achat d'animaux sur le territoire local :</t>
  </si>
  <si>
    <t xml:space="preserve">Récupération/Valorisation d'eau de pluie :</t>
  </si>
  <si>
    <t xml:space="preserve">Approvisionnements locaux auprès des entreprises</t>
  </si>
  <si>
    <t xml:space="preserve">pg 14-17</t>
  </si>
  <si>
    <t xml:space="preserve">Utilisation d’énergie d’origine agricole ou forestière produite sur le territoire local :</t>
  </si>
  <si>
    <t xml:space="preserve">Approvisionnements locaux pour la production d’énergie sur l’exploitation (méthanisation, chaudière bois, …)</t>
  </si>
  <si>
    <t xml:space="preserve">Approvisionnements en matériaux produits localement (bois d’œuvre, piquet de vigne, …)</t>
  </si>
  <si>
    <t xml:space="preserve">Autres approvisionnements significatifs en produits locaux (emballage, bouteille, …)</t>
  </si>
  <si>
    <t xml:space="preserve">Valorisation de sous-produits issus de la communauté locale</t>
  </si>
  <si>
    <t xml:space="preserve">pg 15-18</t>
  </si>
  <si>
    <t xml:space="preserve">B10 ANC6 - Valorisation et qualité du patrimoine bâti, paysage et savoir locaux et ressources naturelles</t>
  </si>
  <si>
    <t xml:space="preserve">pg 5-11-19</t>
  </si>
  <si>
    <t xml:space="preserve">Qualité du patrimoine bâti (y compris habitation si présente sur la ferme): </t>
  </si>
  <si>
    <t xml:space="preserve">Aménagement paysager des surfaces cultivées et lisières et forêts de l’exploitation :</t>
  </si>
  <si>
    <t xml:space="preserve">Qualité et typicité architecturale et intégration paysagère :</t>
  </si>
  <si>
    <t xml:space="preserve">Mise en œuvre d’actions visant à valoriser le paysage (concours fermes fleuries, jachères fleuries, engagement chartes paysagères locales) :</t>
  </si>
  <si>
    <t xml:space="preserve">non </t>
  </si>
  <si>
    <t xml:space="preserve">Contribution par les pratiques culturales ou d’élevage, à la valorisation et à l’entretien du paysage culturel :</t>
  </si>
  <si>
    <t xml:space="preserve">Qualité des abords du siège d’exploitation :</t>
  </si>
  <si>
    <t xml:space="preserve">Comment se fait cette contribution?</t>
  </si>
  <si>
    <t xml:space="preserve">Maintien et/ou développement du patrimoine naturel génétique local:   </t>
  </si>
  <si>
    <r>
      <rPr>
        <sz val="11"/>
        <color rgb="FF000000"/>
        <rFont val="Times New Roman"/>
        <family val="1"/>
        <charset val="1"/>
      </rPr>
      <t xml:space="preserve">Présence de races/variétés/cépages </t>
    </r>
    <r>
      <rPr>
        <b val="true"/>
        <sz val="11"/>
        <color rgb="FF000000"/>
        <rFont val="Times New Roman"/>
        <family val="1"/>
        <charset val="1"/>
      </rPr>
      <t xml:space="preserve">locaux</t>
    </r>
    <r>
      <rPr>
        <sz val="11"/>
        <color rgb="FF000000"/>
        <rFont val="Times New Roman"/>
        <family val="1"/>
        <charset val="1"/>
      </rPr>
      <t xml:space="preserve"> à faibles effectifs rentrant dans l’acte de production</t>
    </r>
  </si>
  <si>
    <t xml:space="preserve">Si cultures, noms des variétés :</t>
  </si>
  <si>
    <t xml:space="preserve">Si animaux, races des animaux :</t>
  </si>
  <si>
    <t xml:space="preserve">B11 RES13 - Accessibilité de l'espace</t>
  </si>
  <si>
    <t xml:space="preserve">B12 RES14 - Gestion des déchets non organiques</t>
  </si>
  <si>
    <t xml:space="preserve">tri ou recyclage</t>
  </si>
  <si>
    <t xml:space="preserve">Résultat du tableau</t>
  </si>
  <si>
    <t xml:space="preserve">Autres 
(ampoules, tubes néons, ampoules infrarouges, à vapeur de sodium…)</t>
  </si>
  <si>
    <t xml:space="preserve">Pratiques à risques :</t>
  </si>
  <si>
    <t xml:space="preserve">B13 AUT5 CAP6 ROB7 - Réseaux d'innovation et mutualisation du matériel</t>
  </si>
  <si>
    <t xml:space="preserve">pg 17-19</t>
  </si>
  <si>
    <t xml:space="preserve">B14 ANC7 CAP7 RES15 - Contribution à l'emploi et gestion du salariat</t>
  </si>
  <si>
    <t xml:space="preserve">pg 20</t>
  </si>
  <si>
    <t xml:space="preserve">Intensité du travail (SAU/UTH) =</t>
  </si>
  <si>
    <t xml:space="preserve">Plus de 50% de la main d’œuvre saisonnière réside de façon permanente sur le territoire</t>
  </si>
  <si>
    <t xml:space="preserve">Territoire = dans un rayon de 50 km</t>
  </si>
  <si>
    <t xml:space="preserve">Nature des tâches :</t>
  </si>
  <si>
    <t xml:space="preserve">variées</t>
  </si>
  <si>
    <t xml:space="preserve">B15 ANC8 AUT6 CAP8 ROB8 - Mutualisation du travail</t>
  </si>
  <si>
    <t xml:space="preserve">pg 17-20</t>
  </si>
  <si>
    <t xml:space="preserve">Travail collectif :</t>
  </si>
  <si>
    <t xml:space="preserve">Projets productifs en commun :</t>
  </si>
  <si>
    <t xml:space="preserve">Lesquels?</t>
  </si>
  <si>
    <t xml:space="preserve">B16 CAP9 RES16 ROB9 - Intensité et qualité au travail</t>
  </si>
  <si>
    <t xml:space="preserve">0 = très insatisfait ; 4 = très satisfait</t>
  </si>
  <si>
    <t xml:space="preserve">Nombre de semaines par an où l'agriculteur se sent surchargé :</t>
  </si>
  <si>
    <t xml:space="preserve">Estimez-vous nécessaire de prendre des congés ?</t>
  </si>
  <si>
    <t xml:space="preserve">En prenez-vous ?</t>
  </si>
  <si>
    <t xml:space="preserve">Pénibilité du travail sur une échelle de 0 à -4 (très pénible)</t>
  </si>
  <si>
    <t xml:space="preserve">0 = aucune pénibilité ; - 4 = très pénible</t>
  </si>
  <si>
    <t xml:space="preserve">B17 RES17- Accueil, hygiène et sécurité</t>
  </si>
  <si>
    <t xml:space="preserve">pg 20-21</t>
  </si>
  <si>
    <t xml:space="preserve">Auto-évaluation de la qualité d'accueil et d'hébergement de la main-d'œuvre temporaire/stagiaires :</t>
  </si>
  <si>
    <t xml:space="preserve">0 = insatisfaisant ; 2 = satisfaisant</t>
  </si>
  <si>
    <t xml:space="preserve">Pratiques exposants les individus aux produits phytosanitaires :</t>
  </si>
  <si>
    <t xml:space="preserve">B18 AUT7 CAP10 ROB10 - Formation</t>
  </si>
  <si>
    <t xml:space="preserve">pg 19-20</t>
  </si>
  <si>
    <t xml:space="preserve">B19 ANC9 RES18 - Implication sociale territoriale et solidarités</t>
  </si>
  <si>
    <t xml:space="preserve">pg 21-23</t>
  </si>
  <si>
    <t xml:space="preserve">Implication dans des structures professionnelles agricoles :</t>
  </si>
  <si>
    <t xml:space="preserve">Oui, en tant que responsable</t>
  </si>
  <si>
    <t xml:space="preserve">pg 21</t>
  </si>
  <si>
    <t xml:space="preserve">Implication dans des structures non agricoles (associatives et/ou électives) hors champ professionnel dans le territoire :</t>
  </si>
  <si>
    <r>
      <rPr>
        <b val="true"/>
        <sz val="11"/>
        <color rgb="FF000000"/>
        <rFont val="Times New Roman"/>
        <family val="1"/>
        <charset val="1"/>
      </rPr>
      <t xml:space="preserve">Travail</t>
    </r>
    <r>
      <rPr>
        <b val="true"/>
        <sz val="10"/>
        <color rgb="FF333333"/>
        <rFont val="Times New Roman"/>
        <family val="1"/>
        <charset val="1"/>
      </rPr>
      <t xml:space="preserve"> </t>
    </r>
    <r>
      <rPr>
        <b val="true"/>
        <sz val="11"/>
        <color rgb="FF333333"/>
        <rFont val="Times New Roman"/>
        <family val="1"/>
        <charset val="1"/>
      </rPr>
      <t xml:space="preserve">avec des structures relevant du champ de l'économie sociale et solidaire et pratiques d’insertion et/ou d’expérimentation sociale : </t>
    </r>
  </si>
  <si>
    <t xml:space="preserve">Si non, raisons? (impossibilité réglementaire, difficultés familiales…)</t>
  </si>
  <si>
    <t xml:space="preserve">Habitation très éloignée des lieux de production (&gt;20km) : </t>
  </si>
  <si>
    <t xml:space="preserve">pg 23</t>
  </si>
  <si>
    <t xml:space="preserve">B20 RES19 - Démarche de transparence</t>
  </si>
  <si>
    <t xml:space="preserve">oui démarche non certifiée</t>
  </si>
  <si>
    <t xml:space="preserve">B21 RES20 - Qualité de vie</t>
  </si>
  <si>
    <t xml:space="preserve">B22 ROB11 - Isolement</t>
  </si>
  <si>
    <r>
      <rPr>
        <b val="true"/>
        <sz val="11"/>
        <color rgb="FF000000"/>
        <rFont val="Times New Roman"/>
        <family val="1"/>
        <charset val="1"/>
      </rPr>
      <t xml:space="preserve">Auto-estimation de</t>
    </r>
    <r>
      <rPr>
        <b val="true"/>
        <sz val="11"/>
        <color rgb="FFFF8080"/>
        <rFont val="Times New Roman"/>
        <family val="1"/>
        <charset val="1"/>
      </rPr>
      <t xml:space="preserve"> 0 à 3</t>
    </r>
    <r>
      <rPr>
        <b val="true"/>
        <i val="true"/>
        <sz val="11"/>
        <color rgb="FFFF8080"/>
        <rFont val="Times New Roman"/>
        <family val="1"/>
        <charset val="1"/>
      </rPr>
      <t xml:space="preserve"> </t>
    </r>
    <r>
      <rPr>
        <b val="true"/>
        <sz val="11"/>
        <color rgb="FF000000"/>
        <rFont val="Times New Roman"/>
        <family val="1"/>
        <charset val="1"/>
      </rPr>
      <t xml:space="preserve">du</t>
    </r>
    <r>
      <rPr>
        <b val="true"/>
        <i val="true"/>
        <sz val="11"/>
        <color rgb="FF000000"/>
        <rFont val="Times New Roman"/>
        <family val="1"/>
        <charset val="1"/>
      </rPr>
      <t xml:space="preserve"> </t>
    </r>
    <r>
      <rPr>
        <b val="true"/>
        <sz val="11"/>
        <color rgb="FF000000"/>
        <rFont val="Times New Roman"/>
        <family val="1"/>
        <charset val="1"/>
      </rPr>
      <t xml:space="preserve">sentiment d'isolement géographique, social, culturel, accès aux services publics :</t>
    </r>
  </si>
  <si>
    <t xml:space="preserve">0 = très fort sentiment d'isolement ; 3 = aucun sentiment d'isolement</t>
  </si>
  <si>
    <r>
      <rPr>
        <b val="true"/>
        <sz val="11"/>
        <color rgb="FF000000"/>
        <rFont val="Times New Roman"/>
        <family val="1"/>
        <charset val="1"/>
      </rPr>
      <t xml:space="preserve">Auto-estimation de</t>
    </r>
    <r>
      <rPr>
        <b val="true"/>
        <sz val="11"/>
        <color rgb="FFFF8080"/>
        <rFont val="Times New Roman"/>
        <family val="1"/>
        <charset val="1"/>
      </rPr>
      <t xml:space="preserve"> 0 à 3</t>
    </r>
    <r>
      <rPr>
        <b val="true"/>
        <i val="true"/>
        <sz val="11"/>
        <color rgb="FFFF8080"/>
        <rFont val="Times New Roman"/>
        <family val="1"/>
        <charset val="1"/>
      </rPr>
      <t xml:space="preserve"> </t>
    </r>
    <r>
      <rPr>
        <b val="true"/>
        <sz val="11"/>
        <color rgb="FF000000"/>
        <rFont val="Times New Roman"/>
        <family val="1"/>
        <charset val="1"/>
      </rPr>
      <t xml:space="preserve">de la qualité d'accès aux services productifs de l'exploitation :</t>
    </r>
  </si>
  <si>
    <t xml:space="preserve">0 = très mauvais accès ; 3 = très bon accès</t>
  </si>
  <si>
    <t xml:space="preserve">B23 RES21 - Bien-être animal</t>
  </si>
  <si>
    <t xml:space="preserve">pg 5-16</t>
  </si>
  <si>
    <t xml:space="preserve">Bien être des animaux d'élevage</t>
  </si>
  <si>
    <t xml:space="preserve">Bon état général du troupeau (absence de boiterie, blessures,….)</t>
  </si>
  <si>
    <t xml:space="preserve">Confort dans les bâtiments d’élevage (paillage suffisant, animaux propres, aire d'exercice non-glissant, …) et au champ (ombrage, abris,…).</t>
  </si>
  <si>
    <t xml:space="preserve">Utilisation d'outils de monitoring pour mise bas</t>
  </si>
  <si>
    <t xml:space="preserve">Conditions de transports (et abattage) respectant les obligations légales</t>
  </si>
  <si>
    <t xml:space="preserve">Fort engagement dans le métier / relation de l’éleveur à l’animal développée</t>
  </si>
  <si>
    <t xml:space="preserve">Pratiques rédhibitoires</t>
  </si>
  <si>
    <t xml:space="preserve"> Zéro-pâturage</t>
  </si>
  <si>
    <t xml:space="preserve">Remarques</t>
  </si>
  <si>
    <t xml:space="preserve">Prise en compte de la faune sauvage</t>
  </si>
  <si>
    <t xml:space="preserve">Maintien d'habitats dans les parcelles (retard de la fauche après le 15 juillet, maintien des chaumes d'environ 20 cm et/ou de bandes refuges non-récoltées)</t>
  </si>
  <si>
    <t xml:space="preserve">Utilisation de repulsifs (non toxiques), d'effaroucheurs sonores ou visuels comme mesure de préventionnon-létale</t>
  </si>
  <si>
    <t xml:space="preserve">IV - Les données économiques de l'exploitation</t>
  </si>
  <si>
    <t xml:space="preserve">Compte de résultat : CHARGES </t>
  </si>
  <si>
    <t xml:space="preserve">pg 22</t>
  </si>
  <si>
    <t xml:space="preserve">Valeur en euros</t>
  </si>
  <si>
    <t xml:space="preserve">Consommation intermédiares pour C10 (CI)</t>
  </si>
  <si>
    <r>
      <rPr>
        <u val="single"/>
        <sz val="11"/>
        <rFont val="Arial"/>
        <family val="2"/>
        <charset val="1"/>
      </rPr>
      <t xml:space="preserve">Liste des consommations prises en compte (les données en gras sont spécifiques à cet indicateur) :
</t>
    </r>
    <r>
      <rPr>
        <sz val="11"/>
        <rFont val="Arial"/>
        <family val="2"/>
        <charset val="1"/>
      </rPr>
      <t xml:space="preserve">Les charges réelles d’approvisionnement (semences, engrais, amendements, produits phytosanitaires, produits vétérinaires, aliments grossiers achetés, aliments concentrés achetés, carburants et lubrifiants, combustibles) autres fournitures stockées; 
L’eau, le gaz, l’électricité, l'eau d’irrigation; Les fournitures non stockées; 
</t>
    </r>
    <r>
      <rPr>
        <b val="true"/>
        <sz val="11"/>
        <rFont val="Arial"/>
        <family val="2"/>
        <charset val="1"/>
      </rPr>
      <t xml:space="preserve">Les loyers du matériel et des animaux (charges); L’entretien des bâtiments et du matériel; Les charges de petit matériel; 
Les frais de travaux par tiers et services pour cultures et élevages (les honoraires du vétérinaire, prestations de service liées aux carburants et combustibles);
</t>
    </r>
    <r>
      <rPr>
        <sz val="11"/>
        <rFont val="Arial"/>
        <family val="2"/>
        <charset val="1"/>
      </rPr>
      <t xml:space="preserve">Les charges opérationnelles liées à la transformation et la commercialisation
</t>
    </r>
    <r>
      <rPr>
        <b val="true"/>
        <sz val="11"/>
        <rFont val="Arial"/>
        <family val="2"/>
        <charset val="1"/>
      </rPr>
      <t xml:space="preserve">Les frais de transports et déplacements; Les frais divers de gestion, les redevances de crédit-bail;
</t>
    </r>
    <r>
      <rPr>
        <sz val="11"/>
        <rFont val="Arial"/>
        <family val="2"/>
        <charset val="1"/>
      </rPr>
      <t xml:space="preserve">Attention: Ne pas intégrer les charges de fermages; Ne pas intégrer les impôts et taxes.</t>
    </r>
  </si>
  <si>
    <t xml:space="preserve">Intrants achetés pour C11</t>
  </si>
  <si>
    <r>
      <rPr>
        <u val="single"/>
        <sz val="11"/>
        <rFont val="Arial"/>
        <family val="2"/>
        <charset val="1"/>
      </rPr>
      <t xml:space="preserve">Liste des intrants pris en compte (les données en gras sont spécifiques à cet indicateur) :
</t>
    </r>
    <r>
      <rPr>
        <sz val="11"/>
        <rFont val="Arial"/>
        <family val="2"/>
        <charset val="1"/>
      </rPr>
      <t xml:space="preserve">Les charges réelles d’approvisionnement (semences, engrais, amendements, produits phytosanitaires, produits vétérinaires, aliments grossiers achetés, aliments concentrés achetés, carburants et lubrifiants, combustibles) autres fournitures stockées;
L’eau, le gaz, l’électricité, l'eau d’irrigation;  Les fournitures non stockées; 
Les charges d'approvisionnement liées à la transformation et la commercialisation (emballages, bouchons, bouteilles, ...);
</t>
    </r>
    <r>
      <rPr>
        <b val="true"/>
        <sz val="11"/>
        <rFont val="Arial"/>
        <family val="2"/>
        <charset val="1"/>
      </rPr>
      <t xml:space="preserve">Les achats d'animaux (non reproducterurs) pour les cycles de production courts;</t>
    </r>
  </si>
  <si>
    <t xml:space="preserve">Compte de résultat : PRODUITS</t>
  </si>
  <si>
    <t xml:space="preserve">Valeur de la Production (PR) </t>
  </si>
  <si>
    <t xml:space="preserve">EMPRUNTS  </t>
  </si>
  <si>
    <t xml:space="preserve">Emprunts Long et Moyen Terme (LMT) (capital total restant du) </t>
  </si>
  <si>
    <t xml:space="preserve">Solde des comptes 16 hors comptes 1643 qui correspondent aux emprunts à court-terme et comptes 1688 qui correspondent aux interets courus
Attention: Si les comptes d’associés sont importants, il convient de les diviser en deux blocs:
• une 1ère part qui est laissée en dettes CT (prendre le montant moyen des prélèvements annuels des associés sur les 3 dernières),
• une 2nd part correspond au reste de la valeur du compte associé que l’on considère alors comme des dettes LMT.
On a alors Emprunts LMT = dettes LMT + montant du compte associé - montant moyen des prélèvements annuels des associés sur les 3 dernières années.
</t>
  </si>
  <si>
    <t xml:space="preserve">Annuités LMT (capital remboursée et intérêt des emprunts LMT)  </t>
  </si>
  <si>
    <t xml:space="preserve">Pour la partie capital: dans les débits des comptes 16, notamment 164  (attention : ne pas prendre en compte les montants du compte 1643 des emprunts CT )
Pour la partie intérêt :  soit dans les comptes 66 (intérêt d'emprunt LMT 6612), soit dans le débit des comptes 168842</t>
  </si>
  <si>
    <t xml:space="preserve">Dans les comptes 66 (plus précisément 6613)</t>
  </si>
  <si>
    <t xml:space="preserve">BILAN</t>
  </si>
  <si>
    <t xml:space="preserve">Actif net hors foncier </t>
  </si>
  <si>
    <t xml:space="preserve">actif net total (en bas de l'actif) - valeur des terres (dans la catégorie immobilisations corporelles de l'actif)</t>
  </si>
  <si>
    <t xml:space="preserve">Capitaux permanents</t>
  </si>
  <si>
    <t xml:space="preserve">capitaux propres + provisions pour risques et charges + emprunt LMT</t>
  </si>
  <si>
    <t xml:space="preserve">C1 CAP11 - Capacité économique</t>
  </si>
  <si>
    <t xml:space="preserve">Besoin en Financement:</t>
  </si>
  <si>
    <t xml:space="preserve">BF=</t>
  </si>
  <si>
    <t xml:space="preserve">Capacité Economique:</t>
  </si>
  <si>
    <t xml:space="preserve">CE  =</t>
  </si>
  <si>
    <t xml:space="preserve">SMIC net mensuel en € à saisir </t>
  </si>
  <si>
    <t xml:space="preserve">SMIC net annuel en €</t>
  </si>
  <si>
    <t xml:space="preserve">CE/SMIC net =</t>
  </si>
  <si>
    <t xml:space="preserve">C2 CAP12 - Poids de la dette</t>
  </si>
  <si>
    <t xml:space="preserve">Poids de la dette (PdD) =</t>
  </si>
  <si>
    <t xml:space="preserve">Pdd =</t>
  </si>
  <si>
    <t xml:space="preserve">C3 AUT8 CAP13 - Taux d'endettement structurel</t>
  </si>
  <si>
    <t xml:space="preserve">Taux d'Endettement Structurel ( TES) en % =</t>
  </si>
  <si>
    <t xml:space="preserve">TES =</t>
  </si>
  <si>
    <t xml:space="preserve">C4 ROB12 - Diversification productive</t>
  </si>
  <si>
    <t xml:space="preserve">pg 24</t>
  </si>
  <si>
    <t xml:space="preserve">CA produits 
(hors subvention)</t>
  </si>
  <si>
    <t xml:space="preserve">CA</t>
  </si>
  <si>
    <t xml:space="preserve">Produit brut année N (hors subvention)</t>
  </si>
  <si>
    <t xml:space="preserve">Atelier 1 : grandes cultures  (hors contrat) </t>
  </si>
  <si>
    <t xml:space="preserve">maïs- sorgho</t>
  </si>
  <si>
    <t xml:space="preserve">Atelier 2 : cultures industrielles (dont plantes à fibres, semences, plantes aromatiques et médécinales et grandes cultures sous contrat)</t>
  </si>
  <si>
    <t xml:space="preserve">Part de l'atelier productif le plus important :</t>
  </si>
  <si>
    <t xml:space="preserve">Autres culture</t>
  </si>
  <si>
    <t xml:space="preserve">culture 4</t>
  </si>
  <si>
    <t xml:space="preserve">Nombre de produits vendus représentant plus de 20% du CA :</t>
  </si>
  <si>
    <t xml:space="preserve">arbo: espèce 4</t>
  </si>
  <si>
    <t xml:space="preserve">Atelier  5 :  viticulture et vinification</t>
  </si>
  <si>
    <t xml:space="preserve">Atelier  9 : caprin lait et viande </t>
  </si>
  <si>
    <t xml:space="preserve">Atelier 13 Autres typres de production (dont éléctricité, gaz naturel, …)</t>
  </si>
  <si>
    <t xml:space="preserve">CA total =</t>
  </si>
  <si>
    <t xml:space="preserve">PB total =</t>
  </si>
  <si>
    <t xml:space="preserve">C5 AUT9 ROB13 - Diversification et relations contractuelles</t>
  </si>
  <si>
    <t xml:space="preserve">Ateliers principal en intégration :</t>
  </si>
  <si>
    <t xml:space="preserve">C6 AUT10 - Sensibilité aux aides</t>
  </si>
  <si>
    <t xml:space="preserve">Sensibilité aux aides :</t>
  </si>
  <si>
    <t xml:space="preserve">%  SA =</t>
  </si>
  <si>
    <t xml:space="preserve">C7 ROB14 - Contribution de revenu extérieur à l'indépendance</t>
  </si>
  <si>
    <t xml:space="preserve">Revenu significatif extérieur ou issu de la pluriactivité de l'agriculteur </t>
  </si>
  <si>
    <t xml:space="preserve">Lequel ?</t>
  </si>
  <si>
    <t xml:space="preserve">y compris revenu du conjoit/de la conjointe</t>
  </si>
  <si>
    <t xml:space="preserve">C8 ROB15 - Transmissibilité économique</t>
  </si>
  <si>
    <t xml:space="preserve">Capital hors foncier € / UTH NS = </t>
  </si>
  <si>
    <t xml:space="preserve">EBE (€) / UTH NS =</t>
  </si>
  <si>
    <t xml:space="preserve">C9 ROB16 - Pérennité problable</t>
  </si>
  <si>
    <t xml:space="preserve">Que pensez-vous de l'existence de votre exploitation dans 10 ans ?</t>
  </si>
  <si>
    <t xml:space="preserve">Projet de développement, d'aménagement ou d'extension :</t>
  </si>
  <si>
    <t xml:space="preserve">Quels sont ce(s) projet(s) ?</t>
  </si>
  <si>
    <t xml:space="preserve">Structure du parcellaire :</t>
  </si>
  <si>
    <t xml:space="preserve">C10 CAP14 - Efficience brute du processus productif</t>
  </si>
  <si>
    <t xml:space="preserve">Efficience Brute :</t>
  </si>
  <si>
    <t xml:space="preserve">EB = </t>
  </si>
  <si>
    <t xml:space="preserve">C11 RES22 - Sobriété en intrants dans le processus productif</t>
  </si>
  <si>
    <t xml:space="preserve">Dépenses en Intrants :</t>
  </si>
  <si>
    <t xml:space="preserve">DI = </t>
  </si>
  <si>
    <t xml:space="preserve">Outils de calcul du Bilan apparent </t>
  </si>
  <si>
    <t xml:space="preserve">Adapté d'après F. Vertes  (INRA Quimper, version janvier 2005)</t>
  </si>
  <si>
    <t xml:space="preserve">Sources des données utilisées pour le calcul du Bilan apparent</t>
  </si>
  <si>
    <t xml:space="preserve">Code couleur</t>
  </si>
  <si>
    <t xml:space="preserve">N°</t>
  </si>
  <si>
    <t xml:space="preserve">Outil de calcul du Bilan apparent Version 2005 (F. Vertes, Inra Quimper)</t>
  </si>
  <si>
    <r>
      <rPr>
        <sz val="10"/>
        <rFont val="Arial"/>
        <family val="2"/>
        <charset val="1"/>
      </rPr>
      <t xml:space="preserve">Résumé sipmlifié du </t>
    </r>
    <r>
      <rPr>
        <i val="true"/>
        <sz val="10"/>
        <rFont val="Arial"/>
        <family val="2"/>
        <charset val="1"/>
      </rPr>
      <t xml:space="preserve">bilan des minéraux, cahier de l'éleveur, comptabilité des minéraux azote, phosphore, potasse</t>
    </r>
    <r>
      <rPr>
        <sz val="10"/>
        <rFont val="Arial"/>
        <family val="2"/>
        <charset val="1"/>
      </rPr>
      <t xml:space="preserve"> publié par l'Institut de l'élevage, D'après La méthode IDEA Guide d'utilisation 2002</t>
    </r>
  </si>
  <si>
    <t xml:space="preserve">RIBEREAU-GAYON J., PEYNAUD E., Traité d’ampélologie, sciences et techniques de la vigne, tome 1 – biologie de la vigne, sols de vignobles, Dunod, Paris, 1971</t>
  </si>
  <si>
    <t xml:space="preserve">Titre</t>
  </si>
  <si>
    <t xml:space="preserve">Données moyennes tirées de la bibliographie (d'après contact avec la Station expérimentale de Creysse)</t>
  </si>
  <si>
    <t xml:space="preserve">ETUDE DES CARACTERISTIQUES ENVIRONNEMENTALES DU CHANVRE PAR L’ANALYSE DE SON CYCLE DE VIE (Ministère de l'agriculture et de la pêche, septembre 2006) </t>
  </si>
  <si>
    <t xml:space="preserve">E1 - Entrée par engrais chimiques </t>
  </si>
  <si>
    <t xml:space="preserve">Fertliser avec les engrais de ferme, Institut de l'élevage, ITAVI, ITCF, ITP, 2001</t>
  </si>
  <si>
    <t xml:space="preserve">Institut de l'élevage</t>
  </si>
  <si>
    <t xml:space="preserve">Les engrais minéraux achetés</t>
  </si>
  <si>
    <t xml:space="preserve">IDEA 3</t>
  </si>
  <si>
    <t xml:space="preserve">Source des données</t>
  </si>
  <si>
    <t xml:space="preserve">*</t>
  </si>
  <si>
    <t xml:space="preserve">Sans Objet</t>
  </si>
  <si>
    <t xml:space="preserve">NPK 12-24-12</t>
  </si>
  <si>
    <t xml:space="preserve">KornKali</t>
  </si>
  <si>
    <t xml:space="preserve">Total (kg)</t>
  </si>
  <si>
    <t xml:space="preserve">Conversion</t>
  </si>
  <si>
    <t xml:space="preserve">P</t>
  </si>
  <si>
    <t xml:space="preserve">K</t>
  </si>
  <si>
    <t xml:space="preserve">Total entrée engrais minéral (kg)</t>
  </si>
  <si>
    <t xml:space="preserve">E2 - Entrée par engrais organiques (importés)</t>
  </si>
  <si>
    <t xml:space="preserve">Les engrais organiques achetés </t>
  </si>
  <si>
    <t xml:space="preserve">tonnes ou m3</t>
  </si>
  <si>
    <t xml:space="preserve">kg N/m3 ou kg N /tonnes </t>
  </si>
  <si>
    <t xml:space="preserve">Bovins</t>
  </si>
  <si>
    <t xml:space="preserve">Ovins</t>
  </si>
  <si>
    <t xml:space="preserve">Fumier ovin</t>
  </si>
  <si>
    <t xml:space="preserve">Caprins</t>
  </si>
  <si>
    <t xml:space="preserve">Fumier caprin</t>
  </si>
  <si>
    <t xml:space="preserve">Volailles</t>
  </si>
  <si>
    <t xml:space="preserve">Porcs</t>
  </si>
  <si>
    <t xml:space="preserve">quelles proportions ?</t>
  </si>
  <si>
    <t xml:space="preserve">Compost fumiers + tourteaux (type Végor, Végéh...)</t>
  </si>
  <si>
    <t xml:space="preserve">E3 - Entrée d'azote atmosphérique par les légumineuses</t>
  </si>
  <si>
    <t xml:space="preserve">E3.1 - Légumineuse de prairie</t>
  </si>
  <si>
    <t xml:space="preserve">Autre mélange       G + L</t>
  </si>
  <si>
    <t xml:space="preserve">Attention si vous avez rajouter des entrées de prairie dans la liste du parcellaire à la cellule , les données de ces dernières ne sont pas redirigées automatiquement dans ce tableau</t>
  </si>
  <si>
    <t xml:space="preserve">%Legumineuse</t>
  </si>
  <si>
    <t xml:space="preserve">rendement </t>
  </si>
  <si>
    <t xml:space="preserve">tonne MS / ha</t>
  </si>
  <si>
    <t xml:space="preserve">kg N / tMS </t>
  </si>
  <si>
    <t xml:space="preserve">Azote fixé </t>
  </si>
  <si>
    <t xml:space="preserve">kg N / ha</t>
  </si>
  <si>
    <t xml:space="preserve">Surface PT Gram+Leg**</t>
  </si>
  <si>
    <t xml:space="preserve">Azote total fixé</t>
  </si>
  <si>
    <t xml:space="preserve">kg N </t>
  </si>
  <si>
    <t xml:space="preserve">E3.2 - Culture de légumineuses pures</t>
  </si>
  <si>
    <t xml:space="preserve">rendement</t>
  </si>
  <si>
    <t xml:space="preserve">N fixé/tMS</t>
  </si>
  <si>
    <t xml:space="preserve">kg N / t MS</t>
  </si>
  <si>
    <t xml:space="preserve">Azote fixé     (kg N/ha)</t>
  </si>
  <si>
    <t xml:space="preserve">Rendement q MF / ha</t>
  </si>
  <si>
    <t xml:space="preserve">Trèfle violet pur</t>
  </si>
  <si>
    <t xml:space="preserve">Luzerne</t>
  </si>
  <si>
    <t xml:space="preserve">Pois</t>
  </si>
  <si>
    <t xml:space="preserve">Autre leg pure</t>
  </si>
  <si>
    <t xml:space="preserve">Féverole print.</t>
  </si>
  <si>
    <t xml:space="preserve">Féverole hiver</t>
  </si>
  <si>
    <t xml:space="preserve">Lupin print.</t>
  </si>
  <si>
    <t xml:space="preserve">N fixé/tMF</t>
  </si>
  <si>
    <t xml:space="preserve">Soja</t>
  </si>
  <si>
    <t xml:space="preserve">q MF / ha</t>
  </si>
  <si>
    <t xml:space="preserve">Haricots</t>
  </si>
  <si>
    <t xml:space="preserve">haricot grain</t>
  </si>
  <si>
    <t xml:space="preserve">kg N</t>
  </si>
  <si>
    <t xml:space="preserve">Total légumineuse pures</t>
  </si>
  <si>
    <t xml:space="preserve">Total légumineuses</t>
  </si>
  <si>
    <t xml:space="preserve">E4 - Entrée par les aliments</t>
  </si>
  <si>
    <t xml:space="preserve">Quantité achetée (tonnes brutes)</t>
  </si>
  <si>
    <t xml:space="preserve">Matières premières</t>
  </si>
  <si>
    <t xml:space="preserve">Tonnes brutes</t>
  </si>
  <si>
    <t xml:space="preserve">kg / tonne produit brute</t>
  </si>
  <si>
    <t xml:space="preserve">Aliment porstsevrage</t>
  </si>
  <si>
    <t xml:space="preserve">Tonne de MS</t>
  </si>
  <si>
    <t xml:space="preserve">kg / t MS</t>
  </si>
  <si>
    <t xml:space="preserve">A valider</t>
  </si>
  <si>
    <t xml:space="preserve">E5 - Entrée par les animaux</t>
  </si>
  <si>
    <t xml:space="preserve">Type d'animaux :</t>
  </si>
  <si>
    <t xml:space="preserve">poids unitaire</t>
  </si>
  <si>
    <t xml:space="preserve">kg accès réfèrences</t>
  </si>
  <si>
    <t xml:space="preserve">kg N / tonne</t>
  </si>
  <si>
    <t xml:space="preserve">Chevaux/ Juments</t>
  </si>
  <si>
    <t xml:space="preserve">Anes / Anesses</t>
  </si>
  <si>
    <t xml:space="preserve">Abeilles</t>
  </si>
  <si>
    <t xml:space="preserve">Total N</t>
  </si>
  <si>
    <t xml:space="preserve">S1 - Sortie par les engrais organiques</t>
  </si>
  <si>
    <t xml:space="preserve">On ne considère que les engrais organiques qui sortent que de l'exploitation (vente)</t>
  </si>
  <si>
    <t xml:space="preserve">Type d'effluents</t>
  </si>
  <si>
    <t xml:space="preserve">Quantités quittant l'exploitation</t>
  </si>
  <si>
    <t xml:space="preserve">tonne ou m3</t>
  </si>
  <si>
    <t xml:space="preserve">kg / m3 ou        kg / tonne </t>
  </si>
  <si>
    <t xml:space="preserve">S2 - Sortie par les végétaux</t>
  </si>
  <si>
    <t xml:space="preserve">Cultures</t>
  </si>
  <si>
    <t xml:space="preserve">Tonne produit brute</t>
  </si>
  <si>
    <t xml:space="preserve">Autre 1 : maîs semences</t>
  </si>
  <si>
    <t xml:space="preserve">tonne MS</t>
  </si>
  <si>
    <t xml:space="preserve">maïs ensilage</t>
  </si>
  <si>
    <t xml:space="preserve">Luzerne (déshydratée)</t>
  </si>
  <si>
    <t xml:space="preserve">S3 - Sortie par les Fruits et légumes</t>
  </si>
  <si>
    <t xml:space="preserve">Type de fruits/légumes</t>
  </si>
  <si>
    <t xml:space="preserve">Quantité vendues</t>
  </si>
  <si>
    <t xml:space="preserve">Tonnes brutes (*ou pour 1000 têtes)</t>
  </si>
  <si>
    <t xml:space="preserve">kg / Tonne de produits frais (*ou kg / 1000 têtes)</t>
  </si>
  <si>
    <t xml:space="preserve">Artichauts camus, castel</t>
  </si>
  <si>
    <r>
      <rPr>
        <sz val="10"/>
        <rFont val="Arial"/>
        <family val="2"/>
        <charset val="1"/>
      </rPr>
      <t xml:space="preserve">Artichauts violet </t>
    </r>
    <r>
      <rPr>
        <b val="true"/>
        <sz val="12"/>
        <rFont val="Arial"/>
        <family val="2"/>
        <charset val="1"/>
      </rPr>
      <t xml:space="preserve">*</t>
    </r>
  </si>
  <si>
    <t xml:space="preserve">Brocolis industriel</t>
  </si>
  <si>
    <t xml:space="preserve">Brocolis marché frais</t>
  </si>
  <si>
    <t xml:space="preserve">Carotte de terre</t>
  </si>
  <si>
    <t xml:space="preserve">Carotte grosse industrie</t>
  </si>
  <si>
    <t xml:space="preserve">Carotte jeune industrie</t>
  </si>
  <si>
    <t xml:space="preserve">Céleri branche</t>
  </si>
  <si>
    <t xml:space="preserve">Céleri rave</t>
  </si>
  <si>
    <t xml:space="preserve">Choux Cabu rouge et vert (pommes)</t>
  </si>
  <si>
    <r>
      <rPr>
        <sz val="10"/>
        <rFont val="Arial"/>
        <family val="2"/>
        <charset val="1"/>
      </rPr>
      <t xml:space="preserve">Choux fleurs couronné (vrac) </t>
    </r>
    <r>
      <rPr>
        <b val="true"/>
        <sz val="12"/>
        <rFont val="Arial"/>
        <family val="2"/>
        <charset val="1"/>
      </rPr>
      <t xml:space="preserve">*</t>
    </r>
  </si>
  <si>
    <r>
      <rPr>
        <sz val="10"/>
        <rFont val="Arial"/>
        <family val="2"/>
        <charset val="1"/>
      </rPr>
      <t xml:space="preserve">Choux fleurs surgélation (conditionné au champ) </t>
    </r>
    <r>
      <rPr>
        <b val="true"/>
        <sz val="12"/>
        <rFont val="Arial"/>
        <family val="2"/>
        <charset val="1"/>
      </rPr>
      <t xml:space="preserve">*</t>
    </r>
  </si>
  <si>
    <t xml:space="preserve">Choux milan</t>
  </si>
  <si>
    <t xml:space="preserve">Courgettes</t>
  </si>
  <si>
    <t xml:space="preserve">Echalotte</t>
  </si>
  <si>
    <t xml:space="preserve">Endives (chicons)</t>
  </si>
  <si>
    <t xml:space="preserve">Endives (racines)</t>
  </si>
  <si>
    <t xml:space="preserve">Epinard</t>
  </si>
  <si>
    <t xml:space="preserve">Fenouil</t>
  </si>
  <si>
    <t xml:space="preserve">Flageolet</t>
  </si>
  <si>
    <t xml:space="preserve">Fraise gariguettes et darselect</t>
  </si>
  <si>
    <t xml:space="preserve">Haricot coco frais (gousse)</t>
  </si>
  <si>
    <t xml:space="preserve">Haricot grain sec</t>
  </si>
  <si>
    <r>
      <rPr>
        <sz val="10"/>
        <rFont val="Arial"/>
        <family val="2"/>
        <charset val="1"/>
      </rPr>
      <t xml:space="preserve">Laitue Iceberg </t>
    </r>
    <r>
      <rPr>
        <b val="true"/>
        <sz val="12"/>
        <rFont val="Arial"/>
        <family val="2"/>
        <charset val="1"/>
      </rPr>
      <t xml:space="preserve">*</t>
    </r>
  </si>
  <si>
    <t xml:space="preserve">Navet</t>
  </si>
  <si>
    <t xml:space="preserve">Oignon</t>
  </si>
  <si>
    <t xml:space="preserve">Persil 4 coupes</t>
  </si>
  <si>
    <t xml:space="preserve">Poireau</t>
  </si>
  <si>
    <t xml:space="preserve">Pois de conserve</t>
  </si>
  <si>
    <t xml:space="preserve">Pomme de terre consommation</t>
  </si>
  <si>
    <t xml:space="preserve">Pomme de terre plant</t>
  </si>
  <si>
    <t xml:space="preserve">Pomme de terre primeur </t>
  </si>
  <si>
    <t xml:space="preserve">Raisin (pour vinification ou raisin de table)</t>
  </si>
  <si>
    <t xml:space="preserve">attention, si rendement en hl, les convertir en kg (1l = 1,3kg)</t>
  </si>
  <si>
    <t xml:space="preserve">Serment (taille annuelle des pieds de vigne si pas d’enfouissement)</t>
  </si>
  <si>
    <t xml:space="preserve">si serment sont exportés ou brûlés. Ne pas compléter en cas de broyage sur place.</t>
  </si>
  <si>
    <t xml:space="preserve">à compléter</t>
  </si>
  <si>
    <t xml:space="preserve">accumulation dans la charpente et racines annuellement</t>
  </si>
  <si>
    <t xml:space="preserve">peut être considérer uniquement les trois premières années</t>
  </si>
  <si>
    <r>
      <rPr>
        <sz val="10"/>
        <rFont val="Arial"/>
        <family val="2"/>
        <charset val="1"/>
      </rPr>
      <t xml:space="preserve">Salades de plein champ</t>
    </r>
    <r>
      <rPr>
        <b val="true"/>
        <sz val="12"/>
        <rFont val="Arial"/>
        <family val="2"/>
        <charset val="1"/>
      </rPr>
      <t xml:space="preserve"> *</t>
    </r>
  </si>
  <si>
    <t xml:space="preserve">Tournesol (grain)</t>
  </si>
  <si>
    <t xml:space="preserve">Taille annuelle des arbres</t>
  </si>
  <si>
    <t xml:space="preserve">Jean-Luc Regnard</t>
  </si>
  <si>
    <t xml:space="preserve">Sylvaine Simon (INRA Gotron)</t>
  </si>
  <si>
    <t xml:space="preserve">Accumulation dans la charpente et les racines</t>
  </si>
  <si>
    <t xml:space="preserve">S4 - Sortie par le lait et les œufs</t>
  </si>
  <si>
    <t xml:space="preserve">Production de lait</t>
  </si>
  <si>
    <t xml:space="preserve">Quantité de lait</t>
  </si>
  <si>
    <t xml:space="preserve">TP </t>
  </si>
  <si>
    <t xml:space="preserve">litre</t>
  </si>
  <si>
    <t xml:space="preserve">(g/litre)</t>
  </si>
  <si>
    <t xml:space="preserve">kg / 1000l</t>
  </si>
  <si>
    <t xml:space="preserve">Vache</t>
  </si>
  <si>
    <t xml:space="preserve">Brebis</t>
  </si>
  <si>
    <t xml:space="preserve">Chèvre</t>
  </si>
  <si>
    <t xml:space="preserve">Production d'œufs</t>
  </si>
  <si>
    <t xml:space="preserve">Nombre d'œufs</t>
  </si>
  <si>
    <t xml:space="preserve">Poids unitaire </t>
  </si>
  <si>
    <t xml:space="preserve">Nombres</t>
  </si>
  <si>
    <t xml:space="preserve">kg N/tonnes</t>
  </si>
  <si>
    <t xml:space="preserve">Oeuf de canard</t>
  </si>
  <si>
    <t xml:space="preserve">Oeuf de dinde</t>
  </si>
  <si>
    <t xml:space="preserve">Oeuf de poule</t>
  </si>
  <si>
    <t xml:space="preserve">Oeuf d'oie</t>
  </si>
  <si>
    <t xml:space="preserve">Total lait+œufs</t>
  </si>
  <si>
    <t xml:space="preserve">S5 - Sortie par les animaux</t>
  </si>
  <si>
    <t xml:space="preserve">ok</t>
  </si>
  <si>
    <t xml:space="preserve">Viande produite : </t>
  </si>
  <si>
    <t xml:space="preserve">Nb vendus</t>
  </si>
  <si>
    <t xml:space="preserve">Poids total sortie</t>
  </si>
  <si>
    <t xml:space="preserve">Chevaux/Juments</t>
  </si>
  <si>
    <t xml:space="preserve">Anes/Anesses</t>
  </si>
  <si>
    <t xml:space="preserve">Stockage N sous les prairies permanentes</t>
  </si>
  <si>
    <t xml:space="preserve"> fonction ajoutée pour IDEA 4</t>
  </si>
  <si>
    <t xml:space="preserve">Surface en prairies permanentes</t>
  </si>
  <si>
    <t xml:space="preserve">Quantité d’azote stockée </t>
  </si>
  <si>
    <t xml:space="preserve">Quantité totale d'azote stockée sous les PP</t>
  </si>
  <si>
    <t xml:space="preserve">kg / an / ha</t>
  </si>
  <si>
    <t xml:space="preserve">kg / an</t>
  </si>
  <si>
    <t xml:space="preserve">Volatilisation de l'azote</t>
  </si>
  <si>
    <t xml:space="preserve">N volatilisé issu du NH3</t>
  </si>
  <si>
    <t xml:space="preserve">Nbr d'UGB</t>
  </si>
  <si>
    <t xml:space="preserve">coef</t>
  </si>
  <si>
    <t xml:space="preserve">kg / UGB</t>
  </si>
  <si>
    <t xml:space="preserve">N volatilisé issu du NO2</t>
  </si>
  <si>
    <t xml:space="preserve">Emissions de NO2 </t>
  </si>
  <si>
    <t xml:space="preserve">PRC</t>
  </si>
  <si>
    <t xml:space="preserve">Coef de conversion</t>
  </si>
  <si>
    <t xml:space="preserve">kg eq-CO2 </t>
  </si>
  <si>
    <t xml:space="preserve">de NO2 à N</t>
  </si>
  <si>
    <t xml:space="preserve">Total N volatilisé</t>
  </si>
  <si>
    <t xml:space="preserve">Bilan de l'azote</t>
  </si>
  <si>
    <t xml:space="preserve">Entrées</t>
  </si>
  <si>
    <t xml:space="preserve">SAU (ha)</t>
  </si>
  <si>
    <t xml:space="preserve">E1 - Engrais chimiques </t>
  </si>
  <si>
    <t xml:space="preserve">E2 - Engrais organiques </t>
  </si>
  <si>
    <t xml:space="preserve">E3 - Azote atmosphérique par les légumineuses</t>
  </si>
  <si>
    <t xml:space="preserve">E4 - Aliments</t>
  </si>
  <si>
    <t xml:space="preserve">E5 - Animaux</t>
  </si>
  <si>
    <t xml:space="preserve">Total entrées</t>
  </si>
  <si>
    <t xml:space="preserve">S1 - Engrais organiques</t>
  </si>
  <si>
    <t xml:space="preserve">S2 - Végétaux</t>
  </si>
  <si>
    <t xml:space="preserve">S3 - Légumes</t>
  </si>
  <si>
    <t xml:space="preserve">S4 - Lait et œufs</t>
  </si>
  <si>
    <t xml:space="preserve">S5 - Animaux</t>
  </si>
  <si>
    <t xml:space="preserve">Total sorties</t>
  </si>
  <si>
    <t xml:space="preserve">Solde du bilan</t>
  </si>
  <si>
    <t xml:space="preserve">- stock sous les prairies permanentes</t>
  </si>
  <si>
    <t xml:space="preserve">- N volatilisé</t>
  </si>
  <si>
    <t xml:space="preserve">Excédent d'azote</t>
  </si>
  <si>
    <t xml:space="preserve">kg N /ha SAU</t>
  </si>
  <si>
    <t xml:space="preserve">Résultat </t>
  </si>
  <si>
    <t xml:space="preserve">Excédent d'azote / ha</t>
  </si>
  <si>
    <t xml:space="preserve">Source : Régions-et-departements.fr/departements-francais (consulté en 01/2020)</t>
  </si>
  <si>
    <t xml:space="preserve">Source : Agrest  - Recensement agricole 2010 (consulté en 01/2020)</t>
  </si>
  <si>
    <t xml:space="preserve">1 - Ain</t>
  </si>
  <si>
    <t xml:space="preserve">1500 - Céréales et oléoprotéagineux</t>
  </si>
  <si>
    <t xml:space="preserve">2 - Aisne</t>
  </si>
  <si>
    <t xml:space="preserve">1600 - Autres grandes cultures</t>
  </si>
  <si>
    <t xml:space="preserve">3 - Allier</t>
  </si>
  <si>
    <t xml:space="preserve">2800 - Maraîchage et champignon</t>
  </si>
  <si>
    <t xml:space="preserve">4 - Alpes-de-Haute-Provence</t>
  </si>
  <si>
    <t xml:space="preserve">2900 - Fleurs et horticulture diverse</t>
  </si>
  <si>
    <t xml:space="preserve">5 - Hautes-Alpes</t>
  </si>
  <si>
    <t xml:space="preserve">3500 - Viticulture</t>
  </si>
  <si>
    <t xml:space="preserve">6 - Alpes-Maritimes</t>
  </si>
  <si>
    <t xml:space="preserve">3900 - Fruits et autres cultures permanentes</t>
  </si>
  <si>
    <t xml:space="preserve">7 - Ardèche</t>
  </si>
  <si>
    <t xml:space="preserve">4500 - Bovins lait</t>
  </si>
  <si>
    <t xml:space="preserve">8 - Ardennes</t>
  </si>
  <si>
    <t xml:space="preserve">4600 - Bovins viande</t>
  </si>
  <si>
    <t xml:space="preserve">9 - Ariège</t>
  </si>
  <si>
    <t xml:space="preserve">4700 - Bovins mixte (lait viande)</t>
  </si>
  <si>
    <t xml:space="preserve">10 - Aube</t>
  </si>
  <si>
    <t xml:space="preserve">4813 - Ovins et caprins</t>
  </si>
  <si>
    <t xml:space="preserve">11 - Aude</t>
  </si>
  <si>
    <t xml:space="preserve">4840 - Autres herbivores</t>
  </si>
  <si>
    <t xml:space="preserve">12 - Aveyron</t>
  </si>
  <si>
    <t xml:space="preserve">5100 - Porcins</t>
  </si>
  <si>
    <t xml:space="preserve">13 - Bouches-du-Rhône</t>
  </si>
  <si>
    <t xml:space="preserve">5200 - Volailles</t>
  </si>
  <si>
    <t xml:space="preserve">14 - Calvados</t>
  </si>
  <si>
    <t xml:space="preserve">5374 - Autres granivores et granivores mixtes </t>
  </si>
  <si>
    <t xml:space="preserve">15 - Cantal</t>
  </si>
  <si>
    <t xml:space="preserve">16 - Charente</t>
  </si>
  <si>
    <t xml:space="preserve">9000 - Exploitations non classées</t>
  </si>
  <si>
    <t xml:space="preserve">17 - Charente-Maritime</t>
  </si>
  <si>
    <t xml:space="preserve">18 - Cher</t>
  </si>
  <si>
    <t xml:space="preserve">19 - Corrèze</t>
  </si>
  <si>
    <t xml:space="preserve">2A - Corse-du-Sud</t>
  </si>
  <si>
    <t xml:space="preserve">2B - Haute-Corse</t>
  </si>
  <si>
    <t xml:space="preserve">21 - Côte-d'Or</t>
  </si>
  <si>
    <t xml:space="preserve">22 - Côtes d'Armor</t>
  </si>
  <si>
    <t xml:space="preserve">23 - Creuse</t>
  </si>
  <si>
    <t xml:space="preserve">24 - Dordogne</t>
  </si>
  <si>
    <t xml:space="preserve">25 - Doubs</t>
  </si>
  <si>
    <t xml:space="preserve">26 - Drôme</t>
  </si>
  <si>
    <t xml:space="preserve">27 - Eure</t>
  </si>
  <si>
    <t xml:space="preserve">28 - Eure-et-Loir</t>
  </si>
  <si>
    <t xml:space="preserve">29 - Finistère</t>
  </si>
  <si>
    <t xml:space="preserve">30 - Gard</t>
  </si>
  <si>
    <t xml:space="preserve">31 - Haute-Garonne</t>
  </si>
  <si>
    <t xml:space="preserve">33 - Gironde</t>
  </si>
  <si>
    <t xml:space="preserve">34 - Hérault</t>
  </si>
  <si>
    <t xml:space="preserve">35 - Ille-et-Vilaine</t>
  </si>
  <si>
    <t xml:space="preserve">36 - Indre</t>
  </si>
  <si>
    <t xml:space="preserve">37 - Indre-et-Loire</t>
  </si>
  <si>
    <t xml:space="preserve">38 - Isère</t>
  </si>
  <si>
    <t xml:space="preserve">39 - Jura</t>
  </si>
  <si>
    <t xml:space="preserve">40 - Landes</t>
  </si>
  <si>
    <t xml:space="preserve">41 - Loir-et-Cher</t>
  </si>
  <si>
    <t xml:space="preserve">42 - Loire</t>
  </si>
  <si>
    <t xml:space="preserve">43 - Haute-Loire</t>
  </si>
  <si>
    <t xml:space="preserve">44 - Loire-Atlantique</t>
  </si>
  <si>
    <t xml:space="preserve">45 - Loiret</t>
  </si>
  <si>
    <t xml:space="preserve">46 - Lot</t>
  </si>
  <si>
    <t xml:space="preserve">47 - Lot-et-Garonne</t>
  </si>
  <si>
    <t xml:space="preserve">48 - Lozère</t>
  </si>
  <si>
    <t xml:space="preserve">49 - Maine-et-Loire</t>
  </si>
  <si>
    <t xml:space="preserve">50 - Manche</t>
  </si>
  <si>
    <t xml:space="preserve">51 - Marne</t>
  </si>
  <si>
    <t xml:space="preserve">52 - Haute-Marne</t>
  </si>
  <si>
    <t xml:space="preserve">53 - Mayenne</t>
  </si>
  <si>
    <t xml:space="preserve">54 - Meurthe-et-Moselle</t>
  </si>
  <si>
    <t xml:space="preserve">55 - Meuse</t>
  </si>
  <si>
    <t xml:space="preserve">56 - Morbihan</t>
  </si>
  <si>
    <t xml:space="preserve">57 - Moselle</t>
  </si>
  <si>
    <t xml:space="preserve">58 - Nièvre</t>
  </si>
  <si>
    <t xml:space="preserve">59 - Nord</t>
  </si>
  <si>
    <t xml:space="preserve">60 - Oise</t>
  </si>
  <si>
    <t xml:space="preserve">61 - Orne</t>
  </si>
  <si>
    <t xml:space="preserve">62 - Pas-de-Calais</t>
  </si>
  <si>
    <t xml:space="preserve">63 - Puy-de-Dôme</t>
  </si>
  <si>
    <t xml:space="preserve">64 - Pyrénées-Atlantiques</t>
  </si>
  <si>
    <t xml:space="preserve">65 - Hautes-Pyrénées</t>
  </si>
  <si>
    <t xml:space="preserve">66 - Pyrénées-Orientales</t>
  </si>
  <si>
    <t xml:space="preserve">67 - Bas-Rhin</t>
  </si>
  <si>
    <t xml:space="preserve">68 - Haut-Rhin</t>
  </si>
  <si>
    <t xml:space="preserve">69 - Rhône</t>
  </si>
  <si>
    <t xml:space="preserve">70 - Haute-Saône</t>
  </si>
  <si>
    <t xml:space="preserve">71 - Saône-et-Loire</t>
  </si>
  <si>
    <t xml:space="preserve">72 - Sarthe</t>
  </si>
  <si>
    <t xml:space="preserve">73 - Savoie</t>
  </si>
  <si>
    <t xml:space="preserve">74 - Haute-Savoie</t>
  </si>
  <si>
    <t xml:space="preserve">75 - Paris</t>
  </si>
  <si>
    <t xml:space="preserve">76 - Seine-Maritime</t>
  </si>
  <si>
    <t xml:space="preserve">77 - Seine-et-Marne</t>
  </si>
  <si>
    <t xml:space="preserve">78 - Yvelines</t>
  </si>
  <si>
    <t xml:space="preserve">79 - Deux-Sèvres</t>
  </si>
  <si>
    <t xml:space="preserve">80 - Somme</t>
  </si>
  <si>
    <t xml:space="preserve">81 - Tarn</t>
  </si>
  <si>
    <t xml:space="preserve">82 - Tarn-et-Garonne</t>
  </si>
  <si>
    <t xml:space="preserve">83 - Var</t>
  </si>
  <si>
    <t xml:space="preserve">84 - Vaucluse</t>
  </si>
  <si>
    <t xml:space="preserve">85 - Vendée</t>
  </si>
  <si>
    <t xml:space="preserve">86 - Vienne</t>
  </si>
  <si>
    <t xml:space="preserve">87 - Haute-Vienne</t>
  </si>
  <si>
    <t xml:space="preserve">88 - Vosges</t>
  </si>
  <si>
    <t xml:space="preserve">89 - Yonne</t>
  </si>
  <si>
    <t xml:space="preserve">90 - Territoire de Belfort</t>
  </si>
  <si>
    <t xml:space="preserve">91 - Essonne</t>
  </si>
  <si>
    <t xml:space="preserve">92 - Hauts-de-Seine</t>
  </si>
  <si>
    <t xml:space="preserve">93 - Seine-St-Denis</t>
  </si>
  <si>
    <t xml:space="preserve">94 - Val-de-Marne</t>
  </si>
  <si>
    <t xml:space="preserve">95 - Val-D'Oise</t>
  </si>
  <si>
    <t xml:space="preserve">971 - Guadeloupe</t>
  </si>
  <si>
    <t xml:space="preserve">972 - Martinique</t>
  </si>
  <si>
    <t xml:space="preserve">973 - Guyane</t>
  </si>
  <si>
    <t xml:space="preserve">974 - La Réunion</t>
  </si>
  <si>
    <t xml:space="preserve">976 - Mayotte</t>
  </si>
  <si>
    <t xml:space="preserve">Source : CORPEN 1988, 1999 et 2001.</t>
  </si>
  <si>
    <t xml:space="preserve">[Calcul de besoins en herbivore.doc]</t>
  </si>
  <si>
    <t xml:space="preserve">Tableaux de détermination des coefficients d'UGB (IDEA3)</t>
  </si>
  <si>
    <t xml:space="preserve">équiv. UGB</t>
  </si>
  <si>
    <r>
      <rPr>
        <b val="true"/>
        <sz val="10"/>
        <color rgb="FF800000"/>
        <rFont val="Times New Roman"/>
        <family val="1"/>
        <charset val="1"/>
      </rPr>
      <t xml:space="preserve">1,05 </t>
    </r>
    <r>
      <rPr>
        <b val="true"/>
        <sz val="10"/>
        <color rgb="FF000000"/>
        <rFont val="Times New Roman"/>
        <family val="1"/>
        <charset val="1"/>
      </rPr>
      <t xml:space="preserve">*</t>
    </r>
  </si>
  <si>
    <t xml:space="preserve">Vache Nourrice, sans son veau</t>
  </si>
  <si>
    <r>
      <rPr>
        <b val="true"/>
        <sz val="10"/>
        <color rgb="FF800000"/>
        <rFont val="Times New Roman"/>
        <family val="1"/>
        <charset val="1"/>
      </rPr>
      <t xml:space="preserve">0,85 </t>
    </r>
    <r>
      <rPr>
        <b val="true"/>
        <sz val="10"/>
        <color rgb="FF000000"/>
        <rFont val="Times New Roman"/>
        <family val="1"/>
        <charset val="1"/>
      </rPr>
      <t xml:space="preserve">*</t>
    </r>
  </si>
  <si>
    <t xml:space="preserve">Attention vérifier les valeur des UGB</t>
  </si>
  <si>
    <r>
      <rPr>
        <b val="true"/>
        <sz val="10"/>
        <color rgb="FF800000"/>
        <rFont val="Times New Roman"/>
        <family val="1"/>
        <charset val="1"/>
      </rPr>
      <t xml:space="preserve">0,70 </t>
    </r>
    <r>
      <rPr>
        <b val="true"/>
        <sz val="10"/>
        <color rgb="FF000000"/>
        <rFont val="Times New Roman"/>
        <family val="1"/>
        <charset val="1"/>
      </rPr>
      <t xml:space="preserve">*</t>
    </r>
  </si>
  <si>
    <r>
      <rPr>
        <b val="true"/>
        <sz val="10"/>
        <color rgb="FF800000"/>
        <rFont val="Times New Roman"/>
        <family val="1"/>
        <charset val="1"/>
      </rPr>
      <t xml:space="preserve">0,80 </t>
    </r>
    <r>
      <rPr>
        <b val="true"/>
        <sz val="10"/>
        <color rgb="FF000000"/>
        <rFont val="Times New Roman"/>
        <family val="1"/>
        <charset val="1"/>
      </rPr>
      <t xml:space="preserve">*</t>
    </r>
  </si>
  <si>
    <t xml:space="preserve">0,60 *</t>
  </si>
  <si>
    <t xml:space="preserve">Mâle 1-2 ans, croissance</t>
  </si>
  <si>
    <t xml:space="preserve">Mâle 1-2 ans, engraissement</t>
  </si>
  <si>
    <t xml:space="preserve">0,60*</t>
  </si>
  <si>
    <t xml:space="preserve">0,30 *</t>
  </si>
  <si>
    <t xml:space="preserve">Mâle 0-1 an, croissance</t>
  </si>
  <si>
    <t xml:space="preserve">Ovins (brebis)</t>
  </si>
  <si>
    <t xml:space="preserve">Agnelle</t>
  </si>
  <si>
    <t xml:space="preserve">0,05 *</t>
  </si>
  <si>
    <t xml:space="preserve">Agneau Engraissé Produit</t>
  </si>
  <si>
    <t xml:space="preserve">Bélier</t>
  </si>
  <si>
    <t xml:space="preserve">0,10 *</t>
  </si>
  <si>
    <t xml:space="preserve">Brebis laitière</t>
  </si>
  <si>
    <t xml:space="preserve">Caprins (chèvre)</t>
  </si>
  <si>
    <t xml:space="preserve">Bouc</t>
  </si>
  <si>
    <t xml:space="preserve">Chevreau Engraissé Produit</t>
  </si>
  <si>
    <t xml:space="preserve">Chevrette</t>
  </si>
  <si>
    <t xml:space="preserve">Equins </t>
  </si>
  <si>
    <t xml:space="preserve">Cheval</t>
  </si>
  <si>
    <t xml:space="preserve">Cheval (lourd)</t>
  </si>
  <si>
    <t xml:space="preserve">0,70 *</t>
  </si>
  <si>
    <t xml:space="preserve">Jument seule</t>
  </si>
  <si>
    <t xml:space="preserve">0,50 *</t>
  </si>
  <si>
    <t xml:space="preserve">Jument seule (lourd)</t>
  </si>
  <si>
    <t xml:space="preserve">Jument suitée</t>
  </si>
  <si>
    <t xml:space="preserve">Jument suitée (lourd)</t>
  </si>
  <si>
    <t xml:space="preserve">Poulain 6m-1an</t>
  </si>
  <si>
    <t xml:space="preserve">0,25 *</t>
  </si>
  <si>
    <t xml:space="preserve">Poulain 6m-1an (lourd)</t>
  </si>
  <si>
    <t xml:space="preserve">Poulain 1-2 ans</t>
  </si>
  <si>
    <t xml:space="preserve">Poulain 1-2 ans (lourd)</t>
  </si>
  <si>
    <t xml:space="preserve">1.4 Les cultures de l'exploitation</t>
  </si>
  <si>
    <t xml:space="preserve">Détermination du taux de légumineuses</t>
  </si>
  <si>
    <t xml:space="preserve">[source : IDEA3]</t>
  </si>
  <si>
    <t xml:space="preserve">Azote fixé par un ha de prairie en association graminée - trèfle blanc ou violet, graminées - luzerne (kg d'N/ha)</t>
  </si>
  <si>
    <t xml:space="preserve">Proportion de trèfle blanc dans la prairie</t>
  </si>
  <si>
    <t xml:space="preserve">Rendement prairie en tonnes MS/ha</t>
  </si>
  <si>
    <t xml:space="preserve">Azote fixé par les cultures de protéagineux (kg d'N/ha)</t>
  </si>
  <si>
    <t xml:space="preserve">Rendement en grain tMS/ha</t>
  </si>
  <si>
    <t xml:space="preserve">1.5 Les effluents de l'exploitation</t>
  </si>
  <si>
    <t xml:space="preserve">Azote fixé par des cultures de trèfle violet ou de luzerne (kg d'N/ha)</t>
  </si>
  <si>
    <t xml:space="preserve">variable</t>
  </si>
  <si>
    <t xml:space="preserve">source </t>
  </si>
  <si>
    <t xml:space="preserve">rdt en TMS</t>
  </si>
  <si>
    <t xml:space="preserve">N </t>
  </si>
  <si>
    <r>
      <rPr>
        <sz val="10"/>
        <rFont val="Arial"/>
        <family val="2"/>
        <charset val="1"/>
      </rPr>
      <t xml:space="preserve">voir bilan apparent </t>
    </r>
    <r>
      <rPr>
        <i val="true"/>
        <sz val="10"/>
        <rFont val="Arial"/>
        <family val="2"/>
        <charset val="1"/>
      </rPr>
      <t xml:space="preserve">[ IDEA 3 et Outil de calcul du Bilan apparent Version 2005 (F. Vertes, Inra Quimper)]</t>
    </r>
  </si>
  <si>
    <t xml:space="preserve">Quantité fixée</t>
  </si>
  <si>
    <t xml:space="preserve">Coefficient d'utilisation d'N</t>
  </si>
  <si>
    <t xml:space="preserve">[Vincent Manneville]</t>
  </si>
  <si>
    <t xml:space="preserve">2.1.4 Gestion de l'énergie</t>
  </si>
  <si>
    <t xml:space="preserve">Type énergie utilisée</t>
  </si>
  <si>
    <t xml:space="preserve">MJ /Unités</t>
  </si>
  <si>
    <t xml:space="preserve">Simplification</t>
  </si>
  <si>
    <t xml:space="preserve">Sources</t>
  </si>
  <si>
    <t xml:space="preserve">commentaire</t>
  </si>
  <si>
    <t xml:space="preserve">Talpin J., 2010, Économies d’énergie sur l’exploitation agricole, ADEME, Guides France Agricole, Paris, livre, 391 p, p,153</t>
  </si>
  <si>
    <t xml:space="preserve">IDELE</t>
  </si>
  <si>
    <t xml:space="preserve">Conso énergie BV Sur Ouest</t>
  </si>
  <si>
    <t xml:space="preserve">électricité</t>
  </si>
  <si>
    <t xml:space="preserve">FAO</t>
  </si>
  <si>
    <t xml:space="preserve">FAO biomasse charbon</t>
  </si>
  <si>
    <t xml:space="preserve">fioul</t>
  </si>
  <si>
    <t xml:space="preserve">carburant</t>
  </si>
  <si>
    <t xml:space="preserve">MAAF, 2016</t>
  </si>
  <si>
    <t xml:space="preserve">2016-note service diagnostic gaz effet serre energi conversion unité</t>
  </si>
  <si>
    <t xml:space="preserve">gazoil</t>
  </si>
  <si>
    <t xml:space="preserve">RMT Biomasse miscanhtus</t>
  </si>
  <si>
    <t xml:space="preserve">essence</t>
  </si>
  <si>
    <t xml:space="preserve">gaz naturel</t>
  </si>
  <si>
    <t xml:space="preserve">gaz</t>
  </si>
  <si>
    <t xml:space="preserve">propane/butane</t>
  </si>
  <si>
    <t xml:space="preserve">charbon de bois</t>
  </si>
  <si>
    <t xml:space="preserve">t brut</t>
  </si>
  <si>
    <t xml:space="preserve">kg brut</t>
  </si>
  <si>
    <t xml:space="preserve">Céréales graines (ref blé)</t>
  </si>
  <si>
    <t xml:space="preserve">t</t>
  </si>
  <si>
    <t xml:space="preserve">aliments porcs,volaille (blé,orge,TS)</t>
  </si>
  <si>
    <t xml:space="preserve">ex aliment truie</t>
  </si>
  <si>
    <t xml:space="preserve">Fertilisation N</t>
  </si>
  <si>
    <t xml:space="preserve">1 uA</t>
  </si>
  <si>
    <t xml:space="preserve">2.2.2 Gestion de la diversité</t>
  </si>
  <si>
    <t xml:space="preserve">Evaluation des infrastructures écologiques</t>
  </si>
  <si>
    <t xml:space="preserve">Mètre linéaire</t>
  </si>
  <si>
    <t xml:space="preserve">Eq m2</t>
  </si>
  <si>
    <t xml:space="preserve">Arbres/forêts/</t>
  </si>
  <si>
    <t xml:space="preserve">Arbre isolés</t>
  </si>
  <si>
    <t xml:space="preserve">1 ha</t>
  </si>
  <si>
    <t xml:space="preserve">Mares et lavognes</t>
  </si>
  <si>
    <t xml:space="preserve">Energie: (AUT1)</t>
  </si>
  <si>
    <t xml:space="preserve">Esimation de l'énergie produite et consommée</t>
  </si>
  <si>
    <t xml:space="preserve">Estimation de consommation de l'habitation en cas de non distinction</t>
  </si>
  <si>
    <t xml:space="preserve">Type conversion</t>
  </si>
  <si>
    <t xml:space="preserve">Unité propre</t>
  </si>
  <si>
    <t xml:space="preserve">Unité de sortie</t>
  </si>
  <si>
    <t xml:space="preserve">Coefficient de conversion des quantités d’énergie non renouvelables consommées d’unité propre à unité de sortie</t>
  </si>
  <si>
    <t xml:space="preserve">TEP en Mégajoule</t>
  </si>
  <si>
    <t xml:space="preserve">TEP</t>
  </si>
  <si>
    <t xml:space="preserve">Mégajoule</t>
  </si>
  <si>
    <t xml:space="preserve">La quantité annuelle d’électricité utilisée est relevée à partir des factures EDF. Si l’exploitation possède plusieurs compteurs, les consommations de chaque compteur sont sommées (sauf celles de l’habitation). S’il n’existe pas de compteurs séparés, la consommation de l’habitation est estimée grâce aux données présentées ci-dessous[1], puis déduite du total.</t>
  </si>
  <si>
    <t xml:space="preserve">Fioul</t>
  </si>
  <si>
    <t xml:space="preserve">Kilowattheure en Mégajoule</t>
  </si>
  <si>
    <t xml:space="preserve">Construction avant 1975</t>
  </si>
  <si>
    <t xml:space="preserve">Construction après 1975</t>
  </si>
  <si>
    <t xml:space="preserve">Gazole</t>
  </si>
  <si>
    <t xml:space="preserve">EQF en Mégajoule PCI</t>
  </si>
  <si>
    <t xml:space="preserve">Mégajoule PCI</t>
  </si>
  <si>
    <t xml:space="preserve">Maison individuelle 5 pièces avec chauffage électrique</t>
  </si>
  <si>
    <t xml:space="preserve">14 500 kWh</t>
  </si>
  <si>
    <t xml:space="preserve">12 000 kWh</t>
  </si>
  <si>
    <t xml:space="preserve">Essence</t>
  </si>
  <si>
    <t xml:space="preserve">kg Méthane/butane en Mégajoule</t>
  </si>
  <si>
    <t xml:space="preserve">kg Méthane</t>
  </si>
  <si>
    <t xml:space="preserve">kg butane</t>
  </si>
  <si>
    <t xml:space="preserve">Habitation sans chauffage électrique</t>
  </si>
  <si>
    <t xml:space="preserve">4 500 kWh</t>
  </si>
  <si>
    <t xml:space="preserve">Gaz naturel</t>
  </si>
  <si>
    <t xml:space="preserve">litre de fioul en Mégajoule</t>
  </si>
  <si>
    <t xml:space="preserve">mégajoule</t>
  </si>
  <si>
    <t xml:space="preserve">source Vincent</t>
  </si>
  <si>
    <t xml:space="preserve">Propane/Butane</t>
  </si>
  <si>
    <t xml:space="preserve">litre de gazoil en Mégajoule</t>
  </si>
  <si>
    <t xml:space="preserve">Electricité basse tension (secteur agricole)</t>
  </si>
  <si>
    <t xml:space="preserve">litre d'essence en Mégajoule</t>
  </si>
  <si>
    <t xml:space="preserve">litre de lubrifiant en Mégajoule</t>
  </si>
  <si>
    <t xml:space="preserve">Electricité moyenne FR</t>
  </si>
  <si>
    <t xml:space="preserve">kg de charbon en Mégajoule</t>
  </si>
  <si>
    <t xml:space="preserve">Sources </t>
  </si>
  <si>
    <t xml:space="preserve">GESTIM'</t>
  </si>
  <si>
    <t xml:space="preserve">litre de GPL en Mégajoule</t>
  </si>
  <si>
    <t xml:space="preserve">m3 de gaz naturel en mégajoule</t>
  </si>
  <si>
    <r>
      <rPr>
        <sz val="10"/>
        <color rgb="FF000000"/>
        <rFont val="Arial"/>
        <family val="2"/>
        <charset val="1"/>
      </rPr>
      <t xml:space="preserve">m</t>
    </r>
    <r>
      <rPr>
        <vertAlign val="superscript"/>
        <sz val="7.5"/>
        <color rgb="FF000000"/>
        <rFont val="Arial"/>
        <family val="2"/>
        <charset val="1"/>
      </rPr>
      <t xml:space="preserve">3</t>
    </r>
  </si>
  <si>
    <t xml:space="preserve">source</t>
  </si>
  <si>
    <t xml:space="preserve">Dia'terre</t>
  </si>
  <si>
    <t xml:space="preserve">Fertilisants</t>
  </si>
  <si>
    <t xml:space="preserve">(AUT1)</t>
  </si>
  <si>
    <t xml:space="preserve">composition</t>
  </si>
  <si>
    <t xml:space="preserve">énergie</t>
  </si>
  <si>
    <t xml:space="preserve">eq MJ/unité N</t>
  </si>
  <si>
    <t xml:space="preserve">Ferti N</t>
  </si>
  <si>
    <t xml:space="preserve">éq MJ par unité</t>
  </si>
  <si>
    <t xml:space="preserve">kg /1000 kg d'engrais (=1tonne)</t>
  </si>
  <si>
    <t xml:space="preserve">tout engrais avec Azote</t>
  </si>
  <si>
    <t xml:space="preserve">par unité N</t>
  </si>
  <si>
    <t xml:space="preserve">par untité  de P2O5</t>
  </si>
  <si>
    <t xml:space="preserve">Potasse (ou amendements)</t>
  </si>
  <si>
    <t xml:space="preserve">par unité de K20</t>
  </si>
  <si>
    <t xml:space="preserve">5-11-11 (comme 7-7-7) (% en N,P,K)</t>
  </si>
  <si>
    <t xml:space="preserve">par unité d'N</t>
  </si>
  <si>
    <t xml:space="preserve">source: vincent</t>
  </si>
  <si>
    <t xml:space="preserve">Energie indirecte associée à la production des éléments concentrés</t>
  </si>
  <si>
    <t xml:space="preserve">AUT1</t>
  </si>
  <si>
    <t xml:space="preserve">Ne prendre que les aliments concentrés achetés</t>
  </si>
  <si>
    <t xml:space="preserve">Aliments</t>
  </si>
  <si>
    <t xml:space="preserve">éq MJ/tonnes</t>
  </si>
  <si>
    <t xml:space="preserve">rq</t>
  </si>
  <si>
    <t xml:space="preserve">correcteur azoté</t>
  </si>
  <si>
    <t xml:space="preserve">chiffre du colza mais prendre ce chiffre que ce soit colza ou soja</t>
  </si>
  <si>
    <t xml:space="preserve">Tout type tourteaux</t>
  </si>
  <si>
    <t xml:space="preserve">détails ( colza 5,7 et soja 3,3)</t>
  </si>
  <si>
    <t xml:space="preserve">VL18</t>
  </si>
  <si>
    <t xml:space="preserve">si acheté. VL 18 considéré comme 80% orge (2,56), 20% soja (5,58)</t>
  </si>
  <si>
    <t xml:space="preserve">luzerne déshydratée</t>
  </si>
  <si>
    <t xml:space="preserve">mâche</t>
  </si>
  <si>
    <t xml:space="preserve">source: grand livre + Vincent</t>
  </si>
  <si>
    <t xml:space="preserve">Tableau référence de la composition des prairies temporaires</t>
  </si>
  <si>
    <t xml:space="preserve">AUT6</t>
  </si>
  <si>
    <t xml:space="preserve">RES2</t>
  </si>
  <si>
    <t xml:space="preserve">source IDEA 3</t>
  </si>
  <si>
    <t xml:space="preserve">Tableau de réfèrence de production d'azote organique, kg d'azote produit par UGB</t>
  </si>
  <si>
    <t xml:space="preserve">AUT7</t>
  </si>
  <si>
    <t xml:space="preserve">kg N org/an</t>
  </si>
  <si>
    <t xml:space="preserve">1 UGB</t>
  </si>
  <si>
    <t xml:space="preserve">valeur directive nitrate</t>
  </si>
  <si>
    <t xml:space="preserve">1 porc charcutier</t>
  </si>
  <si>
    <t xml:space="preserve">vincent</t>
  </si>
  <si>
    <t xml:space="preserve">1 truie naisseur, caillebotis </t>
  </si>
  <si>
    <t xml:space="preserve">alimentation</t>
  </si>
  <si>
    <t xml:space="preserve">(AUT3.1, ROB1)</t>
  </si>
  <si>
    <t xml:space="preserve">consommation tMS/an</t>
  </si>
  <si>
    <t xml:space="preserve">Indicateur de Surface développée </t>
  </si>
  <si>
    <t xml:space="preserve">Grille simplifiée de la grille détaillé ci-joint</t>
  </si>
  <si>
    <t xml:space="preserve">Type d'IAE</t>
  </si>
  <si>
    <t xml:space="preserve">Catégorie</t>
  </si>
  <si>
    <r>
      <rPr>
        <sz val="12"/>
        <color rgb="FFFFFFFF"/>
        <rFont val="Calibri"/>
        <family val="2"/>
        <charset val="1"/>
      </rPr>
      <t xml:space="preserve">Coefficient de conversion</t>
    </r>
    <r>
      <rPr>
        <b val="true"/>
        <sz val="12"/>
        <color rgb="FFFFFFFF"/>
        <rFont val="Calibri"/>
        <family val="2"/>
        <charset val="1"/>
      </rPr>
      <t xml:space="preserve"> surface développée (m²)</t>
    </r>
  </si>
  <si>
    <t xml:space="preserve">100m Linéaire de haie basse, largeur 2m (nb)</t>
  </si>
  <si>
    <t xml:space="preserve">100m Linéaire de haie buissonnante, largueur 5m (nb)</t>
  </si>
  <si>
    <t xml:space="preserve">Arbres/fôrets/</t>
  </si>
  <si>
    <t xml:space="preserve">100m  Linéaire de haie arborescente mono-spécifique, largeur 10m (nb)</t>
  </si>
  <si>
    <t xml:space="preserve">Arbre de temps en temps</t>
  </si>
  <si>
    <t xml:space="preserve">100m Linéaire de haie arborescente pluri-spécifique et poly-stratifiées (nb)</t>
  </si>
  <si>
    <t xml:space="preserve">Prairies</t>
  </si>
  <si>
    <t xml:space="preserve">Bosquets</t>
  </si>
  <si>
    <t xml:space="preserve">Bosquets (ha)</t>
  </si>
  <si>
    <t xml:space="preserve">Arbres</t>
  </si>
  <si>
    <t xml:space="preserve">nb Arbre isolé petit (Φ [7.5 – 22.5 cm [)</t>
  </si>
  <si>
    <t xml:space="preserve">nb Arbre isolé moyen (Φ [22.5 – 47.5 cm [)</t>
  </si>
  <si>
    <t xml:space="preserve">nb Arbre isolé gros (Φ≥47.5 cm)</t>
  </si>
  <si>
    <t xml:space="preserve">Arbre (nb)</t>
  </si>
  <si>
    <t xml:space="preserve">Vergers</t>
  </si>
  <si>
    <t xml:space="preserve">Densité 50-100 arbres</t>
  </si>
  <si>
    <t xml:space="preserve">Densité 100-250 arbres</t>
  </si>
  <si>
    <t xml:space="preserve">Surface toujours en herbe</t>
  </si>
  <si>
    <t xml:space="preserve">Peu productive</t>
  </si>
  <si>
    <t xml:space="preserve">Productive</t>
  </si>
  <si>
    <t xml:space="preserve">Divers</t>
  </si>
  <si>
    <t xml:space="preserve">ha Bandes enherbées ou bandes tampons en bordure de cours d’eau</t>
  </si>
  <si>
    <t xml:space="preserve">100 m linéaire Lisières de bois</t>
  </si>
  <si>
    <t xml:space="preserve">1 ha Bordures de champ</t>
  </si>
  <si>
    <t xml:space="preserve">1 ha Jachère</t>
  </si>
  <si>
    <t xml:space="preserve">1 ha Tourbières</t>
  </si>
  <si>
    <t xml:space="preserve">1 m périmètre de Mares et lavognes</t>
  </si>
  <si>
    <t xml:space="preserve">1 m périmètre de  Fossés et cours d’eau</t>
  </si>
  <si>
    <t xml:space="preserve">1 m linéaire de Talus, Murets et terrasses</t>
  </si>
  <si>
    <t xml:space="preserve">Agroforesterie : 1 ha Sylvopastoralisme (Arbre moyen)</t>
  </si>
  <si>
    <t xml:space="preserve">Agroforesterie : 1 ha Agrisylviculture (Arbre moyen)</t>
  </si>
  <si>
    <t xml:space="preserve">100 m linéaire Ripisylve</t>
  </si>
  <si>
    <t xml:space="preserve">source Biotex</t>
  </si>
  <si>
    <t xml:space="preserve">liste race rustique animal et vegetal</t>
  </si>
  <si>
    <t xml:space="preserve">ROB5</t>
  </si>
  <si>
    <t xml:space="preserve">liste des races animales menacées </t>
  </si>
  <si>
    <t xml:space="preserve">(ANC1)</t>
  </si>
  <si>
    <t xml:space="preserve">Tableau Bilan apparent Azote</t>
  </si>
  <si>
    <t xml:space="preserve">cf IDEA3 </t>
  </si>
  <si>
    <t xml:space="preserve">Pour le calcul du Bilan apparent (Pradel)</t>
  </si>
  <si>
    <t xml:space="preserve">1. Entrées</t>
  </si>
  <si>
    <t xml:space="preserve">1.1. Entrées par les engrais chimiques</t>
  </si>
  <si>
    <t xml:space="preserve">Engrais</t>
  </si>
  <si>
    <t xml:space="preserve">Exportation (Kg) </t>
  </si>
  <si>
    <r>
      <rPr>
        <sz val="10"/>
        <rFont val="Arial"/>
        <family val="2"/>
        <charset val="1"/>
      </rPr>
      <t xml:space="preserve">P</t>
    </r>
    <r>
      <rPr>
        <vertAlign val="subscript"/>
        <sz val="10"/>
        <rFont val="Arial"/>
        <family val="2"/>
        <charset val="1"/>
      </rPr>
      <t xml:space="preserve">2</t>
    </r>
    <r>
      <rPr>
        <sz val="10"/>
        <rFont val="Arial"/>
        <family val="2"/>
        <charset val="1"/>
      </rPr>
      <t xml:space="preserve">O</t>
    </r>
    <r>
      <rPr>
        <vertAlign val="subscript"/>
        <sz val="10"/>
        <rFont val="Arial"/>
        <family val="2"/>
        <charset val="1"/>
      </rPr>
      <t xml:space="preserve">5</t>
    </r>
  </si>
  <si>
    <r>
      <rPr>
        <sz val="10"/>
        <rFont val="Arial"/>
        <family val="2"/>
        <charset val="1"/>
      </rPr>
      <t xml:space="preserve">K</t>
    </r>
    <r>
      <rPr>
        <vertAlign val="subscript"/>
        <sz val="10"/>
        <rFont val="Arial"/>
        <family val="2"/>
        <charset val="1"/>
      </rPr>
      <t xml:space="preserve">2</t>
    </r>
    <r>
      <rPr>
        <sz val="10"/>
        <rFont val="Arial"/>
        <family val="2"/>
        <charset val="1"/>
      </rPr>
      <t xml:space="preserve">O</t>
    </r>
  </si>
  <si>
    <t xml:space="preserve">00-06-12S</t>
  </si>
  <si>
    <t xml:space="preserve">Ql</t>
  </si>
  <si>
    <t xml:space="preserve">00-14-42</t>
  </si>
  <si>
    <t xml:space="preserve">00-18-18</t>
  </si>
  <si>
    <t xml:space="preserve">00-25-25</t>
  </si>
  <si>
    <t xml:space="preserve">03-04-12</t>
  </si>
  <si>
    <t xml:space="preserve">03-08-14</t>
  </si>
  <si>
    <t xml:space="preserve">04-04-15</t>
  </si>
  <si>
    <t xml:space="preserve">04-05-16</t>
  </si>
  <si>
    <t xml:space="preserve">04-07-16</t>
  </si>
  <si>
    <t xml:space="preserve">04-20-20</t>
  </si>
  <si>
    <t xml:space="preserve">05-08-12SK</t>
  </si>
  <si>
    <t xml:space="preserve">05-12-24</t>
  </si>
  <si>
    <t xml:space="preserve">05-20-15</t>
  </si>
  <si>
    <t xml:space="preserve">06-15-30S</t>
  </si>
  <si>
    <t xml:space="preserve">07-07-10SK</t>
  </si>
  <si>
    <t xml:space="preserve">07-08-14S</t>
  </si>
  <si>
    <t xml:space="preserve">07-18-30S</t>
  </si>
  <si>
    <t xml:space="preserve">08-05-05SK</t>
  </si>
  <si>
    <t xml:space="preserve">08-15-22</t>
  </si>
  <si>
    <t xml:space="preserve">08-15-22B</t>
  </si>
  <si>
    <t xml:space="preserve">08-21-33</t>
  </si>
  <si>
    <t xml:space="preserve">09-16-18</t>
  </si>
  <si>
    <t xml:space="preserve">100% (amendement orga)</t>
  </si>
  <si>
    <t xml:space="preserve">10-05-20</t>
  </si>
  <si>
    <t xml:space="preserve">Phosamo</t>
  </si>
  <si>
    <t xml:space="preserve">10-10-15S</t>
  </si>
  <si>
    <t xml:space="preserve">10-12-24</t>
  </si>
  <si>
    <t xml:space="preserve">10-20-20</t>
  </si>
  <si>
    <t xml:space="preserve">10-25-20</t>
  </si>
  <si>
    <t xml:space="preserve">10-26-26</t>
  </si>
  <si>
    <t xml:space="preserve">12-20-10</t>
  </si>
  <si>
    <t xml:space="preserve">12-30-20</t>
  </si>
  <si>
    <t xml:space="preserve">13-13-26</t>
  </si>
  <si>
    <t xml:space="preserve">14-09-18</t>
  </si>
  <si>
    <t xml:space="preserve">15-15-15</t>
  </si>
  <si>
    <t xml:space="preserve">17-17-17</t>
  </si>
  <si>
    <t xml:space="preserve">20-05-10</t>
  </si>
  <si>
    <t xml:space="preserve">ACTIVUS (amendement orga)</t>
  </si>
  <si>
    <t xml:space="preserve">Agri martin (organo-minéral)</t>
  </si>
  <si>
    <t xml:space="preserve">3 (1)</t>
  </si>
  <si>
    <t xml:space="preserve">Agroblen</t>
  </si>
  <si>
    <t xml:space="preserve">Agroblen tablet</t>
  </si>
  <si>
    <t xml:space="preserve">AMENDINE (amendement orga)</t>
  </si>
  <si>
    <t xml:space="preserve">Ammonitrate 33,5%</t>
  </si>
  <si>
    <t xml:space="preserve">Ammonitre</t>
  </si>
  <si>
    <t xml:space="preserve">Exportation (Kg)</t>
  </si>
  <si>
    <t xml:space="preserve">ANGISOL LANGUEDOC (amt orga)</t>
  </si>
  <si>
    <t xml:space="preserve">Basacote plus</t>
  </si>
  <si>
    <t xml:space="preserve">Osmocote plus Triabon</t>
  </si>
  <si>
    <t xml:space="preserve">BIO FUMUR (amendement orga)</t>
  </si>
  <si>
    <t xml:space="preserve">BIOFERTIL (amendement orga)</t>
  </si>
  <si>
    <t xml:space="preserve">BIOMASSE (amendement orga)</t>
  </si>
  <si>
    <t xml:space="preserve">BIOREX (amendement orga)</t>
  </si>
  <si>
    <t xml:space="preserve">BIOSOL (amendement orga)</t>
  </si>
  <si>
    <t xml:space="preserve">Chlorure de potassium</t>
  </si>
  <si>
    <t xml:space="preserve">Corne broyée (organique)</t>
  </si>
  <si>
    <t xml:space="preserve">ECORCIMUS (amendement orga)</t>
  </si>
  <si>
    <t xml:space="preserve">ECOVIT EC. FEUIL. FUMIER (orga)</t>
  </si>
  <si>
    <t xml:space="preserve">ECOVIT EC. FEUILLUS (amt orga)</t>
  </si>
  <si>
    <t xml:space="preserve">ECOVIT EC. RESINEUX (amt orga)</t>
  </si>
  <si>
    <t xml:space="preserve">FERTIL 55 (amendement orga)</t>
  </si>
  <si>
    <t xml:space="preserve">Fertiltopcote</t>
  </si>
  <si>
    <t xml:space="preserve">Fertimaster</t>
  </si>
  <si>
    <t xml:space="preserve">Fertitop</t>
  </si>
  <si>
    <t xml:space="preserve">Ficote</t>
  </si>
  <si>
    <t xml:space="preserve">Fumagly</t>
  </si>
  <si>
    <t xml:space="preserve">FUMEC (amendement orga)</t>
  </si>
  <si>
    <t xml:space="preserve">FUMETERRE (amendement orga)</t>
  </si>
  <si>
    <t xml:space="preserve">Guano Angibaud (organo-minéral)</t>
  </si>
  <si>
    <t xml:space="preserve">9 (1,5)</t>
  </si>
  <si>
    <t xml:space="preserve">Humigerm (organique)</t>
  </si>
  <si>
    <t xml:space="preserve">Hydro</t>
  </si>
  <si>
    <t xml:space="preserve">Hl</t>
  </si>
  <si>
    <t xml:space="preserve">Liquovigne 13</t>
  </si>
  <si>
    <t xml:space="preserve">Magaline du roure (organo-minéral)</t>
  </si>
  <si>
    <t xml:space="preserve">3 (2)</t>
  </si>
  <si>
    <t xml:space="preserve">MARC COMPOSTE (amt orga)</t>
  </si>
  <si>
    <t xml:space="preserve">MARC DE RAISINS (amt orga)</t>
  </si>
  <si>
    <t xml:space="preserve">MARC ENRICHI (amendement orga)</t>
  </si>
  <si>
    <t xml:space="preserve">MEDI 60 (amendement organique)</t>
  </si>
  <si>
    <t xml:space="preserve">MEDIPUS G.R. (amendement orga)</t>
  </si>
  <si>
    <t xml:space="preserve">MEDIPUS P.O. (amendement orga)</t>
  </si>
  <si>
    <t xml:space="preserve">MEDIVRAC (amendement orga)</t>
  </si>
  <si>
    <t xml:space="preserve">MO 90 (amendement orga)</t>
  </si>
  <si>
    <t xml:space="preserve">Multi-grant</t>
  </si>
  <si>
    <t xml:space="preserve">NH3 gazeux 82%</t>
  </si>
  <si>
    <t xml:space="preserve">Nitrate de chaux</t>
  </si>
  <si>
    <t xml:space="preserve">Nitrate de potasse</t>
  </si>
  <si>
    <t xml:space="preserve">Nitrophoska 1</t>
  </si>
  <si>
    <t xml:space="preserve">Nitrophoska 2</t>
  </si>
  <si>
    <t xml:space="preserve">Nitror</t>
  </si>
  <si>
    <t xml:space="preserve">Nutricote starter</t>
  </si>
  <si>
    <t xml:space="preserve">ORGAVEG 65 (amendement orga)</t>
  </si>
  <si>
    <t xml:space="preserve">Osmocote - Nutricote</t>
  </si>
  <si>
    <t xml:space="preserve">OVITERRE (amendement orga)</t>
  </si>
  <si>
    <t xml:space="preserve">Oxyfertil</t>
  </si>
  <si>
    <t xml:space="preserve">Patentkali</t>
  </si>
  <si>
    <t xml:space="preserve">Perlurée - urée</t>
  </si>
  <si>
    <t xml:space="preserve">Phoskali du roure</t>
  </si>
  <si>
    <t xml:space="preserve">Phosphal potassique 18/10</t>
  </si>
  <si>
    <t xml:space="preserve">Phosphate naturel</t>
  </si>
  <si>
    <t xml:space="preserve">Phosphate d'ammoniaque</t>
  </si>
  <si>
    <t xml:space="preserve">Plant prod</t>
  </si>
  <si>
    <t xml:space="preserve">Potamag</t>
  </si>
  <si>
    <t xml:space="preserve">REGENOR (amendement orga)</t>
  </si>
  <si>
    <t xml:space="preserve">RELAIS (amendement orga)</t>
  </si>
  <si>
    <t xml:space="preserve">Roussillon Al (organo-minéral)</t>
  </si>
  <si>
    <t xml:space="preserve">7 (1,2)</t>
  </si>
  <si>
    <t xml:space="preserve">Scories 12%</t>
  </si>
  <si>
    <t xml:space="preserve">Scories 16%</t>
  </si>
  <si>
    <t xml:space="preserve">Scories 18%</t>
  </si>
  <si>
    <t xml:space="preserve">Scories 7/21</t>
  </si>
  <si>
    <t xml:space="preserve">Scories phosphopotassiques</t>
  </si>
  <si>
    <t xml:space="preserve">Scories potassiques 10/10</t>
  </si>
  <si>
    <t xml:space="preserve">Scories potassiques 10/15</t>
  </si>
  <si>
    <t xml:space="preserve">Scories potassiques 10/20</t>
  </si>
  <si>
    <t xml:space="preserve">Scories potassiques 12/12</t>
  </si>
  <si>
    <t xml:space="preserve">Scories potassiques 15/15</t>
  </si>
  <si>
    <t xml:space="preserve">Scories potassiques 6/18</t>
  </si>
  <si>
    <t xml:space="preserve">SCPA</t>
  </si>
  <si>
    <t xml:space="preserve">Solution 30%</t>
  </si>
  <si>
    <t xml:space="preserve">Sud fertilisant 1</t>
  </si>
  <si>
    <t xml:space="preserve">Sud fertilisant 2</t>
  </si>
  <si>
    <t xml:space="preserve">Sud fertilisant 3</t>
  </si>
  <si>
    <t xml:space="preserve">Sulfate d'ammoniaque</t>
  </si>
  <si>
    <t xml:space="preserve">Sulfate de potasse ou de potassium ou solupotasse</t>
  </si>
  <si>
    <t xml:space="preserve">Super 18%</t>
  </si>
  <si>
    <t xml:space="preserve">Super 25%</t>
  </si>
  <si>
    <t xml:space="preserve">Super 45% (super triple)</t>
  </si>
  <si>
    <t xml:space="preserve">Super potassique 12/24</t>
  </si>
  <si>
    <t xml:space="preserve">Super potassique 13/18</t>
  </si>
  <si>
    <t xml:space="preserve">Super potassique 14/28</t>
  </si>
  <si>
    <t xml:space="preserve">Super potassique 20/20</t>
  </si>
  <si>
    <t xml:space="preserve">Super potassique 25/25</t>
  </si>
  <si>
    <t xml:space="preserve">TOURBE DU MÉDOC 1 (amt orga)</t>
  </si>
  <si>
    <t xml:space="preserve">TOURBE DU MÉDOC 2 (amt orga)</t>
  </si>
  <si>
    <t xml:space="preserve">VEGETHUMUS (amendement orga)</t>
  </si>
  <si>
    <t xml:space="preserve">Végéthumus (organique)</t>
  </si>
  <si>
    <t xml:space="preserve">1.2. Entrées et sorties par les engrais organiques importés</t>
  </si>
  <si>
    <t xml:space="preserve">LES COMPOSTS</t>
  </si>
  <si>
    <t xml:space="preserve">Kg/T produit brut</t>
  </si>
  <si>
    <t xml:space="preserve">Teneur (Kg)</t>
  </si>
  <si>
    <t xml:space="preserve">Compost de fumier de bovins</t>
  </si>
  <si>
    <t xml:space="preserve">Compost de fumier d'ovins</t>
  </si>
  <si>
    <t xml:space="preserve">Compost de fumier de dindes</t>
  </si>
  <si>
    <t xml:space="preserve">Compost de fumier de dindes + déchets ligneux</t>
  </si>
  <si>
    <t xml:space="preserve">LES FUMIERS DE VOLAILLES</t>
  </si>
  <si>
    <t xml:space="preserve">Poulets de chair</t>
  </si>
  <si>
    <t xml:space="preserve">A la sortie du bâtiment</t>
  </si>
  <si>
    <t xml:space="preserve">Après stockage, conditions sèches</t>
  </si>
  <si>
    <t xml:space="preserve">Après stockage, conditions favorables à la fermentation</t>
  </si>
  <si>
    <t xml:space="preserve">Après stockage, conditions très humides</t>
  </si>
  <si>
    <t xml:space="preserve">Poulets label</t>
  </si>
  <si>
    <t xml:space="preserve">Dindes de chair</t>
  </si>
  <si>
    <t xml:space="preserve">Pintades de chair</t>
  </si>
  <si>
    <t xml:space="preserve">Animal:</t>
  </si>
  <si>
    <t xml:space="preserve">type :</t>
  </si>
  <si>
    <t xml:space="preserve">Kg d'azote/t ou Kg/m3</t>
  </si>
  <si>
    <t xml:space="preserve">Fumier très compact, litière accumulée</t>
  </si>
  <si>
    <t xml:space="preserve">LES FIENTES</t>
  </si>
  <si>
    <t xml:space="preserve">Poules pondeuses</t>
  </si>
  <si>
    <t xml:space="preserve">Fumier compact</t>
  </si>
  <si>
    <t xml:space="preserve">Fumier mou logette</t>
  </si>
  <si>
    <t xml:space="preserve">Fientes humides</t>
  </si>
  <si>
    <t xml:space="preserve">Fientes séchées en fosse profonde</t>
  </si>
  <si>
    <t xml:space="preserve">Lisier dilué</t>
  </si>
  <si>
    <t xml:space="preserve">Lisier très dilué</t>
  </si>
  <si>
    <t xml:space="preserve">Purin pur</t>
  </si>
  <si>
    <t xml:space="preserve">LES LISIERS DE VOLAILLES</t>
  </si>
  <si>
    <r>
      <rPr>
        <sz val="10"/>
        <rFont val="Arial"/>
        <family val="2"/>
        <charset val="1"/>
      </rPr>
      <t xml:space="preserve">Kg/m</t>
    </r>
    <r>
      <rPr>
        <vertAlign val="superscript"/>
        <sz val="10"/>
        <rFont val="Arial"/>
        <family val="2"/>
        <charset val="1"/>
      </rPr>
      <t xml:space="preserve">3</t>
    </r>
    <r>
      <rPr>
        <sz val="10"/>
        <rFont val="Arial"/>
        <family val="2"/>
        <charset val="1"/>
      </rPr>
      <t xml:space="preserve"> produit brut</t>
    </r>
  </si>
  <si>
    <t xml:space="preserve">Lixiviat (purins dilués de fumières)</t>
  </si>
  <si>
    <t xml:space="preserve">MS = 10%</t>
  </si>
  <si>
    <t xml:space="preserve">MS entre 10 et 15%</t>
  </si>
  <si>
    <t xml:space="preserve">MS &gt; 15%</t>
  </si>
  <si>
    <t xml:space="preserve">Porcin</t>
  </si>
  <si>
    <t xml:space="preserve">Canards gras</t>
  </si>
  <si>
    <t xml:space="preserve">Lisier mixte (fosse extérieure)</t>
  </si>
  <si>
    <t xml:space="preserve">Fumier de litière accumulée</t>
  </si>
  <si>
    <t xml:space="preserve">Lisier de canards gras</t>
  </si>
  <si>
    <t xml:space="preserve">Fumier de litière raclée</t>
  </si>
  <si>
    <t xml:space="preserve">source: IDEA 3</t>
  </si>
  <si>
    <t xml:space="preserve">Lisier de poules pondeuses</t>
  </si>
  <si>
    <t xml:space="preserve">LES FUMIERS DE BOVINS</t>
  </si>
  <si>
    <t xml:space="preserve">fumier compact étables entravées</t>
  </si>
  <si>
    <t xml:space="preserve">fumier mou de logettes</t>
  </si>
  <si>
    <t xml:space="preserve">fumier très compact</t>
  </si>
  <si>
    <t xml:space="preserve">fumier compact de pente paillée</t>
  </si>
  <si>
    <t xml:space="preserve">LES FUMIERS DE CAPRINS, OVINS, PORCINS</t>
  </si>
  <si>
    <t xml:space="preserve">Ovins - Caprins</t>
  </si>
  <si>
    <t xml:space="preserve">fumier de caprins</t>
  </si>
  <si>
    <t xml:space="preserve">fumier d'ovins</t>
  </si>
  <si>
    <t xml:space="preserve">Porcins</t>
  </si>
  <si>
    <t xml:space="preserve">fumier de porcins - litière accumulée</t>
  </si>
  <si>
    <t xml:space="preserve">fumier de porcins - litière raclée</t>
  </si>
  <si>
    <t xml:space="preserve">LES LISIERS DE BOVINS</t>
  </si>
  <si>
    <t xml:space="preserve">Lisier de bovins à l'engrais</t>
  </si>
  <si>
    <t xml:space="preserve">Lisier très dilué en système non couvert</t>
  </si>
  <si>
    <t xml:space="preserve">Lisier dilué en système couvert</t>
  </si>
  <si>
    <t xml:space="preserve">Lisier dilué en système non couvert</t>
  </si>
  <si>
    <t xml:space="preserve">Lisier pur, peu dilué en système couvert</t>
  </si>
  <si>
    <t xml:space="preserve">Lisier plus ou moins pailleux</t>
  </si>
  <si>
    <t xml:space="preserve">Veaux</t>
  </si>
  <si>
    <t xml:space="preserve">Lisier de veaux en batterie</t>
  </si>
  <si>
    <t xml:space="preserve">LES LISIERS DE PORCINS</t>
  </si>
  <si>
    <t xml:space="preserve">lisier alimentation bi-phase</t>
  </si>
  <si>
    <t xml:space="preserve">lisier alimentation standard</t>
  </si>
  <si>
    <t xml:space="preserve">lisier de porcs à l'engrais</t>
  </si>
  <si>
    <t xml:space="preserve">lisiers de porcs mixtes</t>
  </si>
  <si>
    <t xml:space="preserve">purins</t>
  </si>
  <si>
    <t xml:space="preserve">lixiviats dilués</t>
  </si>
  <si>
    <t xml:space="preserve">VALEURS MOYENNES DES FUMIERS,    LISIERS ET PURINS</t>
  </si>
  <si>
    <t xml:space="preserve">Fumiers</t>
  </si>
  <si>
    <t xml:space="preserve">vaches laitières</t>
  </si>
  <si>
    <t xml:space="preserve">vaches allaitantes</t>
  </si>
  <si>
    <t xml:space="preserve">taurillons</t>
  </si>
  <si>
    <t xml:space="preserve">volailles</t>
  </si>
  <si>
    <t xml:space="preserve">chevaux</t>
  </si>
  <si>
    <t xml:space="preserve">porcs</t>
  </si>
  <si>
    <t xml:space="preserve">Lisiers</t>
  </si>
  <si>
    <t xml:space="preserve">bovins</t>
  </si>
  <si>
    <t xml:space="preserve">Purins</t>
  </si>
  <si>
    <t xml:space="preserve">VALEURS DES BOUES D'ÉPURATION</t>
  </si>
  <si>
    <t xml:space="preserve">Boues</t>
  </si>
  <si>
    <t xml:space="preserve">boue liquide</t>
  </si>
  <si>
    <t xml:space="preserve">2-4</t>
  </si>
  <si>
    <t xml:space="preserve">2-3</t>
  </si>
  <si>
    <t xml:space="preserve">0,9</t>
  </si>
  <si>
    <t xml:space="preserve">boue pâteuse</t>
  </si>
  <si>
    <t xml:space="preserve">8-12</t>
  </si>
  <si>
    <t xml:space="preserve">6-9</t>
  </si>
  <si>
    <t xml:space="preserve">0,8</t>
  </si>
  <si>
    <t xml:space="preserve">boue sèche</t>
  </si>
  <si>
    <t xml:space="preserve">30-50</t>
  </si>
  <si>
    <t xml:space="preserve">50-70</t>
  </si>
  <si>
    <t xml:space="preserve">5</t>
  </si>
  <si>
    <t xml:space="preserve">boue chaulée</t>
  </si>
  <si>
    <t xml:space="preserve">6-10</t>
  </si>
  <si>
    <t xml:space="preserve">1</t>
  </si>
  <si>
    <t xml:space="preserve">boue compostée</t>
  </si>
  <si>
    <t xml:space="preserve">5-9</t>
  </si>
  <si>
    <t xml:space="preserve">6-8</t>
  </si>
  <si>
    <t xml:space="preserve">1-2</t>
  </si>
  <si>
    <t xml:space="preserve">rdt en qx/ha</t>
  </si>
  <si>
    <t xml:space="preserve">1.4. Entrées et sorties par les fourrages grossiers et litières</t>
  </si>
  <si>
    <t xml:space="preserve">Kg/tonne MS</t>
  </si>
  <si>
    <t xml:space="preserve">Pulpes bett. surpre.</t>
  </si>
  <si>
    <t xml:space="preserve">Luzerne déshy.</t>
  </si>
  <si>
    <t xml:space="preserve">Paille non traitée</t>
  </si>
  <si>
    <t xml:space="preserve">1.5. Entrées par les concentrés et les compléments minéraux</t>
  </si>
  <si>
    <t xml:space="preserve">Kg/tonne</t>
  </si>
  <si>
    <t xml:space="preserve">Composition moyenne des matières premières</t>
  </si>
  <si>
    <t xml:space="preserve">Orge</t>
  </si>
  <si>
    <t xml:space="preserve">Tourt. Soja 48</t>
  </si>
  <si>
    <t xml:space="preserve">Tourt. Soja 46</t>
  </si>
  <si>
    <t xml:space="preserve">Tourt. Soja 44</t>
  </si>
  <si>
    <t xml:space="preserve">Tourteau colza</t>
  </si>
  <si>
    <t xml:space="preserve">Lupin</t>
  </si>
  <si>
    <t xml:space="preserve">Luzerne déshy. 16%</t>
  </si>
  <si>
    <t xml:space="preserve">Luzerne déshy. 18%</t>
  </si>
  <si>
    <t xml:space="preserve">Luzerne déshy. 20%</t>
  </si>
  <si>
    <t xml:space="preserve">Luzerne déshy. 22%</t>
  </si>
  <si>
    <t xml:space="preserve">Composition moyenne des aliments du commerce</t>
  </si>
  <si>
    <t xml:space="preserve">Aliment porc charc.</t>
  </si>
  <si>
    <t xml:space="preserve">Aliment poule pond.</t>
  </si>
  <si>
    <t xml:space="preserve">1.5. Entrées par les animaux</t>
  </si>
  <si>
    <t xml:space="preserve">Poids vif (T)</t>
  </si>
  <si>
    <t xml:space="preserve">Normande</t>
  </si>
  <si>
    <t xml:space="preserve">Charolais</t>
  </si>
  <si>
    <t xml:space="preserve">Pie-noir</t>
  </si>
  <si>
    <t xml:space="preserve">Limousin</t>
  </si>
  <si>
    <t xml:space="preserve">Veau 8-15j</t>
  </si>
  <si>
    <t xml:space="preserve">-</t>
  </si>
  <si>
    <t xml:space="preserve">Génisse 1 an</t>
  </si>
  <si>
    <t xml:space="preserve">Génisse amouil.</t>
  </si>
  <si>
    <t xml:space="preserve">Vache réforme</t>
  </si>
  <si>
    <t xml:space="preserve">Taurillons 18m</t>
  </si>
  <si>
    <t xml:space="preserve">Bœuf</t>
  </si>
  <si>
    <t xml:space="preserve">Broutard</t>
  </si>
  <si>
    <t xml:space="preserve">Génisses grasse</t>
  </si>
  <si>
    <t xml:space="preserve">Poids vif des animaux hors-sol (tonnes)</t>
  </si>
  <si>
    <t xml:space="preserve">Porcelet</t>
  </si>
  <si>
    <t xml:space="preserve">Porc charcutier</t>
  </si>
  <si>
    <t xml:space="preserve">Truie de réforme</t>
  </si>
  <si>
    <t xml:space="preserve">Poussin</t>
  </si>
  <si>
    <t xml:space="preserve">Poulet 20 semaines</t>
  </si>
  <si>
    <t xml:space="preserve">Poulet standard</t>
  </si>
  <si>
    <t xml:space="preserve">Poulet label</t>
  </si>
  <si>
    <t xml:space="preserve">Dinde</t>
  </si>
  <si>
    <t xml:space="preserve">Pintade</t>
  </si>
  <si>
    <t xml:space="preserve">Canard de chair</t>
  </si>
  <si>
    <t xml:space="preserve">Canard gras</t>
  </si>
  <si>
    <t xml:space="preserve">Oie</t>
  </si>
  <si>
    <t xml:space="preserve">Lapin</t>
  </si>
  <si>
    <t xml:space="preserve">Lapine de réforme</t>
  </si>
  <si>
    <t xml:space="preserve">Kg/tonne brut</t>
  </si>
  <si>
    <t xml:space="preserve">Équin</t>
  </si>
  <si>
    <t xml:space="preserve">Caprin - ovin</t>
  </si>
  <si>
    <t xml:space="preserve">Œuf de poule</t>
  </si>
  <si>
    <t xml:space="preserve">Poussin de poulet</t>
  </si>
  <si>
    <t xml:space="preserve">Poulet</t>
  </si>
  <si>
    <t xml:space="preserve">Poussin de dinde</t>
  </si>
  <si>
    <t xml:space="preserve">Poussin de canard</t>
  </si>
  <si>
    <t xml:space="preserve">Canard</t>
  </si>
  <si>
    <t xml:space="preserve">Poussin de pintade</t>
  </si>
  <si>
    <t xml:space="preserve">2. Sorties</t>
  </si>
  <si>
    <t xml:space="preserve">2.1. Sorties par les animaux</t>
  </si>
  <si>
    <t xml:space="preserve">Coefficient de conversion du poids de carcasse en poids vif</t>
  </si>
  <si>
    <t xml:space="preserve">Veau boucherie</t>
  </si>
  <si>
    <t xml:space="preserve">Génisse grasse</t>
  </si>
  <si>
    <t xml:space="preserve">Taurillon, taureau</t>
  </si>
  <si>
    <t xml:space="preserve">2.2. Sorties par le lait et les produits laitiers</t>
  </si>
  <si>
    <t xml:space="preserve">Kg/1000 litres</t>
  </si>
  <si>
    <t xml:space="preserve">TP (g/kg)</t>
  </si>
  <si>
    <t xml:space="preserve">Lait vache</t>
  </si>
  <si>
    <t xml:space="preserve">Lait brebis</t>
  </si>
  <si>
    <t xml:space="preserve">Lait chèvre</t>
  </si>
  <si>
    <t xml:space="preserve">2.3. Sorties par les cultures de vente</t>
  </si>
  <si>
    <t xml:space="preserve">Abricotier</t>
  </si>
  <si>
    <t xml:space="preserve">Ail</t>
  </si>
  <si>
    <t xml:space="preserve">Ananas</t>
  </si>
  <si>
    <t xml:space="preserve">Artichauts 2 ans têtes</t>
  </si>
  <si>
    <t xml:space="preserve">Artichauts 2 ans têtes+bâtons</t>
  </si>
  <si>
    <t xml:space="preserve">Artichauts 2 ans têtes+bâtons+feuilles</t>
  </si>
  <si>
    <t xml:space="preserve">Artichauts 3 ans têtes</t>
  </si>
  <si>
    <t xml:space="preserve">Artichauts 3 ans têtes+bâtons</t>
  </si>
  <si>
    <t xml:space="preserve">Artichauts 3 ans têtes+bâtons+feuilles</t>
  </si>
  <si>
    <t xml:space="preserve">Artichauts drageons têtes</t>
  </si>
  <si>
    <t xml:space="preserve">Artichauts drageons têtes+bâtons</t>
  </si>
  <si>
    <t xml:space="preserve">Artichauts drageons têtes+bâtons+feuilles</t>
  </si>
  <si>
    <t xml:space="preserve">Asperges</t>
  </si>
  <si>
    <t xml:space="preserve">Avocatier (variété Fuerte)</t>
  </si>
  <si>
    <t xml:space="preserve">Avocatier (variété Lula)</t>
  </si>
  <si>
    <t xml:space="preserve">Avoine</t>
  </si>
  <si>
    <t xml:space="preserve">grain</t>
  </si>
  <si>
    <t xml:space="preserve">grain et paille</t>
  </si>
  <si>
    <t xml:space="preserve">Bananes</t>
  </si>
  <si>
    <t xml:space="preserve">Betterave fourr. racine</t>
  </si>
  <si>
    <t xml:space="preserve">Betterave fourr. verts</t>
  </si>
  <si>
    <t xml:space="preserve">Betterave rouge</t>
  </si>
  <si>
    <t xml:space="preserve">Betterave sucrière</t>
  </si>
  <si>
    <t xml:space="preserve">Carotte                </t>
  </si>
  <si>
    <t xml:space="preserve">Cerisiers</t>
  </si>
  <si>
    <r>
      <rPr>
        <sz val="10"/>
        <rFont val="Arial"/>
        <family val="2"/>
        <charset val="1"/>
      </rPr>
      <t xml:space="preserve">Chou-fleur cond. 01 </t>
    </r>
    <r>
      <rPr>
        <sz val="9"/>
        <rFont val="Arial"/>
        <family val="2"/>
        <charset val="1"/>
      </rPr>
      <t xml:space="preserve">champ</t>
    </r>
    <r>
      <rPr>
        <sz val="10"/>
        <rFont val="Arial"/>
        <family val="2"/>
        <charset val="1"/>
      </rPr>
      <t xml:space="preserve"> </t>
    </r>
  </si>
  <si>
    <t xml:space="preserve">1000 choux</t>
  </si>
  <si>
    <t xml:space="preserve">Chou-fleur cond. 01 vrac</t>
  </si>
  <si>
    <r>
      <rPr>
        <sz val="10"/>
        <rFont val="Arial"/>
        <family val="2"/>
        <charset val="1"/>
      </rPr>
      <t xml:space="preserve">Chou-fleur cond. 03 </t>
    </r>
    <r>
      <rPr>
        <sz val="9"/>
        <rFont val="Arial"/>
        <family val="2"/>
        <charset val="1"/>
      </rPr>
      <t xml:space="preserve">champ</t>
    </r>
  </si>
  <si>
    <t xml:space="preserve">Chou-fleur cond. 03 vrac</t>
  </si>
  <si>
    <r>
      <rPr>
        <sz val="10"/>
        <rFont val="Arial"/>
        <family val="2"/>
        <charset val="1"/>
      </rPr>
      <t xml:space="preserve">Chou-fleur cond. 05 </t>
    </r>
    <r>
      <rPr>
        <sz val="9"/>
        <rFont val="Arial"/>
        <family val="2"/>
        <charset val="1"/>
      </rPr>
      <t xml:space="preserve">champ</t>
    </r>
  </si>
  <si>
    <t xml:space="preserve">Chou-fleur cond. 05 vrac</t>
  </si>
  <si>
    <t xml:space="preserve">Choux four Moellier</t>
  </si>
  <si>
    <t xml:space="preserve">Choux fourrager (1/2 Moellier)</t>
  </si>
  <si>
    <t xml:space="preserve">Citrons (verts et jaunes)</t>
  </si>
  <si>
    <t xml:space="preserve">Colza de printemps (canola)</t>
  </si>
  <si>
    <t xml:space="preserve">Colza hiver</t>
  </si>
  <si>
    <t xml:space="preserve">Concombre</t>
  </si>
  <si>
    <t xml:space="preserve">Echalotte             </t>
  </si>
  <si>
    <t xml:space="preserve">Endive (racine)</t>
  </si>
  <si>
    <t xml:space="preserve">Ensilage herbe                 </t>
  </si>
  <si>
    <t xml:space="preserve">Épinard                </t>
  </si>
  <si>
    <t xml:space="preserve">Féverole hi.</t>
  </si>
  <si>
    <t xml:space="preserve">grain et fanes</t>
  </si>
  <si>
    <t xml:space="preserve">Féverole pr.</t>
  </si>
  <si>
    <t xml:space="preserve">Foin floraison                </t>
  </si>
  <si>
    <t xml:space="preserve">Foin pleine épiaison</t>
  </si>
  <si>
    <t xml:space="preserve">Fraises</t>
  </si>
  <si>
    <t xml:space="preserve">Haricot</t>
  </si>
  <si>
    <t xml:space="preserve">Haricot vert              </t>
  </si>
  <si>
    <t xml:space="preserve">Laitue de printemps</t>
  </si>
  <si>
    <t xml:space="preserve">Laitue d'hiver</t>
  </si>
  <si>
    <t xml:space="preserve">Laitue plein champ</t>
  </si>
  <si>
    <t xml:space="preserve">10 000 têtes</t>
  </si>
  <si>
    <t xml:space="preserve">Laitue serres dec.fev.</t>
  </si>
  <si>
    <t xml:space="preserve">Laitue serres oct.nov.</t>
  </si>
  <si>
    <t xml:space="preserve">Légumineuse avec fleur</t>
  </si>
  <si>
    <t xml:space="preserve">Légumineuse sans fleur</t>
  </si>
  <si>
    <t xml:space="preserve">Lin fibre</t>
  </si>
  <si>
    <t xml:space="preserve">Lin oléagineux</t>
  </si>
  <si>
    <t xml:space="preserve">Lupin hiver</t>
  </si>
  <si>
    <t xml:space="preserve">Lupin printps</t>
  </si>
  <si>
    <t xml:space="preserve">Maïs fourrage</t>
  </si>
  <si>
    <t xml:space="preserve">Maïs semence</t>
  </si>
  <si>
    <t xml:space="preserve">Mandarines</t>
  </si>
  <si>
    <t xml:space="preserve">Melons</t>
  </si>
  <si>
    <t xml:space="preserve">Navets fourragers</t>
  </si>
  <si>
    <t xml:space="preserve">Navets potagers</t>
  </si>
  <si>
    <t xml:space="preserve">Noisetier</t>
  </si>
  <si>
    <t xml:space="preserve">Noyer (cerneaux)</t>
  </si>
  <si>
    <t xml:space="preserve">Oignon                 </t>
  </si>
  <si>
    <t xml:space="preserve">Oranges</t>
  </si>
  <si>
    <t xml:space="preserve">Paille avoine ou seigle achetée</t>
  </si>
  <si>
    <t xml:space="preserve">Paille blé ou triticale achetée</t>
  </si>
  <si>
    <t xml:space="preserve">Paille orge achetée</t>
  </si>
  <si>
    <t xml:space="preserve">Pamplemousses</t>
  </si>
  <si>
    <t xml:space="preserve">Pâture 3 semaines</t>
  </si>
  <si>
    <t xml:space="preserve">Pâture 4 semaines</t>
  </si>
  <si>
    <t xml:space="preserve">Pâture 6 semaines</t>
  </si>
  <si>
    <t xml:space="preserve">Pêcher</t>
  </si>
  <si>
    <t xml:space="preserve">Poirier</t>
  </si>
  <si>
    <t xml:space="preserve">Pois hiver</t>
  </si>
  <si>
    <t xml:space="preserve">Pois printps</t>
  </si>
  <si>
    <t xml:space="preserve">Pomme de terre</t>
  </si>
  <si>
    <t xml:space="preserve">Pommier</t>
  </si>
  <si>
    <t xml:space="preserve">Prunier</t>
  </si>
  <si>
    <t xml:space="preserve">Riz</t>
  </si>
  <si>
    <t xml:space="preserve">Seigle</t>
  </si>
  <si>
    <t xml:space="preserve">Sorgho</t>
  </si>
  <si>
    <t xml:space="preserve">Sorgho ensilage</t>
  </si>
  <si>
    <t xml:space="preserve">Tabac blond</t>
  </si>
  <si>
    <t xml:space="preserve">Tabac brun, burley</t>
  </si>
  <si>
    <t xml:space="preserve">Tomates</t>
  </si>
  <si>
    <t xml:space="preserve">Tournesol</t>
  </si>
  <si>
    <t xml:space="preserve">Vigne</t>
  </si>
  <si>
    <t xml:space="preserve">Estimation des émissions et compensations des emission de GES (equivalent CO2)</t>
  </si>
  <si>
    <r>
      <rPr>
        <b val="true"/>
        <sz val="10"/>
        <color rgb="FF000000"/>
        <rFont val="Times New Roman"/>
        <family val="1"/>
        <charset val="1"/>
      </rPr>
      <t xml:space="preserve">Référence en kg équivalent CO</t>
    </r>
    <r>
      <rPr>
        <b val="true"/>
        <vertAlign val="subscript"/>
        <sz val="10"/>
        <color rgb="FF000000"/>
        <rFont val="Times New Roman"/>
        <family val="1"/>
        <charset val="1"/>
      </rPr>
      <t xml:space="preserve">2</t>
    </r>
  </si>
  <si>
    <r>
      <rPr>
        <b val="true"/>
        <sz val="10"/>
        <color rgb="FF000000"/>
        <rFont val="Times New Roman"/>
        <family val="1"/>
        <charset val="1"/>
      </rPr>
      <t xml:space="preserve">CO</t>
    </r>
    <r>
      <rPr>
        <b val="true"/>
        <vertAlign val="subscript"/>
        <sz val="10"/>
        <color rgb="FF000000"/>
        <rFont val="Times New Roman"/>
        <family val="1"/>
        <charset val="1"/>
      </rPr>
      <t xml:space="preserve">2</t>
    </r>
  </si>
  <si>
    <t xml:space="preserve">X</t>
  </si>
  <si>
    <t xml:space="preserve">……..</t>
  </si>
  <si>
    <t xml:space="preserve">=</t>
  </si>
  <si>
    <r>
      <rPr>
        <b val="true"/>
        <sz val="10"/>
        <color rgb="FF000000"/>
        <rFont val="Times New Roman"/>
        <family val="1"/>
        <charset val="1"/>
      </rPr>
      <t xml:space="preserve">CH</t>
    </r>
    <r>
      <rPr>
        <b val="true"/>
        <vertAlign val="subscript"/>
        <sz val="10"/>
        <color rgb="FF000000"/>
        <rFont val="Times New Roman"/>
        <family val="1"/>
        <charset val="1"/>
      </rPr>
      <t xml:space="preserve">4</t>
    </r>
  </si>
  <si>
    <t xml:space="preserve">X  </t>
  </si>
  <si>
    <t xml:space="preserve">Mois de présence X</t>
  </si>
  <si>
    <r>
      <rPr>
        <b val="true"/>
        <sz val="10"/>
        <color rgb="FF000000"/>
        <rFont val="Times New Roman"/>
        <family val="1"/>
        <charset val="1"/>
      </rPr>
      <t xml:space="preserve">N</t>
    </r>
    <r>
      <rPr>
        <b val="true"/>
        <vertAlign val="subscript"/>
        <sz val="10"/>
        <color rgb="FF000000"/>
        <rFont val="Times New Roman"/>
        <family val="1"/>
        <charset val="1"/>
      </rPr>
      <t xml:space="preserve">2</t>
    </r>
    <r>
      <rPr>
        <b val="true"/>
        <sz val="10"/>
        <color rgb="FF000000"/>
        <rFont val="Times New Roman"/>
        <family val="1"/>
        <charset val="1"/>
      </rPr>
      <t xml:space="preserve">O</t>
    </r>
  </si>
  <si>
    <t xml:space="preserve">X </t>
  </si>
  <si>
    <r>
      <rPr>
        <b val="true"/>
        <sz val="10"/>
        <color rgb="FF000000"/>
        <rFont val="Times New Roman"/>
        <family val="1"/>
        <charset val="1"/>
      </rPr>
      <t xml:space="preserve">Emissions brutes (en kg éq CO</t>
    </r>
    <r>
      <rPr>
        <b val="true"/>
        <vertAlign val="subscript"/>
        <sz val="10"/>
        <color rgb="FF000000"/>
        <rFont val="Times New Roman"/>
        <family val="1"/>
        <charset val="1"/>
      </rPr>
      <t xml:space="preserve">2</t>
    </r>
    <r>
      <rPr>
        <b val="true"/>
        <sz val="10"/>
        <color rgb="FF000000"/>
        <rFont val="Times New Roman"/>
        <family val="1"/>
        <charset val="1"/>
      </rPr>
      <t xml:space="preserve">) =</t>
    </r>
  </si>
  <si>
    <t xml:space="preserve"> X                    </t>
  </si>
  <si>
    <t xml:space="preserve"> Stockage de carbone (en kg éq CO2)=</t>
  </si>
  <si>
    <t xml:space="preserve">formaliser sources document vincent</t>
  </si>
  <si>
    <t xml:space="preserve">INDICATEURS DE DURABILITE DE LA DIMENSION AGRO-ECOLOGIQUE</t>
  </si>
  <si>
    <t xml:space="preserve">Diversité fonctionnelle</t>
  </si>
  <si>
    <t xml:space="preserve">ROB1 : Diversité des espèces cultivées</t>
  </si>
  <si>
    <t xml:space="preserve">Note sur 5</t>
  </si>
  <si>
    <t xml:space="preserve">Modalités</t>
  </si>
  <si>
    <t xml:space="preserve">Note déplafonnée</t>
  </si>
  <si>
    <t xml:space="preserve">Note plafonnée</t>
  </si>
  <si>
    <t xml:space="preserve">Nb famille botanique</t>
  </si>
  <si>
    <t xml:space="preserve">1 famille</t>
  </si>
  <si>
    <t xml:space="preserve">4 ou 5 familles</t>
  </si>
  <si>
    <t xml:space="preserve">6 familles et +</t>
  </si>
  <si>
    <t xml:space="preserve">Item 1 : Diversité et "équitabilité" des cultures</t>
  </si>
  <si>
    <t xml:space="preserve">score</t>
  </si>
  <si>
    <t xml:space="preserve">Gds cultures, fourrages et perennes</t>
  </si>
  <si>
    <t xml:space="preserve">Score</t>
  </si>
  <si>
    <t xml:space="preserve">% (SAU-STH)</t>
  </si>
  <si>
    <t xml:space="preserve">Maraichage </t>
  </si>
  <si>
    <t xml:space="preserve">diversité permanente</t>
  </si>
  <si>
    <t xml:space="preserve">% de la (SAU - STH)</t>
  </si>
  <si>
    <t xml:space="preserve">catégorie</t>
  </si>
  <si>
    <t xml:space="preserve">%PP</t>
  </si>
  <si>
    <t xml:space="preserve">Item 2 : Part de PP dans la SAU</t>
  </si>
  <si>
    <t xml:space="preserve">saut de classe</t>
  </si>
  <si>
    <t xml:space="preserve">ROB2 : Diversité génétique</t>
  </si>
  <si>
    <t xml:space="preserve">Item 1 : Participation à des programmes</t>
  </si>
  <si>
    <t xml:space="preserve">O/N</t>
  </si>
  <si>
    <t xml:space="preserve">Item 2 : Diversité des productions végétales</t>
  </si>
  <si>
    <t xml:space="preserve">Atelier</t>
  </si>
  <si>
    <t xml:space="preserve">Gds cultures, fourrages, etc…</t>
  </si>
  <si>
    <t xml:space="preserve">Tolérance/Résistance/Rusticité </t>
  </si>
  <si>
    <t xml:space="preserve">Surface</t>
  </si>
  <si>
    <t xml:space="preserve">Gds cultures, indus et fourrages</t>
  </si>
  <si>
    <t xml:space="preserve">% de la (SAU-STH)</t>
  </si>
  <si>
    <t xml:space="preserve">Score au % SAU-STH</t>
  </si>
  <si>
    <t xml:space="preserve">Item 3 : Diversité des productions animales</t>
  </si>
  <si>
    <t xml:space="preserve">Cx</t>
  </si>
  <si>
    <t xml:space="preserve">Part des mères croisées (Cx)</t>
  </si>
  <si>
    <t xml:space="preserve">points</t>
  </si>
  <si>
    <t xml:space="preserve">Critère de rusticité en reproduction</t>
  </si>
  <si>
    <t xml:space="preserve">choix repro </t>
  </si>
  <si>
    <t xml:space="preserve">oui, critère principal</t>
  </si>
  <si>
    <t xml:space="preserve">ROB3 : Diversité temporelle des cultures </t>
  </si>
  <si>
    <t xml:space="preserve">Item 1 : Cultures annuelles et pluriannuelles</t>
  </si>
  <si>
    <t xml:space="preserve">item 2</t>
  </si>
  <si>
    <t xml:space="preserve">Successions à délai de retour court</t>
  </si>
  <si>
    <t xml:space="preserve">poids rot. courte</t>
  </si>
  <si>
    <t xml:space="preserve">Cultures pluriann. à fauches multiples</t>
  </si>
  <si>
    <t xml:space="preserve">Durée interculture viticulture</t>
  </si>
  <si>
    <t xml:space="preserve">Point</t>
  </si>
  <si>
    <t xml:space="preserve">Durée interculture arboriculture</t>
  </si>
  <si>
    <t xml:space="preserve">Qualité interculture cult perennes</t>
  </si>
  <si>
    <t xml:space="preserve">Item 2 : Cultures pérennes</t>
  </si>
  <si>
    <t xml:space="preserve">0 à 2 ans</t>
  </si>
  <si>
    <t xml:space="preserve">0 à 1 an</t>
  </si>
  <si>
    <t xml:space="preserve">3 à 5 ans</t>
  </si>
  <si>
    <t xml:space="preserve">1 à 2 ans</t>
  </si>
  <si>
    <t xml:space="preserve">ans</t>
  </si>
  <si>
    <t xml:space="preserve">6 à 7 ans</t>
  </si>
  <si>
    <t xml:space="preserve">2 à 3 ans</t>
  </si>
  <si>
    <t xml:space="preserve">plus de 7 ans</t>
  </si>
  <si>
    <t xml:space="preserve">3 ans et +</t>
  </si>
  <si>
    <t xml:space="preserve">Qualité interculture</t>
  </si>
  <si>
    <t xml:space="preserve">Nbr familles botaniques</t>
  </si>
  <si>
    <t xml:space="preserve">Retour même famille</t>
  </si>
  <si>
    <t xml:space="preserve">Item 3 : Maraichage</t>
  </si>
  <si>
    <t xml:space="preserve">2 familles</t>
  </si>
  <si>
    <t xml:space="preserve">Nbr familles botanique </t>
  </si>
  <si>
    <t xml:space="preserve">3 familles</t>
  </si>
  <si>
    <t xml:space="preserve">4 familles et +</t>
  </si>
  <si>
    <t xml:space="preserve">Retour d'une même famille botanique</t>
  </si>
  <si>
    <t xml:space="preserve">Cultures annuelles et pluri</t>
  </si>
  <si>
    <t xml:space="preserve">Arbo et Viti</t>
  </si>
  <si>
    <t xml:space="preserve">STH</t>
  </si>
  <si>
    <t xml:space="preserve">Couverts intermédiaires à objectif agro</t>
  </si>
  <si>
    <t xml:space="preserve">ROB4 : Qualité de l'organisation spatiale</t>
  </si>
  <si>
    <t xml:space="preserve">% SBD</t>
  </si>
  <si>
    <t xml:space="preserve">Item 1 : Unités spatiales de même culture &gt; 12ha (ou 6)</t>
  </si>
  <si>
    <t xml:space="preserve">points </t>
  </si>
  <si>
    <t xml:space="preserve">Item 2 : Part de la surface de biodiversité developpée</t>
  </si>
  <si>
    <t xml:space="preserve">Ratio</t>
  </si>
  <si>
    <t xml:space="preserve">CAP1 RES1 : Gestion insectes pollinisateurs et auxiliaires</t>
  </si>
  <si>
    <t xml:space="preserve">Part de PP dans la SAU</t>
  </si>
  <si>
    <t xml:space="preserve">Gestion des bordures</t>
  </si>
  <si>
    <t xml:space="preserve">Item 1 : Zones non productives</t>
  </si>
  <si>
    <t xml:space="preserve">Mode de gestion :</t>
  </si>
  <si>
    <t xml:space="preserve">Item 2 :Usage d'insecticides</t>
  </si>
  <si>
    <t xml:space="preserve">% sans pesticides</t>
  </si>
  <si>
    <t xml:space="preserve">Points</t>
  </si>
  <si>
    <t xml:space="preserve">Part SAU ayant reçu insecticides</t>
  </si>
  <si>
    <t xml:space="preserve">Part cheptel ayant reçu insecticides</t>
  </si>
  <si>
    <t xml:space="preserve">Item 3: Accueil pollinisateurs sauvages</t>
  </si>
  <si>
    <t xml:space="preserve">bonus</t>
  </si>
  <si>
    <t xml:space="preserve">point</t>
  </si>
  <si>
    <t xml:space="preserve">Bouclage de flux de matières et d'énergie par une recherche d'autonomie</t>
  </si>
  <si>
    <t xml:space="preserve">AUT 1 : Autonomie en énergie, matériaux, matériels, semences et plants </t>
  </si>
  <si>
    <t xml:space="preserve">Note sur 8</t>
  </si>
  <si>
    <t xml:space="preserve">% autonomie</t>
  </si>
  <si>
    <t xml:space="preserve">Oui de manière significative</t>
  </si>
  <si>
    <t xml:space="preserve">Oui de manière non significative</t>
  </si>
  <si>
    <t xml:space="preserve">Item 1 : Energie</t>
  </si>
  <si>
    <t xml:space="preserve">Item 2 : Matériaux et matériels agricoles</t>
  </si>
  <si>
    <t xml:space="preserve">% surface cultivé en semence de ferme</t>
  </si>
  <si>
    <t xml:space="preserve">Item 3 : Autoproduction de semences/plants</t>
  </si>
  <si>
    <t xml:space="preserve">AUT 2 : Autonomie alimentaire de l’élevage</t>
  </si>
  <si>
    <t xml:space="preserve">% aut fourrage</t>
  </si>
  <si>
    <t xml:space="preserve">Type d'élevage :</t>
  </si>
  <si>
    <t xml:space="preserve">Item 1 : Autonomie en fourrages</t>
  </si>
  <si>
    <t xml:space="preserve">% aut concentrés</t>
  </si>
  <si>
    <t xml:space="preserve">Item 2 : Autonomie en concentrés</t>
  </si>
  <si>
    <t xml:space="preserve">AUT 3 : Autonomie en azote</t>
  </si>
  <si>
    <t xml:space="preserve">ratio N organique</t>
  </si>
  <si>
    <t xml:space="preserve">Nul</t>
  </si>
  <si>
    <t xml:space="preserve">Item 1 : Autonomie vis-à-vis de l'azote extérieur</t>
  </si>
  <si>
    <t xml:space="preserve">% leg dans SAU</t>
  </si>
  <si>
    <t xml:space="preserve">Item 2 : Part des légumineuses dans l'assolement</t>
  </si>
  <si>
    <t xml:space="preserve">Sobriété dans l'utilisation des ressources</t>
  </si>
  <si>
    <t xml:space="preserve">RES 2 : Sobriété dans l'usage de l'eau et partage de la ressource</t>
  </si>
  <si>
    <t xml:space="preserve">Prélèvements</t>
  </si>
  <si>
    <t xml:space="preserve">Pression de prélèvement 
et vulnérabilité de la ressource</t>
  </si>
  <si>
    <t xml:space="preserve">A10</t>
  </si>
  <si>
    <t xml:space="preserve">RES 3 : Sobriété dans l'utilisation du phosphore</t>
  </si>
  <si>
    <t xml:space="preserve">valeur PSPH</t>
  </si>
  <si>
    <t xml:space="preserve">PSPH</t>
  </si>
  <si>
    <t xml:space="preserve">RES 4 : Sobriété dans la consommation en énergie</t>
  </si>
  <si>
    <t xml:space="preserve">valeur EQF</t>
  </si>
  <si>
    <t xml:space="preserve">Consommation nette en énergie</t>
  </si>
  <si>
    <t xml:space="preserve">Assurer des conditions favorables à la production à moyen et long terme</t>
  </si>
  <si>
    <t xml:space="preserve">CAP 2 : Raisonner l'utilisation de l'eau</t>
  </si>
  <si>
    <t xml:space="preserve">Item 1 : Réduire les besoins</t>
  </si>
  <si>
    <t xml:space="preserve">Type culture</t>
  </si>
  <si>
    <t xml:space="preserve">Système herbager avec pâturage</t>
  </si>
  <si>
    <t xml:space="preserve">Stratégies d'économies</t>
  </si>
  <si>
    <t xml:space="preserve">Pas de culture irriguée - Non concerné</t>
  </si>
  <si>
    <t xml:space="preserve">Item 2 : Réduire le gaspillage et optimiser l'usage</t>
  </si>
  <si>
    <t xml:space="preserve">Sous-compteurs/vannes</t>
  </si>
  <si>
    <t xml:space="preserve">Dispositifs écomones</t>
  </si>
  <si>
    <t xml:space="preserve">Item 3 : Recycler et réutiliser l'eau</t>
  </si>
  <si>
    <t xml:space="preserve">Récupération/Réutilisation d'eau</t>
  </si>
  <si>
    <t xml:space="preserve">CAP 3 : Favoriser la fertilité des sols</t>
  </si>
  <si>
    <t xml:space="preserve">Item 1 : Fertilité à long terme des sols</t>
  </si>
  <si>
    <t xml:space="preserve">Gestion MO</t>
  </si>
  <si>
    <t xml:space="preserve">Gestion de la MO</t>
  </si>
  <si>
    <t xml:space="preserve">Pailles brulées</t>
  </si>
  <si>
    <t xml:space="preserve">Métaux lourds</t>
  </si>
  <si>
    <t xml:space="preserve">CPS</t>
  </si>
  <si>
    <t xml:space="preserve">Item 2 : Vie biologique des sols</t>
  </si>
  <si>
    <t xml:space="preserve">Couverture permanente</t>
  </si>
  <si>
    <t xml:space="preserve">NTS</t>
  </si>
  <si>
    <t xml:space="preserve">Non travail du sol</t>
  </si>
  <si>
    <t xml:space="preserve">SAU sans pesticide</t>
  </si>
  <si>
    <t xml:space="preserve">% SAU sans phyto</t>
  </si>
  <si>
    <t xml:space="preserve">Désinfection vapeur</t>
  </si>
  <si>
    <t xml:space="preserve">Desinfection vapeur</t>
  </si>
  <si>
    <t xml:space="preserve">Item 3 : Erosion</t>
  </si>
  <si>
    <t xml:space="preserve">Gestion</t>
  </si>
  <si>
    <t xml:space="preserve">ROB 5 : Maintenir l'efficacité de la protection sanitaire</t>
  </si>
  <si>
    <t xml:space="preserve">Note sur 4</t>
  </si>
  <si>
    <t xml:space="preserve">Usage de produits phytosanitaires ou vétérinaires</t>
  </si>
  <si>
    <t xml:space="preserve">Item 1 : Alternance</t>
  </si>
  <si>
    <t xml:space="preserve">Item 1: Stratégies d’alternance des produits phyto</t>
  </si>
  <si>
    <t xml:space="preserve">Oui seulement des produits phyto</t>
  </si>
  <si>
    <t xml:space="preserve">Oui seulement des produits véto</t>
  </si>
  <si>
    <t xml:space="preserve">Item 2: Stratégie d'usage des produits véto</t>
  </si>
  <si>
    <t xml:space="preserve">ROB 6 : Sécuriser la disponibilité des moyens matériels de production</t>
  </si>
  <si>
    <t xml:space="preserve">nbr de mois de SFS</t>
  </si>
  <si>
    <t xml:space="preserve">Item 1 :Problèmes d’approvisionnement</t>
  </si>
  <si>
    <t xml:space="preserve">Item 2 :Problèmes d'accès à la collecte</t>
  </si>
  <si>
    <t xml:space="preserve">Item 3 : Stock fourrager de sécurité  </t>
  </si>
  <si>
    <t xml:space="preserve">mois</t>
  </si>
  <si>
    <t xml:space="preserve">Réduire les impacts sur la santé humaine et les écosystèmes</t>
  </si>
  <si>
    <t xml:space="preserve">RES 5 : Réduire l'impact des pratiques sur la qualité de l'eau</t>
  </si>
  <si>
    <t xml:space="preserve">Note sur 6</t>
  </si>
  <si>
    <t xml:space="preserve">bilan azote </t>
  </si>
  <si>
    <t xml:space="preserve">Item 1 : Pression azote</t>
  </si>
  <si>
    <t xml:space="preserve">sinon</t>
  </si>
  <si>
    <t xml:space="preserve">Bilan azote</t>
  </si>
  <si>
    <t xml:space="preserve">excédent</t>
  </si>
  <si>
    <t xml:space="preserve">-2</t>
  </si>
  <si>
    <t xml:space="preserve">Chargement en UGB/ha</t>
  </si>
  <si>
    <t xml:space="preserve">fertilisation</t>
  </si>
  <si>
    <t xml:space="preserve">Fertilisation en lessivage</t>
  </si>
  <si>
    <t xml:space="preserve">IFT Herbicide</t>
  </si>
  <si>
    <t xml:space="preserve">Item 2 : Pression herbicide</t>
  </si>
  <si>
    <t xml:space="preserve">IFT herbicide</t>
  </si>
  <si>
    <t xml:space="preserve">% culture pièges</t>
  </si>
  <si>
    <t xml:space="preserve">Item 3 : Action limitation transferts</t>
  </si>
  <si>
    <t xml:space="preserve">Aménagements</t>
  </si>
  <si>
    <t xml:space="preserve">Cultures à forte capacité absorption N</t>
  </si>
  <si>
    <t xml:space="preserve">RES 6 : Réduire l'impact des pratiques sur la qualité de l'air</t>
  </si>
  <si>
    <t xml:space="preserve">Item 1 : Emissions de particules</t>
  </si>
  <si>
    <t xml:space="preserve">NP (nbr passage)</t>
  </si>
  <si>
    <t xml:space="preserve">0 ou 1</t>
  </si>
  <si>
    <t xml:space="preserve">Engins émetteurs</t>
  </si>
  <si>
    <t xml:space="preserve">A REMPLIR</t>
  </si>
  <si>
    <t xml:space="preserve">NP</t>
  </si>
  <si>
    <t xml:space="preserve">Pratiques de limitation</t>
  </si>
  <si>
    <t xml:space="preserve">action(s)</t>
  </si>
  <si>
    <t xml:space="preserve">Item 2 : Pratiques et émissions de pesticides</t>
  </si>
  <si>
    <t xml:space="preserve">RES 7 : Réduire l'impact des pratiques sur le changement climatique</t>
  </si>
  <si>
    <t xml:space="preserve">Émissions nettes</t>
  </si>
  <si>
    <t xml:space="preserve">valeur T eq. CO2</t>
  </si>
  <si>
    <t xml:space="preserve">t eq CO2</t>
  </si>
  <si>
    <t xml:space="preserve">RES 8 : Réduire l'usage des produits phytosanitaires et des traitements vétérinaires</t>
  </si>
  <si>
    <t xml:space="preserve">Sobriété utilisation produits vétérinaires</t>
  </si>
  <si>
    <t xml:space="preserve">IFT Global simplifiée </t>
  </si>
  <si>
    <t xml:space="preserve">Valeur IFT G</t>
  </si>
  <si>
    <t xml:space="preserve">Utilisation de CMR ou perturbateurs endocriniens</t>
  </si>
  <si>
    <t xml:space="preserve">Stratégie alternatives</t>
  </si>
  <si>
    <t xml:space="preserve">stock initial</t>
  </si>
  <si>
    <t xml:space="preserve">évitement</t>
  </si>
  <si>
    <t xml:space="preserve">atténuation</t>
  </si>
  <si>
    <t xml:space="preserve">mécanique et biologique</t>
  </si>
  <si>
    <t xml:space="preserve">Sobriété utilisation traitements vétérinaires</t>
  </si>
  <si>
    <t xml:space="preserve">Traitements vétérinaires</t>
  </si>
  <si>
    <t xml:space="preserve">valeur TV</t>
  </si>
  <si>
    <t xml:space="preserve">TV</t>
  </si>
  <si>
    <t xml:space="preserve">Stratégies alternatives</t>
  </si>
  <si>
    <t xml:space="preserve">Homéopathie, essences</t>
  </si>
  <si>
    <t xml:space="preserve">Produits rémanents</t>
  </si>
  <si>
    <t xml:space="preserve">Stratégies préventive</t>
  </si>
  <si>
    <t xml:space="preserve">Absence de délais avant retour parcelle</t>
  </si>
  <si>
    <t xml:space="preserve">Antibiotique critique</t>
  </si>
  <si>
    <t xml:space="preserve">TOTAL</t>
  </si>
  <si>
    <t xml:space="preserve">INDICATEURS DE DURABILITE DE LA DIMENSION SOCIO-TERRITORIALE</t>
  </si>
  <si>
    <t xml:space="preserve">Alimentation</t>
  </si>
  <si>
    <t xml:space="preserve">B1</t>
  </si>
  <si>
    <t xml:space="preserve">CAP4 RES9 :  Production alimentaire de l'exploitation </t>
  </si>
  <si>
    <t xml:space="preserve">Note plafonnée composante</t>
  </si>
  <si>
    <t xml:space="preserve">valeurs PAE</t>
  </si>
  <si>
    <t xml:space="preserve">Item 1 : Part de la SAU consacrée à l'alimentation humaine   </t>
  </si>
  <si>
    <t xml:space="preserve">PAE</t>
  </si>
  <si>
    <t xml:space="preserve">Item 2 : Production de légumes secs ou de fruits et légumes</t>
  </si>
  <si>
    <t xml:space="preserve">Item 3 : Exploitation en production animale hors sol </t>
  </si>
  <si>
    <t xml:space="preserve">item2</t>
  </si>
  <si>
    <t xml:space="preserve">item3</t>
  </si>
  <si>
    <t xml:space="preserve">RES10 : Contribution à l’équilibre alimentaire mondial</t>
  </si>
  <si>
    <t xml:space="preserve">TI  </t>
  </si>
  <si>
    <t xml:space="preserve">protéine</t>
  </si>
  <si>
    <t xml:space="preserve">Item 1 : Exploitation avec élévage </t>
  </si>
  <si>
    <t xml:space="preserve">Taux importation (TI)</t>
  </si>
  <si>
    <t xml:space="preserve">Item 2 : Exploitation sans élevage</t>
  </si>
  <si>
    <t xml:space="preserve">Part de la SAU consacrée à la production de protéines</t>
  </si>
  <si>
    <t xml:space="preserve">ANC1 CAP5  : Qualités de la production alimentaire</t>
  </si>
  <si>
    <t xml:space="preserve">Item 1 : Qualité alimentaire d'origine et de process</t>
  </si>
  <si>
    <t xml:space="preserve">v.i.</t>
  </si>
  <si>
    <t xml:space="preserve">IGP</t>
  </si>
  <si>
    <t xml:space="preserve">AOC</t>
  </si>
  <si>
    <t xml:space="preserve">Process</t>
  </si>
  <si>
    <t xml:space="preserve">Qualité nutritionnelle</t>
  </si>
  <si>
    <t xml:space="preserve">Item 2 : Qualité nutritionnelle</t>
  </si>
  <si>
    <t xml:space="preserve">AB</t>
  </si>
  <si>
    <t xml:space="preserve">Item 3 : Qualité globale</t>
  </si>
  <si>
    <t xml:space="preserve">certifiée AB</t>
  </si>
  <si>
    <t xml:space="preserve">RES11 : Pertes et gaspillages </t>
  </si>
  <si>
    <t xml:space="preserve">Actions contre les pertes et le gaspillage</t>
  </si>
  <si>
    <t xml:space="preserve">RES12 : Liens sociaux, hédoniques et culturels à l’alimentation</t>
  </si>
  <si>
    <t xml:space="preserve">Item 1 :Démarches favorisant le lien entre consommateur et le producteur </t>
  </si>
  <si>
    <t xml:space="preserve">item 1</t>
  </si>
  <si>
    <t xml:space="preserve">item 3</t>
  </si>
  <si>
    <t xml:space="preserve">Item 2 : Démarches favorisant l’apprentissage ou la culture autour de l’aliment </t>
  </si>
  <si>
    <t xml:space="preserve">Item 3 : Présence d’une diversité pour contribuer au maintien d’une pluralité des saveurs et une contribution à la formation des goûts par le consommateur</t>
  </si>
  <si>
    <t xml:space="preserve">Développement local et économie circulaire</t>
  </si>
  <si>
    <t xml:space="preserve">ANC2 : Engagement dans des démarches environnementales contractualisées et territoriales</t>
  </si>
  <si>
    <t xml:space="preserve">Prévention des risques naturels</t>
  </si>
  <si>
    <t xml:space="preserve">Item 1 : Adhésion à des chartes environnementales</t>
  </si>
  <si>
    <t xml:space="preserve">Oui sur plus de 50% de la SAU</t>
  </si>
  <si>
    <t xml:space="preserve">Oui sur moins de 50% de la SAU</t>
  </si>
  <si>
    <t xml:space="preserve">Item 2 : Contractualisation pour la prévention des risques naturels </t>
  </si>
  <si>
    <t xml:space="preserve">ANC3 : Services marchands au territoire</t>
  </si>
  <si>
    <t xml:space="preserve">Note sur 3</t>
  </si>
  <si>
    <t xml:space="preserve">Item 1: Services marchands rendus au territoire </t>
  </si>
  <si>
    <t xml:space="preserve">item 3 </t>
  </si>
  <si>
    <t xml:space="preserve">Item 2: Agrotourisme</t>
  </si>
  <si>
    <t xml:space="preserve">Item 3: Ferme pédagogique                         </t>
  </si>
  <si>
    <t xml:space="preserve">ANC4 AUT4 : Valorisation par filières courtes ou de proximité</t>
  </si>
  <si>
    <t xml:space="preserve">% CA vente directe</t>
  </si>
  <si>
    <t xml:space="preserve">Item 1 : Valorisation par vente directe ou circuit court </t>
  </si>
  <si>
    <t xml:space="preserve">Item 2 : Valorisation de proximité géographique</t>
  </si>
  <si>
    <t xml:space="preserve">collective</t>
  </si>
  <si>
    <t xml:space="preserve">individuelle</t>
  </si>
  <si>
    <t xml:space="preserve">item3 : Démarche de contractualisation</t>
  </si>
  <si>
    <t xml:space="preserve">ANC5 : Valorisation des ressources locales</t>
  </si>
  <si>
    <t xml:space="preserve">alim animale</t>
  </si>
  <si>
    <t xml:space="preserve">engrais org.</t>
  </si>
  <si>
    <t xml:space="preserve">Item 1 : Approvisionnements locaux agricoles</t>
  </si>
  <si>
    <t xml:space="preserve">Alimentation animale</t>
  </si>
  <si>
    <t xml:space="preserve">Achat d'aminaux locaux</t>
  </si>
  <si>
    <t xml:space="preserve">echange paille fumier</t>
  </si>
  <si>
    <t xml:space="preserve">Sélection variétale</t>
  </si>
  <si>
    <t xml:space="preserve">eau</t>
  </si>
  <si>
    <t xml:space="preserve">Engrais organiques</t>
  </si>
  <si>
    <t xml:space="preserve">Pailles/Fumier</t>
  </si>
  <si>
    <t xml:space="preserve">Récupération eau pluie</t>
  </si>
  <si>
    <t xml:space="preserve">Conso energie locale</t>
  </si>
  <si>
    <t xml:space="preserve">Prod energie locale</t>
  </si>
  <si>
    <t xml:space="preserve">Materiaux locaux</t>
  </si>
  <si>
    <t xml:space="preserve">Autres appro locales</t>
  </si>
  <si>
    <t xml:space="preserve">Item 2  : Approvisionnements locaux entreprises</t>
  </si>
  <si>
    <t xml:space="preserve">Eau de station/process</t>
  </si>
  <si>
    <t xml:space="preserve">Boues station / Déchets</t>
  </si>
  <si>
    <t xml:space="preserve">Autres sous produit</t>
  </si>
  <si>
    <t xml:space="preserve">Item 3  : Valorisation sous produit communauté</t>
  </si>
  <si>
    <t xml:space="preserve">ANC6 : Valorisation et qualité du patrimoine et des ressources naturelles</t>
  </si>
  <si>
    <t xml:space="preserve">Item 1 : Qualité du patrimoine bâti</t>
  </si>
  <si>
    <t xml:space="preserve">Item 2 : Qualité paysagère</t>
  </si>
  <si>
    <t xml:space="preserve">Item  3: Contribution au maintien de savoirs locaux reconnus</t>
  </si>
  <si>
    <t xml:space="preserve">Item 4 : Maintenir/développer le patrimoine génétique local </t>
  </si>
  <si>
    <t xml:space="preserve">RES13 : Accessibilité de l'espace </t>
  </si>
  <si>
    <t xml:space="preserve">Item 1 : En zone rurale</t>
  </si>
  <si>
    <t xml:space="preserve">Item 2 : En zone urbaine </t>
  </si>
  <si>
    <t xml:space="preserve">Item3 : Entretien des chemins</t>
  </si>
  <si>
    <t xml:space="preserve">RES14 : Gestion des déchets non organiques </t>
  </si>
  <si>
    <t xml:space="preserve">Gestion des déchets</t>
  </si>
  <si>
    <t xml:space="preserve">arrondi à</t>
  </si>
  <si>
    <t xml:space="preserve">Pratiques à risques</t>
  </si>
  <si>
    <t xml:space="preserve">malus</t>
  </si>
  <si>
    <t xml:space="preserve">AUT5 CAP6 ROB7 : Réseaux d'innovation et mutualisation du matériel</t>
  </si>
  <si>
    <t xml:space="preserve">Item 1: Participation à des réseaux de connaissances</t>
  </si>
  <si>
    <t xml:space="preserve">Item 2: Mutualisation des matériels équipements/bâtiments/services</t>
  </si>
  <si>
    <t xml:space="preserve">Emploi et qualité au travail</t>
  </si>
  <si>
    <t xml:space="preserve">ANC7 CAP7 RES15 : Contribution à l'emploi et gestion du salariat</t>
  </si>
  <si>
    <t xml:space="preserve">surface/UTH</t>
  </si>
  <si>
    <t xml:space="preserve">Item 1: Intensité du travail (SAU/UTH)</t>
  </si>
  <si>
    <t xml:space="preserve">Item 2: Dynamique</t>
  </si>
  <si>
    <t xml:space="preserve">Création sur l'EA</t>
  </si>
  <si>
    <t xml:space="preserve">Création dans réseau </t>
  </si>
  <si>
    <t xml:space="preserve">sur EA</t>
  </si>
  <si>
    <t xml:space="preserve">territoire</t>
  </si>
  <si>
    <t xml:space="preserve">main d'œuvre</t>
  </si>
  <si>
    <t xml:space="preserve">Item 3 : Salariés</t>
  </si>
  <si>
    <t xml:space="preserve">&gt;50% main d'oeuvre saiso. habite sur le terr. </t>
  </si>
  <si>
    <t xml:space="preserve">Qualité au travail </t>
  </si>
  <si>
    <t xml:space="preserve">ANC8 AUT6 CAP8 ROB8 : Mutualisation du travail</t>
  </si>
  <si>
    <t xml:space="preserve">Item 1 : Travail collectif</t>
  </si>
  <si>
    <t xml:space="preserve">Item 2 : Projets productifs en commun</t>
  </si>
  <si>
    <t xml:space="preserve">CAP9 RES16 ROB9 : Intensité et qualité au travail</t>
  </si>
  <si>
    <t xml:space="preserve">Semaines en surcharge</t>
  </si>
  <si>
    <t xml:space="preserve">Item 1 : Plaisir au travail</t>
  </si>
  <si>
    <t xml:space="preserve">Item 2 : Surcharge temporelle et mentale</t>
  </si>
  <si>
    <t xml:space="preserve">Nombre de semaines</t>
  </si>
  <si>
    <t xml:space="preserve">Item 3 : Congés</t>
  </si>
  <si>
    <t xml:space="preserve">Grille congés</t>
  </si>
  <si>
    <t xml:space="preserve">Nécessaires? / En prenez-vous?</t>
  </si>
  <si>
    <t xml:space="preserve">ouioui</t>
  </si>
  <si>
    <t xml:space="preserve">nonnon</t>
  </si>
  <si>
    <t xml:space="preserve">Item 4 : Pénibilité</t>
  </si>
  <si>
    <t xml:space="preserve">nonoui</t>
  </si>
  <si>
    <t xml:space="preserve">ouinon</t>
  </si>
  <si>
    <t xml:space="preserve">RES17 : Accueil, hygiène et sécurité</t>
  </si>
  <si>
    <t xml:space="preserve">Item 1 : Qualité d'accueil et d'hébergement  </t>
  </si>
  <si>
    <t xml:space="preserve">item 3.1</t>
  </si>
  <si>
    <t xml:space="preserve">item 3.2</t>
  </si>
  <si>
    <t xml:space="preserve">item 3;3</t>
  </si>
  <si>
    <t xml:space="preserve">Item 2 : Sécurité des installations</t>
  </si>
  <si>
    <t xml:space="preserve">Contrôle par un organisme certifié</t>
  </si>
  <si>
    <t xml:space="preserve">Item 3 : Contact avec les pesticides</t>
  </si>
  <si>
    <t xml:space="preserve">Local phyto conforme</t>
  </si>
  <si>
    <t xml:space="preserve">Exposition aux phytos</t>
  </si>
  <si>
    <t xml:space="preserve">Aucun produit phyto</t>
  </si>
  <si>
    <t xml:space="preserve">AUT7 CAP10 ROB10 : Formation</t>
  </si>
  <si>
    <t xml:space="preserve">Item 1: Formation continue</t>
  </si>
  <si>
    <t xml:space="preserve">nombre de jour /an</t>
  </si>
  <si>
    <t xml:space="preserve">Item 2: Accueil stagiaire rémunéré</t>
  </si>
  <si>
    <t xml:space="preserve">Item 3: Accueil groupe professionnel                     </t>
  </si>
  <si>
    <t xml:space="preserve">nombre de groupe</t>
  </si>
  <si>
    <t xml:space="preserve">Ethique et développement humain</t>
  </si>
  <si>
    <t xml:space="preserve">ANC9 RES18 : Implication sociale territoriale et solidarités </t>
  </si>
  <si>
    <t xml:space="preserve">Item 1 : Implication dans des structures professionnelles</t>
  </si>
  <si>
    <t xml:space="preserve">item 1/2</t>
  </si>
  <si>
    <t xml:space="preserve">Oui, en tant que simple adhérent</t>
  </si>
  <si>
    <t xml:space="preserve">Item 2 : Implication dans structures associatives ou électives</t>
  </si>
  <si>
    <t xml:space="preserve">Item  3: Travailler avec des structures de l'ESS</t>
  </si>
  <si>
    <t xml:space="preserve">item 4</t>
  </si>
  <si>
    <t xml:space="preserve">item 5</t>
  </si>
  <si>
    <t xml:space="preserve">Item 4 : Implication de citoyens</t>
  </si>
  <si>
    <t xml:space="preserve">Item 5: Accueil de public</t>
  </si>
  <si>
    <t xml:space="preserve">Habitation éloignée des lieux de production</t>
  </si>
  <si>
    <t xml:space="preserve">RES19 : Démarche de transparence</t>
  </si>
  <si>
    <t xml:space="preserve">Item 1 : Communication sur ses pratiques</t>
  </si>
  <si>
    <t xml:space="preserve">oui démarche certifiée</t>
  </si>
  <si>
    <t xml:space="preserve">Item 2 : Adhésion à un système participatif de garantie </t>
  </si>
  <si>
    <t xml:space="preserve">RES20 : Qualité de vie </t>
  </si>
  <si>
    <t xml:space="preserve">Qualité de vie</t>
  </si>
  <si>
    <t xml:space="preserve">ROB11 : Isolement</t>
  </si>
  <si>
    <t xml:space="preserve">Sentiment d'isolement</t>
  </si>
  <si>
    <t xml:space="preserve">Accès aux services publics</t>
  </si>
  <si>
    <t xml:space="preserve">Accès aux services productifs</t>
  </si>
  <si>
    <t xml:space="preserve">B23</t>
  </si>
  <si>
    <t xml:space="preserve">RES21 : Bien-être animal </t>
  </si>
  <si>
    <t xml:space="preserve">Item 1.1: Nombre pratiques respectées</t>
  </si>
  <si>
    <t xml:space="preserve">Présence d'un atelier d'élevage:</t>
  </si>
  <si>
    <t xml:space="preserve">Item 1 : Prise en compte de la faune sauvage</t>
  </si>
  <si>
    <t xml:space="preserve">Item 1.1: Socle de base</t>
  </si>
  <si>
    <t xml:space="preserve">nombre de pratiques respectées</t>
  </si>
  <si>
    <t xml:space="preserve">Item 1.2: Initiatives ou engagement personnel</t>
  </si>
  <si>
    <t xml:space="preserve">nombre de pratique mise en place</t>
  </si>
  <si>
    <t xml:space="preserve">Item 1.3 : Pratiques rédhibitoires</t>
  </si>
  <si>
    <t xml:space="preserve">Atelier de claustration</t>
  </si>
  <si>
    <t xml:space="preserve">Ecornage âge adulte</t>
  </si>
  <si>
    <t xml:space="preserve">Museliere veau lait</t>
  </si>
  <si>
    <t xml:space="preserve">Item 2 : Prise en compte de la faune sauvage</t>
  </si>
  <si>
    <t xml:space="preserve">Item 2.1 : Mise en place/entretien d'habitats pour la faune sauvage</t>
  </si>
  <si>
    <t xml:space="preserve">Item 2.2 : Cohabiter avec la faune sauvage et éviter les accidents</t>
  </si>
  <si>
    <t xml:space="preserve">Récolte nocturne </t>
  </si>
  <si>
    <t xml:space="preserve">INDICATEURS DE DURABILITE DE LA DIMENSION ECONOMIQUE</t>
  </si>
  <si>
    <t xml:space="preserve">Viabilité économique et financière</t>
  </si>
  <si>
    <t xml:space="preserve">CAP11 : Capacité Economique</t>
  </si>
  <si>
    <t xml:space="preserve">Note sur 20</t>
  </si>
  <si>
    <t xml:space="preserve">CE / SMIC net annuel</t>
  </si>
  <si>
    <t xml:space="preserve">Item 1 : Calcul économique</t>
  </si>
  <si>
    <t xml:space="preserve">(CE) / SMIC net annuel</t>
  </si>
  <si>
    <t xml:space="preserve">Item 2 : Appréciation de l'agriculteur</t>
  </si>
  <si>
    <t xml:space="preserve">CAP12 : Poids de la dette</t>
  </si>
  <si>
    <t xml:space="preserve">Note sur 12</t>
  </si>
  <si>
    <t xml:space="preserve">Pdd</t>
  </si>
  <si>
    <t xml:space="preserve">Poids de la dette</t>
  </si>
  <si>
    <t xml:space="preserve">% EBE</t>
  </si>
  <si>
    <t xml:space="preserve">AUT8 CAP13: Taux d'endettement structurel</t>
  </si>
  <si>
    <t xml:space="preserve">TES</t>
  </si>
  <si>
    <t xml:space="preserve">Taux d'endettement structurel (TES)</t>
  </si>
  <si>
    <t xml:space="preserve">Indépendance</t>
  </si>
  <si>
    <t xml:space="preserve">C4</t>
  </si>
  <si>
    <t xml:space="preserve">ROB12 : Diversification productive</t>
  </si>
  <si>
    <t xml:space="preserve">Note sur 10</t>
  </si>
  <si>
    <t xml:space="preserve">Poids atelier princ.</t>
  </si>
  <si>
    <t xml:space="preserve">Produits vendus</t>
  </si>
  <si>
    <t xml:space="preserve">Item 1 : Part de l'atelier productif le plus important dans le PR</t>
  </si>
  <si>
    <t xml:space="preserve">Item 2 : Diversification du nombre de produits bruts ou transformés commercialisés </t>
  </si>
  <si>
    <t xml:space="preserve">Nb de produits vendus représentant plus de 20 % du CA :</t>
  </si>
  <si>
    <t xml:space="preserve">nombre</t>
  </si>
  <si>
    <t xml:space="preserve">AUT9 ROB13 : Diversification et relations contractuelles</t>
  </si>
  <si>
    <t xml:space="preserve">% du CA client princ.</t>
  </si>
  <si>
    <t xml:space="preserve">Type contrat</t>
  </si>
  <si>
    <t xml:space="preserve">par atelier intégré</t>
  </si>
  <si>
    <t xml:space="preserve">Item 1 : Diversification des clients</t>
  </si>
  <si>
    <t xml:space="preserve">Part du CA du principal client:</t>
  </si>
  <si>
    <t xml:space="preserve">Item 2 : Qualité de la relation contractuelle
</t>
  </si>
  <si>
    <t xml:space="preserve">type contrat</t>
  </si>
  <si>
    <t xml:space="preserve">malus: atelier en intégration:</t>
  </si>
  <si>
    <t xml:space="preserve">0/N</t>
  </si>
  <si>
    <t xml:space="preserve">AUT10 : Sensibilité aux aides</t>
  </si>
  <si>
    <t xml:space="preserve">SA</t>
  </si>
  <si>
    <t xml:space="preserve">Sensibilité aux aides (SA)</t>
  </si>
  <si>
    <t xml:space="preserve">ROB14 : Contribution de revenus extérieurs à l'indépendance</t>
  </si>
  <si>
    <t xml:space="preserve">Revenus exté</t>
  </si>
  <si>
    <t xml:space="preserve">Revenu extérieur à l'exploitation</t>
  </si>
  <si>
    <t xml:space="preserve">Transmissibilité</t>
  </si>
  <si>
    <t xml:space="preserve">ROB15 : Transmissibilité économique</t>
  </si>
  <si>
    <t xml:space="preserve">Note sur 15</t>
  </si>
  <si>
    <t xml:space="preserve">Classe de K</t>
  </si>
  <si>
    <r>
      <rPr>
        <b val="true"/>
        <sz val="12"/>
        <color rgb="FF000000"/>
        <rFont val="Calibri"/>
        <family val="2"/>
        <charset val="1"/>
      </rPr>
      <t xml:space="preserve">EBE / UTH</t>
    </r>
    <r>
      <rPr>
        <b val="true"/>
        <i val="true"/>
        <sz val="12"/>
        <color rgb="FF000000"/>
        <rFont val="Calibri"/>
        <family val="2"/>
        <charset val="1"/>
      </rPr>
      <t xml:space="preserve">NS</t>
    </r>
  </si>
  <si>
    <t xml:space="preserve">Capital hors foncier / UTH NS</t>
  </si>
  <si>
    <t xml:space="preserve">Classe d'EBE</t>
  </si>
  <si>
    <r>
      <rPr>
        <b val="true"/>
        <sz val="12"/>
        <color rgb="FF000000"/>
        <rFont val="Calibri"/>
        <family val="2"/>
        <charset val="1"/>
      </rPr>
      <t xml:space="preserve">K / UTH</t>
    </r>
    <r>
      <rPr>
        <b val="true"/>
        <i val="true"/>
        <sz val="12"/>
        <color rgb="FF000000"/>
        <rFont val="Calibri"/>
        <family val="2"/>
        <charset val="1"/>
      </rPr>
      <t xml:space="preserve">NS</t>
    </r>
  </si>
  <si>
    <r>
      <rPr>
        <sz val="10"/>
        <rFont val="Arial"/>
        <family val="2"/>
        <charset val="1"/>
      </rPr>
      <t xml:space="preserve">EBE / UTH </t>
    </r>
    <r>
      <rPr>
        <sz val="10"/>
        <color rgb="FF000000"/>
        <rFont val="Arial"/>
        <family val="2"/>
        <charset val="1"/>
      </rPr>
      <t xml:space="preserve">NS </t>
    </r>
  </si>
  <si>
    <t xml:space="preserve">ROB16 : Pérennité probable</t>
  </si>
  <si>
    <t xml:space="preserve">Pérénnité probable de l'E.A</t>
  </si>
  <si>
    <t xml:space="preserve">Accès au foncier</t>
  </si>
  <si>
    <t xml:space="preserve">Projets dvlp</t>
  </si>
  <si>
    <t xml:space="preserve">Structure parcelalire</t>
  </si>
  <si>
    <t xml:space="preserve">Item 1 :Existence de l'exploitation dans 10 ans</t>
  </si>
  <si>
    <t xml:space="preserve">Disparition probable</t>
  </si>
  <si>
    <t xml:space="preserve">Item 2 : structure, foncier, projet :</t>
  </si>
  <si>
    <t xml:space="preserve">Accès au foncier sécurisé</t>
  </si>
  <si>
    <t xml:space="preserve">Projets de developpement</t>
  </si>
  <si>
    <t xml:space="preserve">Structure parcellaire</t>
  </si>
  <si>
    <t xml:space="preserve">EB</t>
  </si>
  <si>
    <t xml:space="preserve">Efficience globale</t>
  </si>
  <si>
    <t xml:space="preserve">CAP14 : Efficience brute du processus productif</t>
  </si>
  <si>
    <t xml:space="preserve">Efficience Brute (EB)</t>
  </si>
  <si>
    <t xml:space="preserve">EB :</t>
  </si>
  <si>
    <t xml:space="preserve"> RES22: Sobriété en intrants dans le processus productif</t>
  </si>
  <si>
    <t xml:space="preserve">SI en €/ha SAU</t>
  </si>
  <si>
    <t xml:space="preserve">Dépenses en intrants (DI)</t>
  </si>
  <si>
    <t xml:space="preserve"> €/ ha SAU</t>
  </si>
  <si>
    <t xml:space="preserve">EVALUATION DE LA DURABILITE</t>
  </si>
  <si>
    <t xml:space="preserve">TABLEAUX DES RESULTATS PAR DIMENSION</t>
  </si>
  <si>
    <t xml:space="preserve">Dimension</t>
  </si>
  <si>
    <t xml:space="preserve">Composante</t>
  </si>
  <si>
    <t xml:space="preserve">Indicateur</t>
  </si>
  <si>
    <t xml:space="preserve">nom</t>
  </si>
  <si>
    <t xml:space="preserve">code</t>
  </si>
  <si>
    <t xml:space="preserve">score obtenu / score max</t>
  </si>
  <si>
    <t xml:space="preserve">Dimension agroécologique 
de la durabilité </t>
  </si>
  <si>
    <t xml:space="preserve">Diversité des espèces cultivées</t>
  </si>
  <si>
    <t xml:space="preserve">/</t>
  </si>
  <si>
    <t xml:space="preserve">Diversité génétique</t>
  </si>
  <si>
    <t xml:space="preserve">A2 </t>
  </si>
  <si>
    <t xml:space="preserve">Diversité temporelle des cultures</t>
  </si>
  <si>
    <t xml:space="preserve">A3 </t>
  </si>
  <si>
    <t xml:space="preserve">Qualité de l'organisation spatiale</t>
  </si>
  <si>
    <t xml:space="preserve">A4 </t>
  </si>
  <si>
    <t xml:space="preserve">Gestion des insectes pollinisateurs et des auxiliaires des cultures </t>
  </si>
  <si>
    <t xml:space="preserve">A5 </t>
  </si>
  <si>
    <t xml:space="preserve">Bouclage de flux 
de matières et d'énergie 
par une recherche d'autonomie</t>
  </si>
  <si>
    <t xml:space="preserve">Autonomie en énergie, matériaux, matériels, semences et plants</t>
  </si>
  <si>
    <t xml:space="preserve">A6 </t>
  </si>
  <si>
    <t xml:space="preserve">Autonomie alimentaire de l’élevage</t>
  </si>
  <si>
    <t xml:space="preserve">A7 </t>
  </si>
  <si>
    <t xml:space="preserve">Autonomie en azote</t>
  </si>
  <si>
    <t xml:space="preserve">A8 </t>
  </si>
  <si>
    <t xml:space="preserve">Sobriété dans l'usage de l'eau et partage de la ressource</t>
  </si>
  <si>
    <t xml:space="preserve">A9 </t>
  </si>
  <si>
    <t xml:space="preserve">Sobriété dans l'utilisation du phosphore</t>
  </si>
  <si>
    <t xml:space="preserve">A10 </t>
  </si>
  <si>
    <t xml:space="preserve">Sobriété dans la consommation en énergie</t>
  </si>
  <si>
    <t xml:space="preserve">A11 </t>
  </si>
  <si>
    <t xml:space="preserve">Raisonner l'utilisation de l'eau</t>
  </si>
  <si>
    <t xml:space="preserve">A12 </t>
  </si>
  <si>
    <t xml:space="preserve">Favoriser la fertilité du sol</t>
  </si>
  <si>
    <t xml:space="preserve">Maintenir l'efficacité de la protection sanitaire 
des cultures et des animaux</t>
  </si>
  <si>
    <t xml:space="preserve">Sécuriser la disponibilité des moyens matériels de production</t>
  </si>
  <si>
    <t xml:space="preserve">Réduire l'impact des pratiques sur la qualité de l'eau</t>
  </si>
  <si>
    <t xml:space="preserve">Réduire l'impact des pratiques sur la qualité de l'air</t>
  </si>
  <si>
    <t xml:space="preserve">Réduire l'impact des pratiques sur le changement climatique</t>
  </si>
  <si>
    <t xml:space="preserve">Réduire l'usage des produits phytosanitaires 
et des traitements vétérinaires</t>
  </si>
  <si>
    <t xml:space="preserve">Dimension socio-territoriale 
de la durabilité  </t>
  </si>
  <si>
    <t xml:space="preserve">Production alimentaire de l'exploitation</t>
  </si>
  <si>
    <t xml:space="preserve">Contribution à l’équilibre alimentaire mondial</t>
  </si>
  <si>
    <t xml:space="preserve">Qualités de la production </t>
  </si>
  <si>
    <t xml:space="preserve">Pertes et gaspillage</t>
  </si>
  <si>
    <t xml:space="preserve">Développement local 
et économie circulaire</t>
  </si>
  <si>
    <t xml:space="preserve">Engagement dans des démarches 
environnementales contractualisées et territoriales</t>
  </si>
  <si>
    <t xml:space="preserve">B6 </t>
  </si>
  <si>
    <t xml:space="preserve">Services marchands au territoire</t>
  </si>
  <si>
    <t xml:space="preserve">Valorisation par filières courtes ou de proximité</t>
  </si>
  <si>
    <t xml:space="preserve">Valorisation des ressources locales</t>
  </si>
  <si>
    <t xml:space="preserve">Valorisation et qualité du patrimoine 
(bâti, paysage et savoir-faire) et ressources naturelles</t>
  </si>
  <si>
    <t xml:space="preserve">Accessibilité de l’espace</t>
  </si>
  <si>
    <t xml:space="preserve">Gestion des déchets non organiques </t>
  </si>
  <si>
    <t xml:space="preserve">Réseaux d'innovation et mutualisation du matériel</t>
  </si>
  <si>
    <t xml:space="preserve">B13 </t>
  </si>
  <si>
    <t xml:space="preserve">Contribution à l'emploi et gestion du salariat</t>
  </si>
  <si>
    <t xml:space="preserve">Mutualisation du travail</t>
  </si>
  <si>
    <t xml:space="preserve">Intensité et qualité au travail</t>
  </si>
  <si>
    <t xml:space="preserve">Accueil, hygiène et sécurité</t>
  </si>
  <si>
    <t xml:space="preserve">Formation</t>
  </si>
  <si>
    <t xml:space="preserve">Implication sociale territoriale et solidarités</t>
  </si>
  <si>
    <t xml:space="preserve">Démarche de transparence </t>
  </si>
  <si>
    <t xml:space="preserve">Qualité de la vie</t>
  </si>
  <si>
    <t xml:space="preserve">Isolement</t>
  </si>
  <si>
    <t xml:space="preserve">Bien-être animal</t>
  </si>
  <si>
    <t xml:space="preserve">Dimension économique 
de la durabilité</t>
  </si>
  <si>
    <t xml:space="preserve">Capacité économique</t>
  </si>
  <si>
    <t xml:space="preserve">Taux d'endettement structurel</t>
  </si>
  <si>
    <t xml:space="preserve">Diversification productive</t>
  </si>
  <si>
    <t xml:space="preserve">Diversification et relations contractuelles</t>
  </si>
  <si>
    <t xml:space="preserve">Sensibilité aux aides</t>
  </si>
  <si>
    <t xml:space="preserve">Contribution de revenus extérieurs à l'indépendance</t>
  </si>
  <si>
    <t xml:space="preserve">Transmissibilité économique</t>
  </si>
  <si>
    <t xml:space="preserve">Pérennité probable</t>
  </si>
  <si>
    <t xml:space="preserve">Efficience brute du processus productif</t>
  </si>
  <si>
    <t xml:space="preserve">Sobriété en intrants dans le processus productif</t>
  </si>
  <si>
    <t xml:space="preserve">Durabilité globale</t>
  </si>
  <si>
    <t xml:space="preserve">RESULTATS DES DIMENSIONS</t>
  </si>
  <si>
    <t xml:space="preserve">Les données en bleu permettent la construction des figures.</t>
  </si>
  <si>
    <t xml:space="preserve">Durabilité agroécologique</t>
  </si>
  <si>
    <t xml:space="preserve">/100</t>
  </si>
  <si>
    <t xml:space="preserve">Durabilité socioterritoriale</t>
  </si>
  <si>
    <t xml:space="preserve">Durabilité économique</t>
  </si>
  <si>
    <t xml:space="preserve">RESULTATS DES COMPOSANTES</t>
  </si>
  <si>
    <t xml:space="preserve">Composantes</t>
  </si>
  <si>
    <t xml:space="preserve">Note obtenue
 sur 100</t>
  </si>
  <si>
    <t xml:space="preserve">Réduire les impacts sur la santé et les écosytèmes</t>
  </si>
  <si>
    <t xml:space="preserve">RESULTATS DES INDICATEURS</t>
  </si>
  <si>
    <t xml:space="preserve">Note obtenue / Note max</t>
  </si>
  <si>
    <t xml:space="preserve">Différence au maximum</t>
  </si>
  <si>
    <t xml:space="preserve">"</t>
  </si>
  <si>
    <t xml:space="preserve">La colonne B peut être copiée/collée dans le calculateur propriété</t>
  </si>
  <si>
    <t xml:space="preserve">Métadonnées</t>
  </si>
  <si>
    <t xml:space="preserve">Code</t>
  </si>
  <si>
    <t xml:space="preserve">Nom</t>
  </si>
  <si>
    <t xml:space="preserve">Étendue</t>
  </si>
  <si>
    <t xml:space="preserve">Valeur</t>
  </si>
  <si>
    <t xml:space="preserve">A Exporter</t>
  </si>
  <si>
    <t xml:space="preserve">MTD_00</t>
  </si>
  <si>
    <t xml:space="preserve">Version du calculateur utilisée</t>
  </si>
  <si>
    <t xml:space="preserve">Alpha 10</t>
  </si>
  <si>
    <t xml:space="preserve">MTD_01</t>
  </si>
  <si>
    <t xml:space="preserve">Identifiant exploitation</t>
  </si>
  <si>
    <t xml:space="preserve">Num 6</t>
  </si>
  <si>
    <t xml:space="preserve">MTD_02</t>
  </si>
  <si>
    <t xml:space="preserve">SAU</t>
  </si>
  <si>
    <t xml:space="preserve">0 à 10 000 (2 dc)</t>
  </si>
  <si>
    <t xml:space="preserve">MTD_03</t>
  </si>
  <si>
    <t xml:space="preserve">UTH</t>
  </si>
  <si>
    <t xml:space="preserve">MTD_04</t>
  </si>
  <si>
    <t xml:space="preserve">UTH F</t>
  </si>
  <si>
    <t xml:space="preserve">0 à 100 (2 dc)</t>
  </si>
  <si>
    <t xml:space="preserve">MTD_05</t>
  </si>
  <si>
    <t xml:space="preserve">Tranche d’âge du chef d’exploitation</t>
  </si>
  <si>
    <t xml:space="preserve">« -25 »,« 25-35 »,« 35-45 », « 45-55 »,« 55-65 » et « 65+ »</t>
  </si>
  <si>
    <t xml:space="preserve">MTD_06</t>
  </si>
  <si>
    <t xml:space="preserve">Typologie d'exploitation (OTEX)</t>
  </si>
  <si>
    <t xml:space="preserve">Codes OTEX simplifiés</t>
  </si>
  <si>
    <t xml:space="preserve">MTD_07</t>
  </si>
  <si>
    <t xml:space="preserve">Surface en herbe en % de la SAU</t>
  </si>
  <si>
    <t xml:space="preserve">MTD_08</t>
  </si>
  <si>
    <t xml:space="preserve">Capital d’exploitation</t>
  </si>
  <si>
    <t xml:space="preserve"> 0 à 100 000 000</t>
  </si>
  <si>
    <t xml:space="preserve">MTD_09</t>
  </si>
  <si>
    <t xml:space="preserve">EBE</t>
  </si>
  <si>
    <t xml:space="preserve">– 1 000 000 à 10 000 000</t>
  </si>
  <si>
    <t xml:space="preserve">MTD_10</t>
  </si>
  <si>
    <t xml:space="preserve">MTD_11</t>
  </si>
  <si>
    <t xml:space="preserve">Zone géographique (département)</t>
  </si>
  <si>
    <t xml:space="preserve">liste des départements</t>
  </si>
  <si>
    <t xml:space="preserve">MTD_12</t>
  </si>
  <si>
    <t xml:space="preserve">Atelier hors sol : oui / non</t>
  </si>
  <si>
    <t xml:space="preserve">MTD_13</t>
  </si>
  <si>
    <t xml:space="preserve">Année d'enquête</t>
  </si>
  <si>
    <t xml:space="preserve">Num 4</t>
  </si>
  <si>
    <t xml:space="preserve">MTD_14</t>
  </si>
  <si>
    <t xml:space="preserve">Type d’élevage</t>
  </si>
  <si>
    <t xml:space="preserve">0 - pas d’élevage / 1 – monogastrique / 2 - herbivore</t>
  </si>
  <si>
    <t xml:space="preserve">MTD_15</t>
  </si>
  <si>
    <t xml:space="preserve">Part des PP dans la SAU</t>
  </si>
  <si>
    <t xml:space="preserve">MTD_16</t>
  </si>
  <si>
    <t xml:space="preserve">Usage des produits phytos : oui /non</t>
  </si>
  <si>
    <t xml:space="preserve">Items</t>
  </si>
  <si>
    <t xml:space="preserve">IDEA_A01_1</t>
  </si>
  <si>
    <t xml:space="preserve">5/0</t>
  </si>
  <si>
    <t xml:space="preserve">IDEA_A01_2</t>
  </si>
  <si>
    <t xml:space="preserve">Item 2 : Pourcentage des surfaces en STH sur l'exploitation</t>
  </si>
  <si>
    <t xml:space="preserve">4/0</t>
  </si>
  <si>
    <t xml:space="preserve">IDEA_A02_1</t>
  </si>
  <si>
    <t xml:space="preserve">1/0</t>
  </si>
  <si>
    <t xml:space="preserve">IDEA_A02_2</t>
  </si>
  <si>
    <t xml:space="preserve">Item 2 : Diversité génétique des productions végétales</t>
  </si>
  <si>
    <t xml:space="preserve">IDEA_A02_3</t>
  </si>
  <si>
    <t xml:space="preserve">Item 3 : Diversité génétiques des productions animales</t>
  </si>
  <si>
    <t xml:space="preserve">2/0</t>
  </si>
  <si>
    <t xml:space="preserve">IDEA_A03_1</t>
  </si>
  <si>
    <t xml:space="preserve">Item 1/2/3 : Diversité temporelle des cultures</t>
  </si>
  <si>
    <t xml:space="preserve">IDEA_A04_1</t>
  </si>
  <si>
    <t xml:space="preserve">Item 1 : Aménagement spatial</t>
  </si>
  <si>
    <t xml:space="preserve">3/0</t>
  </si>
  <si>
    <t xml:space="preserve">IDEA_A04_2</t>
  </si>
  <si>
    <t xml:space="preserve">Item 2 : Infrastructures AgroEcologique</t>
  </si>
  <si>
    <t xml:space="preserve">IDEA_A05_1</t>
  </si>
  <si>
    <t xml:space="preserve">Item 1 : Mode de gestion des zones non productives</t>
  </si>
  <si>
    <t xml:space="preserve">IDEA_A05_2</t>
  </si>
  <si>
    <t xml:space="preserve">Item 2 : Usage d'insecticide</t>
  </si>
  <si>
    <t xml:space="preserve">IDEA_A05_3</t>
  </si>
  <si>
    <t xml:space="preserve">Item 3 : Accueil de pollinisateurs sauvages</t>
  </si>
  <si>
    <t xml:space="preserve">IDEA_A06_1</t>
  </si>
  <si>
    <t xml:space="preserve">Item 1 : Autonomie en énergie</t>
  </si>
  <si>
    <t xml:space="preserve">IDEA_A06_2</t>
  </si>
  <si>
    <t xml:space="preserve">Item 2 : Autonomie en matériaux et matériels agricoles</t>
  </si>
  <si>
    <t xml:space="preserve">IDEA_A06_3</t>
  </si>
  <si>
    <t xml:space="preserve">IDEA_A07_1</t>
  </si>
  <si>
    <t xml:space="preserve">8/0</t>
  </si>
  <si>
    <t xml:space="preserve">IDEA_A07_2</t>
  </si>
  <si>
    <t xml:space="preserve">Item 2 : Autonomie en aliments concentrés</t>
  </si>
  <si>
    <t xml:space="preserve">IDEA_A08_1</t>
  </si>
  <si>
    <t xml:space="preserve">6/0</t>
  </si>
  <si>
    <t xml:space="preserve">IDEA_A08_2</t>
  </si>
  <si>
    <t xml:space="preserve">Item 2 : Place des légumineuses dans l'assolement</t>
  </si>
  <si>
    <t xml:space="preserve">IDEA_A09_1</t>
  </si>
  <si>
    <t xml:space="preserve">Item 1 : Pression de prélèvement et vulnérabilité de la ressource</t>
  </si>
  <si>
    <t xml:space="preserve">IDEA_A10_1</t>
  </si>
  <si>
    <t xml:space="preserve">Item 1 : Consommation en phosphore</t>
  </si>
  <si>
    <t xml:space="preserve">IDEA_A11_1</t>
  </si>
  <si>
    <t xml:space="preserve">Item 1 : Consommation en énergie directe et indirecte</t>
  </si>
  <si>
    <t xml:space="preserve">IDEA_A12_1</t>
  </si>
  <si>
    <t xml:space="preserve">Item 1 : Réduire les besoins en eau</t>
  </si>
  <si>
    <t xml:space="preserve">IDEA_A12_2</t>
  </si>
  <si>
    <t xml:space="preserve">IDEA_A12_3</t>
  </si>
  <si>
    <t xml:space="preserve">IDEA_A13_1</t>
  </si>
  <si>
    <t xml:space="preserve">4/-1</t>
  </si>
  <si>
    <t xml:space="preserve">IDEA_A13_2</t>
  </si>
  <si>
    <t xml:space="preserve">IDEA_A13_3</t>
  </si>
  <si>
    <t xml:space="preserve">IDEA_A14_1</t>
  </si>
  <si>
    <t xml:space="preserve">Item 1 : Stratégies d’alternance des produits phyto</t>
  </si>
  <si>
    <t xml:space="preserve">IDEA_A14_2</t>
  </si>
  <si>
    <t xml:space="preserve">Item 2 : Stratégie d'usage des produits véto</t>
  </si>
  <si>
    <t xml:space="preserve">IDEA_A15_1</t>
  </si>
  <si>
    <t xml:space="preserve">Item 1 : Approvisionnement: qualité, quantité, délais</t>
  </si>
  <si>
    <t xml:space="preserve">2/-1</t>
  </si>
  <si>
    <t xml:space="preserve">IDEA_A15_2</t>
  </si>
  <si>
    <t xml:space="preserve">Item 2 : Accès et disponibilité des moyens de collecte</t>
  </si>
  <si>
    <t xml:space="preserve">IDEA_A15_3</t>
  </si>
  <si>
    <t xml:space="preserve">Item 3 : Présence d'un stock fourrager de sécurité</t>
  </si>
  <si>
    <t xml:space="preserve">0/-2</t>
  </si>
  <si>
    <t xml:space="preserve">IDEA_A16_1</t>
  </si>
  <si>
    <t xml:space="preserve">Item 1 : Pression en azote dans le milieu</t>
  </si>
  <si>
    <t xml:space="preserve">2/-2</t>
  </si>
  <si>
    <t xml:space="preserve">IDEA_A16_2</t>
  </si>
  <si>
    <t xml:space="preserve">Item 2 : Pression en herbicide dans le milieu</t>
  </si>
  <si>
    <t xml:space="preserve">IDEA_A16_3</t>
  </si>
  <si>
    <t xml:space="preserve">Item 3 : Actions pour limiter les risques de transferts vers les eaux</t>
  </si>
  <si>
    <t xml:space="preserve">IDEA_A17_1</t>
  </si>
  <si>
    <t xml:space="preserve">IDEA_A17_2</t>
  </si>
  <si>
    <t xml:space="preserve">IDEA_A18_1</t>
  </si>
  <si>
    <t xml:space="preserve">Item 1 : Emissions nette de gaz à effet de serre</t>
  </si>
  <si>
    <t xml:space="preserve">IDEA_A19_1</t>
  </si>
  <si>
    <t xml:space="preserve">Item 1 : Sobriété dans l'utilisation des produits phytosanitaires</t>
  </si>
  <si>
    <t xml:space="preserve">6/-1</t>
  </si>
  <si>
    <t xml:space="preserve">IDEA_A19_2</t>
  </si>
  <si>
    <t xml:space="preserve">Item 2 : Sobriété dans l'utilisation des produits vétérinaires</t>
  </si>
  <si>
    <t xml:space="preserve">6/-2</t>
  </si>
  <si>
    <t xml:space="preserve">IDEA_B01_1</t>
  </si>
  <si>
    <t xml:space="preserve">Item 1 : Part de la SAU consacrée à l'alimentation humaine</t>
  </si>
  <si>
    <t xml:space="preserve">IDEA_B01_2</t>
  </si>
  <si>
    <t xml:space="preserve">Item 2 : Production de légumes secs, de fruits ou de légumes</t>
  </si>
  <si>
    <t xml:space="preserve">IDEA_B01_3</t>
  </si>
  <si>
    <t xml:space="preserve">Item 3 : Exploitation en production animale hors sol</t>
  </si>
  <si>
    <t xml:space="preserve">IDEA_B02_1</t>
  </si>
  <si>
    <t xml:space="preserve">Item 1 : Taux d'importation (Exploitation avec élevage)</t>
  </si>
  <si>
    <t xml:space="preserve">IDEA_B02_2</t>
  </si>
  <si>
    <t xml:space="preserve">Item 2 : Production de plantes riches en protéines (Exploitation sans élevage)</t>
  </si>
  <si>
    <t xml:space="preserve">IDEA_B03_1</t>
  </si>
  <si>
    <t xml:space="preserve">Item 1 : Qualité alimentaire d'origine et/ou de process</t>
  </si>
  <si>
    <t xml:space="preserve">IDEA_B03_2</t>
  </si>
  <si>
    <t xml:space="preserve">IDEA_B03_3</t>
  </si>
  <si>
    <t xml:space="preserve">IDEA_B04_1</t>
  </si>
  <si>
    <t xml:space="preserve">Item 1 : Actions pour diminuer les pertes et gaspillages</t>
  </si>
  <si>
    <t xml:space="preserve">IDEA_B05_1</t>
  </si>
  <si>
    <t xml:space="preserve">Item 1 : Démarches favorisant le lien entre consommateur et le producteur</t>
  </si>
  <si>
    <t xml:space="preserve">IDEA_B05_2</t>
  </si>
  <si>
    <t xml:space="preserve">Item 2 : Démarches favorisant l’apprentissage ou la culture autour de l’aliment</t>
  </si>
  <si>
    <t xml:space="preserve">IDEA_B05_3</t>
  </si>
  <si>
    <t xml:space="preserve">Item 3 : Production significative de variétés d'aliments à forte valeur patrimoniale territoriale ou peu représentées en commercialisation courante</t>
  </si>
  <si>
    <t xml:space="preserve">IDEA_B06_1</t>
  </si>
  <si>
    <t xml:space="preserve">Item 1 : Adhésion à des chartes environnementales ou contractualisation de programmes locaux environnementaux</t>
  </si>
  <si>
    <t xml:space="preserve">IDEA_B06_2</t>
  </si>
  <si>
    <t xml:space="preserve">Item 2 : Contractualisation pour la prévention des risques naturels pour la collectivité</t>
  </si>
  <si>
    <t xml:space="preserve">IDEA_B07_1</t>
  </si>
  <si>
    <t xml:space="preserve">Item 1 : Services marchands rendus au territoire</t>
  </si>
  <si>
    <t xml:space="preserve">IDEA_B07_2</t>
  </si>
  <si>
    <t xml:space="preserve">Item 2 : Agrotourisme</t>
  </si>
  <si>
    <t xml:space="preserve">IDEA_B07_3</t>
  </si>
  <si>
    <t xml:space="preserve">Item 3 : Ferme pédagogique</t>
  </si>
  <si>
    <t xml:space="preserve">IDEA_B08_1</t>
  </si>
  <si>
    <t xml:space="preserve">Item 1 : Valorisation par vente directe ou circuit court</t>
  </si>
  <si>
    <t xml:space="preserve">IDEA_B08_2</t>
  </si>
  <si>
    <t xml:space="preserve">IDEA_B08_3</t>
  </si>
  <si>
    <t xml:space="preserve">Item 3 : Démarche de contractualisation avec des cantines locales ou restauration locale</t>
  </si>
  <si>
    <t xml:space="preserve">IDEA_B09_1</t>
  </si>
  <si>
    <t xml:space="preserve">Item 1 : Approvisionnements locaux au sein de la communauté agricole</t>
  </si>
  <si>
    <t xml:space="preserve">IDEA_B09_2</t>
  </si>
  <si>
    <t xml:space="preserve">Item 2 : Approvisionnement auprès des entreprises du territoire</t>
  </si>
  <si>
    <t xml:space="preserve">IDEA_B09_3</t>
  </si>
  <si>
    <t xml:space="preserve">Item 3 : Valorisation de sous-produits issus de la communauté locale</t>
  </si>
  <si>
    <t xml:space="preserve">IDEA_B10_1</t>
  </si>
  <si>
    <t xml:space="preserve">IDEA_B10_2</t>
  </si>
  <si>
    <t xml:space="preserve">IDEA_B10_3</t>
  </si>
  <si>
    <t xml:space="preserve">Item 3 : Contribution au maintien de savoirs locaux reconnus</t>
  </si>
  <si>
    <t xml:space="preserve">IDEA_B10_4</t>
  </si>
  <si>
    <t xml:space="preserve">Item 4 : Maintenir/développer le patrimoine génétique local</t>
  </si>
  <si>
    <t xml:space="preserve">IDEA_B11_1</t>
  </si>
  <si>
    <t xml:space="preserve">IDEA_B11_2</t>
  </si>
  <si>
    <t xml:space="preserve">Item 2 : En zone urbaine/périurbaine</t>
  </si>
  <si>
    <t xml:space="preserve">IDEA_B11_3</t>
  </si>
  <si>
    <t xml:space="preserve">Item 3 : Entretien des chemins de randonnée ou de voirie d'accès</t>
  </si>
  <si>
    <t xml:space="preserve">IDEA_B12_1</t>
  </si>
  <si>
    <t xml:space="preserve">Item 1 : Gestion des déchets non organiques</t>
  </si>
  <si>
    <t xml:space="preserve">IDEA_B12_2</t>
  </si>
  <si>
    <t xml:space="preserve">Item 2 : Pratiques à risques</t>
  </si>
  <si>
    <t xml:space="preserve">0/-1</t>
  </si>
  <si>
    <t xml:space="preserve">IDEA_B13_1</t>
  </si>
  <si>
    <t xml:space="preserve">Item 1 : Participation à des réseaux de connaissances</t>
  </si>
  <si>
    <t xml:space="preserve">IDEA_B13_2</t>
  </si>
  <si>
    <t xml:space="preserve">Item 2 : Mutualisation des matériels/équipements/bâtiments</t>
  </si>
  <si>
    <t xml:space="preserve">IDEA_B14_1</t>
  </si>
  <si>
    <t xml:space="preserve">Item 1: Intensité du travail</t>
  </si>
  <si>
    <t xml:space="preserve">IDEA_B14_2</t>
  </si>
  <si>
    <t xml:space="preserve">IDEA_B14_3</t>
  </si>
  <si>
    <t xml:space="preserve">IDEA_B15_1</t>
  </si>
  <si>
    <t xml:space="preserve">IDEA_B15_2</t>
  </si>
  <si>
    <t xml:space="preserve">IDEA_B16_1</t>
  </si>
  <si>
    <t xml:space="preserve">Item 1 : Plaisir et satisfaction au travail</t>
  </si>
  <si>
    <t xml:space="preserve">IDEA_B16_2</t>
  </si>
  <si>
    <t xml:space="preserve">Item 2 : Charge temporelle et mentale</t>
  </si>
  <si>
    <t xml:space="preserve">IDEA_B16_3</t>
  </si>
  <si>
    <t xml:space="preserve">3/-3</t>
  </si>
  <si>
    <t xml:space="preserve">IDEA_B16_4</t>
  </si>
  <si>
    <t xml:space="preserve">0/-4</t>
  </si>
  <si>
    <t xml:space="preserve">IDEA_B17_1</t>
  </si>
  <si>
    <t xml:space="preserve">Item 1 : Qualité d'accueil et d'hébergement de la main d'oeuvre temporaire</t>
  </si>
  <si>
    <t xml:space="preserve">IDEA_B17_2</t>
  </si>
  <si>
    <t xml:space="preserve">IDEA_B17_3</t>
  </si>
  <si>
    <t xml:space="preserve">IDEA_B18_1</t>
  </si>
  <si>
    <t xml:space="preserve">Item 1 : Formation continue</t>
  </si>
  <si>
    <t xml:space="preserve">IDEA_B18_2</t>
  </si>
  <si>
    <t xml:space="preserve">Item 2 : Accueil d'un stagiaire ou d'un apprenti</t>
  </si>
  <si>
    <t xml:space="preserve">IDEA_B18_3</t>
  </si>
  <si>
    <t xml:space="preserve">Item 3 : Accueil de groupes de professionnels ou d'étudiants</t>
  </si>
  <si>
    <t xml:space="preserve">IDEA_B19_1</t>
  </si>
  <si>
    <t xml:space="preserve">IDEA_B19_2</t>
  </si>
  <si>
    <t xml:space="preserve">Item 2 : Implication dans de structures associatives ou électives</t>
  </si>
  <si>
    <t xml:space="preserve">IDEA_B19_3</t>
  </si>
  <si>
    <t xml:space="preserve">Item 3 : Travailler avec des structures de l'ESS</t>
  </si>
  <si>
    <t xml:space="preserve">IDEA_B19_4</t>
  </si>
  <si>
    <t xml:space="preserve">Item 4 : Implication de citoyens dans les travaux ou la vie de l'exploitation</t>
  </si>
  <si>
    <t xml:space="preserve">IDEA_B19_5</t>
  </si>
  <si>
    <t xml:space="preserve">Item 5 : Accueil bénévole de public</t>
  </si>
  <si>
    <t xml:space="preserve">IDEA_B19_6</t>
  </si>
  <si>
    <t xml:space="preserve">Item 6 : Habitation éloigné des lieux de production (malus)</t>
  </si>
  <si>
    <t xml:space="preserve">IDEA_B20_1</t>
  </si>
  <si>
    <t xml:space="preserve">IDEA_B20_2</t>
  </si>
  <si>
    <t xml:space="preserve">Item 2 : Adhésion à un système participatif de garantie</t>
  </si>
  <si>
    <t xml:space="preserve">IDEA_B21_1</t>
  </si>
  <si>
    <t xml:space="preserve">Item 1 : Qualité de vie</t>
  </si>
  <si>
    <t xml:space="preserve">IDEA_B22_1</t>
  </si>
  <si>
    <t xml:space="preserve">Item 1 : Accès aux services publics et lien social</t>
  </si>
  <si>
    <t xml:space="preserve">IDEA_B22_2</t>
  </si>
  <si>
    <t xml:space="preserve">Item 2 : Accès aux services productifs</t>
  </si>
  <si>
    <t xml:space="preserve">IDEA_B23_1</t>
  </si>
  <si>
    <t xml:space="preserve">Item 1 : Bien-être des animaux d'élevage</t>
  </si>
  <si>
    <t xml:space="preserve">IDEA_B23_2</t>
  </si>
  <si>
    <t xml:space="preserve">IDEA_C01_1</t>
  </si>
  <si>
    <t xml:space="preserve">20/0</t>
  </si>
  <si>
    <t xml:space="preserve">IDEA_C01_2</t>
  </si>
  <si>
    <t xml:space="preserve">IDEA_C02_1</t>
  </si>
  <si>
    <t xml:space="preserve">Item 1 : Poids de la dette</t>
  </si>
  <si>
    <t xml:space="preserve">12/0</t>
  </si>
  <si>
    <t xml:space="preserve">IDEA_C03_1</t>
  </si>
  <si>
    <t xml:space="preserve">Item 1 : Taux d'endettement structurel</t>
  </si>
  <si>
    <t xml:space="preserve">IDEA_C04_1</t>
  </si>
  <si>
    <t xml:space="preserve">Item 1 : Part de l'atelier productif le plus important dans la production</t>
  </si>
  <si>
    <t xml:space="preserve">IDEA_C04_2</t>
  </si>
  <si>
    <t xml:space="preserve">Item 2 : Diversification du nombre de produits bruts ou transformés commercialisés</t>
  </si>
  <si>
    <t xml:space="preserve">IDEA_C05_1</t>
  </si>
  <si>
    <t xml:space="preserve">Item 1 : Diversité des clients</t>
  </si>
  <si>
    <t xml:space="preserve">IDEA_C05_2</t>
  </si>
  <si>
    <t xml:space="preserve">Item 2 : Qualité de la relation contractuelle</t>
  </si>
  <si>
    <t xml:space="preserve">IDEA_C05_3</t>
  </si>
  <si>
    <t xml:space="preserve">Item 3 : Atelier principal en intégration</t>
  </si>
  <si>
    <t xml:space="preserve">IDEA_C06_1</t>
  </si>
  <si>
    <t xml:space="preserve">Item 1 : Sensibilité aux aides</t>
  </si>
  <si>
    <t xml:space="preserve">IDEA_C07_1</t>
  </si>
  <si>
    <t xml:space="preserve">Item 1 : Contribution de revenus extérieurs à l'indépendance</t>
  </si>
  <si>
    <t xml:space="preserve">IDEA_C08_1</t>
  </si>
  <si>
    <t xml:space="preserve">Item 1 : Transmissibilité économique</t>
  </si>
  <si>
    <t xml:space="preserve">15/0</t>
  </si>
  <si>
    <t xml:space="preserve">IDEA_C09_1</t>
  </si>
  <si>
    <t xml:space="preserve">Item 1 : Existence de l'exploitation dans 10 ans</t>
  </si>
  <si>
    <t xml:space="preserve">IDEA_C09_2</t>
  </si>
  <si>
    <t xml:space="preserve">Item 2 : Foncier, structure et projets</t>
  </si>
  <si>
    <t xml:space="preserve">IDEA_C10_1</t>
  </si>
  <si>
    <t xml:space="preserve">Item 1 : Efficience brute du processus productif</t>
  </si>
  <si>
    <t xml:space="preserve">IDEA_C11_1</t>
  </si>
  <si>
    <t xml:space="preserve">Item 1 : Sobriété en intrants dans le processus productif</t>
  </si>
  <si>
    <t xml:space="preserve"/>
  </si>
  <si>
    <t xml:space="preserve">2</t>
  </si>
  <si>
    <t xml:space="preserve">Socio-Territoriale</t>
  </si>
  <si>
    <t xml:space="preserve">3</t>
  </si>
  <si>
    <t xml:space="preserve">Max possible</t>
  </si>
  <si>
    <t xml:space="preserve">Bouclage de flux 
de matières et d'énergie 
par une recherche d'autonomie</t>
  </si>
  <si>
    <t xml:space="preserve">4</t>
  </si>
  <si>
    <t xml:space="preserve">6</t>
  </si>
  <si>
    <t xml:space="preserve">7</t>
  </si>
  <si>
    <t xml:space="preserve">Développement local 
et économie circulaire</t>
  </si>
  <si>
    <t xml:space="preserve">8</t>
  </si>
  <si>
    <t xml:space="preserve">9</t>
  </si>
  <si>
    <t xml:space="preserve">10</t>
  </si>
  <si>
    <t xml:space="preserve">11</t>
  </si>
  <si>
    <t xml:space="preserve">12</t>
  </si>
  <si>
    <t xml:space="preserve">13</t>
  </si>
  <si>
    <t xml:space="preserve">A1 - Diversité des espèces cultivées</t>
  </si>
  <si>
    <t xml:space="preserve">A2 - Diversité génétique</t>
  </si>
  <si>
    <t xml:space="preserve">A3 - Diversité temporelle des cultures</t>
  </si>
  <si>
    <t xml:space="preserve">A4 - Qualité de l'organisation spatiale</t>
  </si>
  <si>
    <t xml:space="preserve">A5 - Gestion des insectes pollinisateurs et des auxiliaires des cultures</t>
  </si>
  <si>
    <t xml:space="preserve">A6 - Autonomie en énergie, matériaux, matériels, semences et plants</t>
  </si>
  <si>
    <t xml:space="preserve">A7 - Autonomie alimentaire de l'élevage</t>
  </si>
  <si>
    <t xml:space="preserve">A8 - Autonomie en azote</t>
  </si>
  <si>
    <t xml:space="preserve">A9 - Sobriété dans l'usage de l'eau et partage de la ressource</t>
  </si>
  <si>
    <t xml:space="preserve">A10 - Sobriété dans l'utilisation du phosphore</t>
  </si>
  <si>
    <t xml:space="preserve">A11 - Sobriété dans la consommation en énergie</t>
  </si>
  <si>
    <t xml:space="preserve">A12 - Raisonner l'utilisation de l'eau</t>
  </si>
  <si>
    <t xml:space="preserve">A13 - Favoriser la fertilité du sol</t>
  </si>
  <si>
    <t xml:space="preserve">14</t>
  </si>
  <si>
    <t xml:space="preserve">A14 - Maintenir l'efficacité de la protection sanitaire des cultures et des animaux</t>
  </si>
  <si>
    <t xml:space="preserve">15</t>
  </si>
  <si>
    <t xml:space="preserve">A15 - Sécuriser la disponibilité des moyens matériels de production</t>
  </si>
  <si>
    <t xml:space="preserve">16</t>
  </si>
  <si>
    <t xml:space="preserve">A16 - Réduire l'impact des pratiques sur la qualité de l'eau</t>
  </si>
  <si>
    <t xml:space="preserve">17</t>
  </si>
  <si>
    <t xml:space="preserve">A17 - Réduire l'impact des pratiques sur la  qualité de l'air</t>
  </si>
  <si>
    <t xml:space="preserve">18</t>
  </si>
  <si>
    <t xml:space="preserve">A18 - Réduire l'impact des pratiques sur le changement climatique</t>
  </si>
  <si>
    <t xml:space="preserve">19</t>
  </si>
  <si>
    <t xml:space="preserve">A19 - Réduire l'usage des produits phytosanitaires et traitements vétérinaires</t>
  </si>
  <si>
    <t xml:space="preserve">20</t>
  </si>
  <si>
    <t xml:space="preserve">B1 - Production alimentaire de l'exploitation</t>
  </si>
  <si>
    <t xml:space="preserve">21</t>
  </si>
  <si>
    <t xml:space="preserve">B2 - Contribution à l'équilibre alimentaire mondial</t>
  </si>
  <si>
    <t xml:space="preserve">22</t>
  </si>
  <si>
    <t xml:space="preserve">B3 - Qualité de la production alimentaire</t>
  </si>
  <si>
    <t xml:space="preserve">23</t>
  </si>
  <si>
    <t xml:space="preserve">B4 - Pertes et gaspillages</t>
  </si>
  <si>
    <t xml:space="preserve">24</t>
  </si>
  <si>
    <t xml:space="preserve">B5 - Liens sociaux, hédoniques et culturels à l'alimentation</t>
  </si>
  <si>
    <t xml:space="preserve">25</t>
  </si>
  <si>
    <t xml:space="preserve">B6 - Engagement dans des démarches environnementales contractualisées et territoriales</t>
  </si>
  <si>
    <t xml:space="preserve">26</t>
  </si>
  <si>
    <t xml:space="preserve">B7 - Services marchands au territoire</t>
  </si>
  <si>
    <t xml:space="preserve">27</t>
  </si>
  <si>
    <t xml:space="preserve">B8 - Valorisation des produits par filières courtes ou de proximité</t>
  </si>
  <si>
    <t xml:space="preserve">28</t>
  </si>
  <si>
    <t xml:space="preserve">B9 - Valorisation des ressources locales</t>
  </si>
  <si>
    <t xml:space="preserve">29</t>
  </si>
  <si>
    <t xml:space="preserve">B10 - Valorisation et qualité du patrimoine : bâti, paysage et savoirs locaux et ressources naturelles</t>
  </si>
  <si>
    <t xml:space="preserve">30</t>
  </si>
  <si>
    <t xml:space="preserve">B11 - Accessibilité de l'espace</t>
  </si>
  <si>
    <t xml:space="preserve">31</t>
  </si>
  <si>
    <t xml:space="preserve">B12 - Gestion des déchets non organiques</t>
  </si>
  <si>
    <t xml:space="preserve">32</t>
  </si>
  <si>
    <t xml:space="preserve">B13 - Réseaux d'innovation et mutualisation du matériel</t>
  </si>
  <si>
    <t xml:space="preserve">33</t>
  </si>
  <si>
    <t xml:space="preserve">B14 - Contribution à l'emploi et gestion du salariat</t>
  </si>
  <si>
    <t xml:space="preserve">34</t>
  </si>
  <si>
    <t xml:space="preserve">B15 - Mutualisation du travail</t>
  </si>
  <si>
    <t xml:space="preserve">35</t>
  </si>
  <si>
    <t xml:space="preserve">B16 - Intensité et qualité au travail</t>
  </si>
  <si>
    <t xml:space="preserve">36</t>
  </si>
  <si>
    <t xml:space="preserve">B17 - Accueil, hygiène et sécurité</t>
  </si>
  <si>
    <t xml:space="preserve">37</t>
  </si>
  <si>
    <t xml:space="preserve">B18 - Formation</t>
  </si>
  <si>
    <t xml:space="preserve">38</t>
  </si>
  <si>
    <t xml:space="preserve">B19 - Implication sociale territoriale et solidarités</t>
  </si>
  <si>
    <t xml:space="preserve">39</t>
  </si>
  <si>
    <t xml:space="preserve">B20 - Démarche de transparence</t>
  </si>
  <si>
    <t xml:space="preserve">40</t>
  </si>
  <si>
    <t xml:space="preserve">B21 - Qualité de vie</t>
  </si>
  <si>
    <t xml:space="preserve">41</t>
  </si>
  <si>
    <t xml:space="preserve">B22 - Isolement</t>
  </si>
  <si>
    <t xml:space="preserve">42</t>
  </si>
  <si>
    <t xml:space="preserve">B23 - Bien-être animal</t>
  </si>
  <si>
    <t xml:space="preserve">43</t>
  </si>
  <si>
    <t xml:space="preserve">C1 - Capacité économique</t>
  </si>
  <si>
    <t xml:space="preserve">44</t>
  </si>
  <si>
    <t xml:space="preserve">C2 - Poids de la dette</t>
  </si>
  <si>
    <t xml:space="preserve">45</t>
  </si>
  <si>
    <t xml:space="preserve">C3 - Taux d'endettement structurel</t>
  </si>
  <si>
    <t xml:space="preserve">46</t>
  </si>
  <si>
    <t xml:space="preserve">C4 - Diversification productive</t>
  </si>
  <si>
    <t xml:space="preserve">47</t>
  </si>
  <si>
    <t xml:space="preserve">C5 - Diversification et relations contractuelles</t>
  </si>
  <si>
    <t xml:space="preserve">48</t>
  </si>
  <si>
    <t xml:space="preserve">C6 - Sensibilité aux aides</t>
  </si>
  <si>
    <t xml:space="preserve">49</t>
  </si>
  <si>
    <t xml:space="preserve">C7 - Contribution des revenus extérieurs à l'indépendance de l'exploitation</t>
  </si>
  <si>
    <t xml:space="preserve">50</t>
  </si>
  <si>
    <t xml:space="preserve">C8 - Transmissibilité économique</t>
  </si>
  <si>
    <t xml:space="preserve">51</t>
  </si>
  <si>
    <t xml:space="preserve">C9 - Pérennité probable</t>
  </si>
  <si>
    <t xml:space="preserve">52</t>
  </si>
  <si>
    <t xml:space="preserve">C10 - Efficience brute du processus productif</t>
  </si>
  <si>
    <t xml:space="preserve">53</t>
  </si>
  <si>
    <t xml:space="preserve">C11 - Sobriété en intrants dans le processus productif</t>
  </si>
  <si>
    <t xml:space="preserve">Propriété</t>
  </si>
  <si>
    <t xml:space="preserve">Résultat</t>
  </si>
  <si>
    <t xml:space="preserve">Robustesse</t>
  </si>
  <si>
    <t xml:space="preserve">favorable</t>
  </si>
  <si>
    <t xml:space="preserve">Capacité productive et reproductive de biens et de services</t>
  </si>
  <si>
    <t xml:space="preserve">Autonomie</t>
  </si>
  <si>
    <t xml:space="preserve">défavorable</t>
  </si>
  <si>
    <t xml:space="preserve">Responsabilité globale</t>
  </si>
  <si>
    <t xml:space="preserve">Ancrage territorial</t>
  </si>
  <si>
    <t xml:space="preserve">Score déplafonné</t>
  </si>
  <si>
    <t xml:space="preserve">intermédiaire</t>
  </si>
  <si>
    <t xml:space="preserve">par l'insertion dans les réseaux</t>
  </si>
  <si>
    <t xml:space="preserve">Augmenter la capacité d'adaptation</t>
  </si>
  <si>
    <t xml:space="preserve">Diversité des activités</t>
  </si>
  <si>
    <t xml:space="preserve">En favorisant la diversité</t>
  </si>
  <si>
    <t xml:space="preserve">De l'outil de production</t>
  </si>
  <si>
    <t xml:space="preserve">En développant l'inertie et les capacités tampon</t>
  </si>
  <si>
    <t xml:space="preserve">très favorable</t>
  </si>
  <si>
    <t xml:space="preserve">Réduire la sensibilité</t>
  </si>
  <si>
    <t xml:space="preserve">Diversité de l'organisation spatiale et temporelle</t>
  </si>
  <si>
    <t xml:space="preserve">très défavorable</t>
  </si>
  <si>
    <t xml:space="preserve">Limiter l'exposition aux aléas</t>
  </si>
  <si>
    <t xml:space="preserve">Valoriser la qualité territoriale</t>
  </si>
  <si>
    <t xml:space="preserve">Contribuer à des démarches d'économie circulaire</t>
  </si>
  <si>
    <t xml:space="preserve">Par le travail et l'emploi</t>
  </si>
  <si>
    <t xml:space="preserve">S'inscrire dans des démarches de territoire</t>
  </si>
</sst>
</file>

<file path=xl/styles.xml><?xml version="1.0" encoding="utf-8"?>
<styleSheet xmlns="http://schemas.openxmlformats.org/spreadsheetml/2006/main" xmlns:mc="http://schemas.openxmlformats.org/markup-compatibility/2006" xmlns:x14ac="http://schemas.microsoft.com/office/spreadsheetml/2009/9/ac" mc:Ignorable="x14ac">
  <numFmts count="19">
    <numFmt numFmtId="164" formatCode="General"/>
    <numFmt numFmtId="165" formatCode="DD/MM/YYYY"/>
    <numFmt numFmtId="166" formatCode="@"/>
    <numFmt numFmtId="169" formatCode="0\ %"/>
    <numFmt numFmtId="174" formatCode="General"/>
    <numFmt numFmtId="172" formatCode="0"/>
    <numFmt numFmtId="170" formatCode="0.00"/>
    <numFmt numFmtId="181" formatCode="0.00\ %"/>
    <numFmt numFmtId="167" formatCode="0.0"/>
    <numFmt numFmtId="171" formatCode="\ * #,##0.00,&quot;   &quot;;\-* #,##0.00,&quot;   &quot;;\ * \-#&quot;    &quot;;@\ "/>
    <numFmt numFmtId="183" formatCode="#,##0.00"/>
    <numFmt numFmtId="168" formatCode="#,##0"/>
    <numFmt numFmtId="173" formatCode="#,##0&quot; kg vif&quot;"/>
    <numFmt numFmtId="175" formatCode="#,##0.0"/>
    <numFmt numFmtId="176" formatCode="0&quot; qx&quot;"/>
    <numFmt numFmtId="177" formatCode="0&quot; MJ&quot;"/>
    <numFmt numFmtId="178" formatCode="#,##0.0&quot; ha&quot;"/>
    <numFmt numFmtId="179" formatCode="0.000"/>
    <numFmt numFmtId="180" formatCode="0.00E+00"/>
  </numFmts>
  <fonts count="162">
    <font>
      <sz val="10"/>
      <name val="Arial"/>
      <family val="2"/>
      <charset val="1"/>
    </font>
    <font>
      <sz val="12"/>
      <color rgb="FF000000"/>
      <name val="Times New Roman"/>
      <family val="1"/>
      <b/>
    </font>
    <font>
      <sz val="12"/>
      <color rgb="FF000000"/>
      <name val="Times New Roman"/>
      <family val="1"/>
    </font>
    <font>
      <sz val="11"/>
      <color rgb="FF000000"/>
      <name val="Times New Roman"/>
      <family val="1"/>
    </font>
    <font>
      <sz val="18"/>
      <color rgb="FFFFFFFF"/>
      <name val="Calibri"/>
      <family val="2"/>
      <b/>
    </font>
    <font>
      <sz val="11"/>
      <color rgb="FF000000"/>
      <name val="Times New Roman"/>
      <family val="1"/>
      <b/>
    </font>
    <font>
      <sz val="11"/>
      <color rgb="#000000"/>
      <name val="Times New Roman"/>
      <family val="1"/>
      <b/>
    </font>
    <font>
      <sz val="10"/>
      <color rgb="#000000"/>
      <name val="Arial"/>
    </font>
    <font>
      <sz val="11"/>
      <color rgb="FFFFFFFF"/>
      <name val="Times New Roman"/>
      <family val="1"/>
    </font>
    <font>
      <sz val="10"/>
      <color rgb="#000000"/>
      <name val="Arial"/>
      <family val="2"/>
      <b/>
    </font>
    <font>
      <sz val="10"/>
      <color rgb="FF000000"/>
      <name val="Arial"/>
      <family val="2"/>
    </font>
    <font>
      <sz val="11"/>
      <color rgb="FFFF0000"/>
      <name val="Times New Roman"/>
      <family val="1"/>
      <b/>
    </font>
    <font>
      <sz val="11"/>
      <color rgb="FFFF0000"/>
      <name val="Arial"/>
      <family val="2"/>
      <b/>
    </font>
    <font>
      <sz val="11"/>
      <color rgb="#000000"/>
      <name val="Times New Roman"/>
      <family val="1"/>
    </font>
    <font>
      <sz val="11"/>
      <color rgb="FFFF0000"/>
      <name val="Times New Roman"/>
      <family val="1"/>
    </font>
    <font>
      <sz val="10"/>
      <color rgb="#000000"/>
      <name val="Calibri"/>
      <family val="2"/>
    </font>
    <font>
      <sz val="10"/>
      <color rgb="#000000"/>
      <name val="Calibri"/>
      <family val="2"/>
      <b/>
    </font>
    <font>
      <sz val="10"/>
      <color rgb="#000000"/>
      <name val="Calibri"/>
      <family val="2"/>
      <i/>
    </font>
    <font>
      <sz val="11"/>
      <color rgb="#000000"/>
      <name val="Calibri"/>
      <family val="2"/>
      <b/>
    </font>
    <font>
      <sz val="11"/>
      <color rgb="#000000"/>
      <name val="Calibri"/>
      <family val="2"/>
    </font>
    <font>
      <sz val="10"/>
      <color rgb="FFFF0000"/>
      <name val="Calibri"/>
      <family val="2"/>
    </font>
    <font>
      <sz val="12"/>
      <color rgb="#000000"/>
      <name val="Calibri"/>
      <family val="2"/>
      <b/>
    </font>
    <font>
      <sz val="8"/>
      <color rgb="#000000"/>
      <name val="Calibri"/>
      <family val="2"/>
      <i/>
    </font>
    <font>
      <sz val="14"/>
      <color rgb="#000000"/>
      <name val="Calibri"/>
      <family val="2"/>
      <b/>
    </font>
    <font>
      <sz val="11"/>
      <color rgb="#000000"/>
      <name val="Calibri"/>
      <family val="2"/>
      <i/>
    </font>
    <font>
      <sz val="8"/>
      <color rgb="FF000000"/>
      <name val="Calibri"/>
      <family val="2"/>
    </font>
    <font>
      <sz val="11"/>
      <color rgb="FF000000"/>
      <name val="Calibri"/>
      <family val="2"/>
    </font>
    <font>
      <sz val="9"/>
      <color rgb="FF000000"/>
      <name val="Calibri"/>
      <family val="2"/>
      <i/>
    </font>
    <font>
      <sz val="11"/>
      <color rgb="FF0066CC"/>
      <name val="Calibri"/>
      <family val="2"/>
    </font>
    <font>
      <sz val="9"/>
      <color rgb="#000000"/>
      <name val="Calibri"/>
      <family val="2"/>
      <i/>
    </font>
    <font>
      <sz val="8"/>
      <color rgb="FF000000"/>
      <name val="Calibri"/>
      <family val="2"/>
      <i/>
    </font>
    <font>
      <sz val="11"/>
      <color rgb="#000000"/>
      <name val="Arial"/>
      <family val="2"/>
      <b/>
    </font>
    <font>
      <sz val="11"/>
      <color rgb="#000000"/>
      <name val="Arial"/>
      <family val="2"/>
    </font>
    <font>
      <sz val="11"/>
      <color rgb="FF000000"/>
      <name val="Calibri"/>
      <family val="2"/>
      <b/>
    </font>
    <font>
      <sz val="11"/>
      <color rgb="FFFF0000"/>
      <name val="Calibri"/>
      <family val="2"/>
    </font>
    <font>
      <sz val="9"/>
      <color rgb="#000000"/>
      <name val="Calibri"/>
      <family val="2"/>
      <b/>
    </font>
    <font>
      <sz val="16"/>
      <color rgb="FFFFFFFF"/>
      <name val="Calibri"/>
      <family val="2"/>
      <b/>
    </font>
    <font>
      <sz val="8"/>
      <color rgb="#000000"/>
      <name val="Calibri"/>
      <family val="2"/>
    </font>
    <font>
      <sz val="14"/>
      <color rgb="FF000000"/>
      <name val="Times New Roman"/>
      <family val="1"/>
    </font>
    <font>
      <sz val="10"/>
      <color rgb="FF333333"/>
      <name val="Calibri"/>
      <family val="2"/>
    </font>
    <font>
      <sz val="11"/>
      <color rgb="FF000000"/>
      <name val="Calibri"/>
      <family val="2"/>
      <i/>
    </font>
    <font>
      <sz val="10"/>
      <color rgb="FF000000"/>
      <name val="Calibri"/>
      <family val="2"/>
      <i/>
    </font>
    <font>
      <sz val="10"/>
      <color rgb="FF000000"/>
      <name val="Calibri"/>
      <family val="2"/>
      <b/>
    </font>
    <font>
      <sz val="10"/>
      <color rgb="FF000000"/>
      <name val="Calibri"/>
      <family val="2"/>
    </font>
    <font>
      <sz val="8"/>
      <color rgb="FF000000"/>
      <name val="Times New Roman"/>
      <family val="1"/>
    </font>
    <font>
      <sz val="10"/>
      <color rgb="#000000"/>
      <name val="Times New Roman"/>
      <family val="1"/>
    </font>
    <font>
      <sz val="9"/>
      <color rgb="#000000"/>
      <name val="Arial"/>
      <family val="2"/>
      <i/>
    </font>
    <font>
      <sz val="9"/>
      <color rgb="#000000"/>
      <name val="Calibri"/>
      <family val="2"/>
    </font>
    <font>
      <sz val="12"/>
      <color rgb="FF333333"/>
      <name val="Times New Roman"/>
      <family val="1"/>
      <b/>
      <u val="single"/>
    </font>
    <font>
      <sz val="12"/>
      <color rgb="#000000"/>
      <name val="Arial"/>
      <family val="2"/>
      <b/>
    </font>
    <font>
      <sz val="11"/>
      <color rgb="FFFF6600"/>
      <name val="Calibri"/>
      <family val="2"/>
      <i/>
    </font>
    <font>
      <sz val="11"/>
      <color rgb="FFFF0000"/>
      <name val="Calibri"/>
      <family val="2"/>
      <b/>
    </font>
    <font>
      <sz val="11"/>
      <color rgb="#000000"/>
      <name val="Calibri"/>
      <family val="2"/>
      <b/>
      <i/>
    </font>
    <font>
      <sz val="11"/>
      <color rgb="FF000000"/>
      <name val="Calibri"/>
      <family val="2"/>
      <b/>
      <u val="single"/>
    </font>
    <font>
      <sz val="10"/>
      <color rgb="FF000000"/>
      <name val="Times New Roman"/>
      <family val="1"/>
      <b/>
    </font>
    <font>
      <sz val="10"/>
      <color rgb="#000000"/>
      <name val="Times New Roman"/>
      <family val="1"/>
      <b/>
    </font>
    <font>
      <sz val="10"/>
      <color rgb="FFFF0000"/>
      <name val="Times New Roman"/>
      <family val="1"/>
      <b/>
      <i/>
    </font>
    <font>
      <sz val="9"/>
      <color rgb="#000000"/>
      <name val="Times New Roman"/>
      <family val="1"/>
    </font>
    <font>
      <sz val="14"/>
      <color rgb="#000000"/>
      <name val="Times New Roman"/>
      <family val="1"/>
      <b/>
      <i/>
    </font>
    <font>
      <sz val="9"/>
      <color rgb="FF000000"/>
      <name val="Times New Roman"/>
      <family val="1"/>
      <i/>
    </font>
    <font>
      <sz val="10"/>
      <color rgb="#000000"/>
      <name val="Times New Roman"/>
      <family val="1"/>
      <i/>
    </font>
    <font>
      <sz val="11"/>
      <color rgb="FFFF0000"/>
      <name val="Times New Roman"/>
      <family val="1"/>
      <i/>
    </font>
    <font>
      <sz val="11"/>
      <color rgb="#000000"/>
      <name val="Times New Roman"/>
      <family val="1"/>
      <b/>
      <i/>
    </font>
    <font>
      <sz val="10"/>
      <color rgb="#000000"/>
      <name val="Arial"/>
      <family val="2"/>
      <i/>
    </font>
    <font>
      <sz val="11"/>
      <color rgb="#000000"/>
      <name val="Cambria"/>
      <family val="1"/>
      <b/>
    </font>
    <font>
      <sz val="12"/>
      <color rgb="FFFFFFFF"/>
      <name val="Times New Roman"/>
      <family val="1"/>
      <b/>
    </font>
    <font>
      <sz val="11"/>
      <color rgb="FFFFFFFF"/>
      <name val="Times New Roman"/>
      <family val="1"/>
      <b/>
    </font>
    <font>
      <sz val="12"/>
      <color rgb="FF000000"/>
      <name val="Times New Roman"/>
      <family val="1"/>
      <u val="single"/>
    </font>
    <font>
      <sz val="10"/>
      <color rgb="FF0066CC"/>
      <name val="Times New Roman"/>
      <family val="1"/>
      <i/>
    </font>
    <font>
      <sz val="10"/>
      <color rgb="FF000000"/>
      <name val="Times New Roman"/>
      <family val="1"/>
      <i/>
    </font>
    <font>
      <sz val="11"/>
      <color rgb="#000000"/>
      <name val="Times New Roman"/>
      <family val="1"/>
      <i/>
    </font>
    <font>
      <sz val="11"/>
      <color rgb="FFFF0000"/>
      <name val="Times New Roman"/>
      <family val="1"/>
      <b/>
      <i/>
    </font>
    <font>
      <sz val="11"/>
      <color rgb="FF000000"/>
      <name val="Times New Roman"/>
      <family val="1"/>
      <i/>
    </font>
    <font>
      <sz val="11"/>
      <color rgb="FF000000"/>
      <name val="Times New Roman"/>
      <family val="1"/>
      <i/>
      <u val="single"/>
    </font>
    <font>
      <sz val="14"/>
      <color rgb="FF000000"/>
      <name val="Times New Roman"/>
      <family val="1"/>
      <b/>
    </font>
    <font>
      <sz val="12"/>
      <color rgb="FF000000"/>
      <name val="Times New Roman"/>
      <family val="1"/>
      <i/>
    </font>
    <font>
      <sz val="18"/>
      <color rgb="FFFF0000"/>
      <name val="Times New Roman"/>
      <family val="1"/>
      <b/>
    </font>
    <font>
      <sz val="10"/>
      <color rgb="FFFF0000"/>
      <name val="Times New Roman"/>
      <family val="1"/>
      <i/>
    </font>
    <font>
      <sz val="10"/>
      <color rgb="FF000000"/>
      <name val="Times New Roman"/>
      <family val="1"/>
    </font>
    <font>
      <sz val="11"/>
      <color rgb="FF000000"/>
      <name val="Times New Roman"/>
      <family val="1"/>
      <u val="single"/>
    </font>
    <font>
      <sz val="12"/>
      <color rgb="#000000"/>
      <name val="Times New Roman"/>
      <family val="1"/>
      <b/>
    </font>
    <font>
      <sz val="12"/>
      <color rgb="#000000"/>
      <name val="Calibri"/>
      <family val="2"/>
    </font>
    <font>
      <sz val="12"/>
      <color rgb="FF000000"/>
      <name val="Calibri"/>
      <family val="2"/>
    </font>
    <font>
      <sz val="10"/>
      <color rgb="FFFF0000"/>
      <name val="Times New Roman"/>
      <family val="1"/>
    </font>
    <font>
      <sz val="10"/>
      <color rgb="FFFF0000"/>
      <name val="Calibri"/>
      <family val="2"/>
      <b/>
      <i/>
    </font>
    <font>
      <sz val="8"/>
      <color rgb="FF000000"/>
      <name val="Times New Roman"/>
      <family val="1"/>
      <i/>
    </font>
    <font>
      <sz val="11"/>
      <color rgb="FF333333"/>
      <name val="Times New Roman"/>
      <family val="1"/>
    </font>
    <font>
      <sz val="8"/>
      <color rgb="FF0066CC"/>
      <name val="Times New Roman"/>
      <family val="1"/>
      <i/>
    </font>
    <font>
      <sz val="11"/>
      <color rgb="FFFF6600"/>
      <name val="Times New Roman"/>
      <family val="1"/>
      <i/>
    </font>
    <font>
      <sz val="11"/>
      <color rgb="FFFF6600"/>
      <name val="Times New Roman"/>
      <family val="1"/>
      <b/>
      <i/>
    </font>
    <font>
      <sz val="14"/>
      <color rgb="FF000000"/>
      <name val="Times New Roman"/>
      <family val="1"/>
      <i/>
    </font>
    <font>
      <sz val="11"/>
      <color rgb="FF0066CC"/>
      <name val="Times New Roman"/>
      <family val="1"/>
    </font>
    <font>
      <sz val="10"/>
      <color rgb="FF0066CC"/>
      <name val="Times New Roman"/>
      <family val="1"/>
    </font>
    <font>
      <sz val="11"/>
      <color rgb="FF0066CC"/>
      <name val="Times New Roman"/>
      <family val="1"/>
      <i/>
    </font>
    <font>
      <sz val="11"/>
      <color rgb="FF333333"/>
      <name val="Times New Roman"/>
      <family val="1"/>
      <b/>
    </font>
    <font>
      <sz val="10"/>
      <color rgb="FFFF0000"/>
      <name val="Times New Roman"/>
      <family val="1"/>
      <b/>
    </font>
    <font>
      <sz val="9"/>
      <color rgb="FF0066CC"/>
      <name val="Times New Roman"/>
      <family val="1"/>
    </font>
    <font>
      <sz val="11"/>
      <color rgb="#000000"/>
      <name val="Arial"/>
      <family val="2"/>
      <u val="single"/>
    </font>
    <font>
      <sz val="11"/>
      <color rgb="FF000000"/>
      <name val="Symbol"/>
      <family val="1"/>
    </font>
    <font>
      <sz val="12"/>
      <color rgb="#000000"/>
      <name val="Cambria"/>
      <family val="1"/>
      <b/>
    </font>
    <font>
      <sz val="11"/>
      <color rgb="FFFF6600"/>
      <name val="Times New Roman"/>
      <family val="1"/>
      <b/>
    </font>
    <font>
      <sz val="10"/>
      <color rgb="FFFF6600"/>
      <name val="Times New Roman"/>
      <family val="1"/>
      <i/>
    </font>
    <font>
      <sz val="14"/>
      <color rgb="FFFF6600"/>
      <name val="Times New Roman"/>
      <family val="1"/>
      <b/>
      <i/>
    </font>
    <font>
      <sz val="12"/>
      <color rgb="FFFF6600"/>
      <name val="Times New Roman"/>
      <family val="1"/>
      <b/>
      <i/>
    </font>
    <font>
      <sz val="11"/>
      <color rgb="FF969696"/>
      <name val="Times New Roman"/>
      <family val="1"/>
    </font>
    <font>
      <sz val="11"/>
      <color rgb="FF000000"/>
      <name val="Times New Roman"/>
      <family val="1"/>
      <b/>
      <i/>
    </font>
    <font>
      <sz val="12"/>
      <color rgb="#000000"/>
      <name val="Times New Roman"/>
      <family val="1"/>
      <b/>
      <i/>
    </font>
    <font>
      <sz val="11"/>
      <color rgb="FF0066CC"/>
      <name val="Times New Roman"/>
      <family val="1"/>
      <u val="single"/>
    </font>
    <font>
      <sz val="8"/>
      <color rgb="#000000"/>
      <name val="Times New Roman"/>
      <family val="1"/>
    </font>
    <font>
      <sz val="8"/>
      <color rgb="#000000"/>
      <name val="Times New Roman"/>
      <family val="1"/>
      <b/>
    </font>
    <font>
      <sz val="11"/>
      <color rgb="#000000"/>
      <name val="Times New Roman"/>
      <family val="1"/>
      <b/>
      <u val="single"/>
    </font>
    <font>
      <sz val="9"/>
      <color rgb="FF000000"/>
      <name val="Times New Roman"/>
      <family val="1"/>
    </font>
    <font>
      <sz val="10"/>
      <color rgb="FF0000FF"/>
      <name val="Arial"/>
      <family val="2"/>
    </font>
    <font>
      <sz val="8"/>
      <color rgb="#000000"/>
      <name val="Times New Roman"/>
      <family val="1"/>
      <b/>
      <i/>
    </font>
    <font>
      <sz val="13"/>
      <color rgb="#000000"/>
      <name val="Times New Roman"/>
      <family val="1"/>
    </font>
    <font>
      <sz val="11"/>
      <color rgb="FF0066CC"/>
      <name val="Calibri"/>
      <family val="2"/>
      <u val="single"/>
    </font>
    <font>
      <sz val="12"/>
      <color rgb="FFFF0000"/>
      <name val="Times New Roman"/>
      <family val="1"/>
      <i/>
    </font>
    <font>
      <sz val="11"/>
      <color rgb="#000000"/>
      <name val="Cambria"/>
      <family val="1"/>
    </font>
    <font>
      <sz val="11"/>
      <color rgb="FF800000"/>
      <name val="Times New Roman"/>
      <family val="1"/>
      <b/>
      <i/>
    </font>
    <font>
      <sz val="11"/>
      <color rgb="FF800000"/>
      <name val="Times New Roman"/>
      <family val="1"/>
      <b/>
      <u val="single"/>
    </font>
    <font>
      <sz val="10"/>
      <color rgb="#000000"/>
      <name val="Times New Roman"/>
      <family val="1"/>
      <b/>
      <i/>
    </font>
    <font>
      <sz val="9"/>
      <color rgb="FFFF0000"/>
      <name val="Times New Roman"/>
      <family val="1"/>
      <b/>
    </font>
    <font>
      <sz val="14"/>
      <color rgb="#000000"/>
      <name val="Arial"/>
      <family val="2"/>
      <b/>
    </font>
    <font>
      <sz val="16"/>
      <color rgb="#000000"/>
      <name val="Arial"/>
      <family val="2"/>
      <b/>
    </font>
    <font>
      <sz val="10"/>
      <color rgb="FFFF0000"/>
      <name val="Arial"/>
      <family val="2"/>
      <i/>
    </font>
    <font>
      <sz val="10"/>
      <color rgb="FFFF0000"/>
      <name val="Arial"/>
      <family val="2"/>
    </font>
    <font>
      <sz val="9"/>
      <color rgb="#000000"/>
      <name val="Arial"/>
      <family val="2"/>
    </font>
    <font>
      <sz val="10"/>
      <color rgb="FF0000FF"/>
      <name val="Arial"/>
      <family val="2"/>
      <b/>
    </font>
    <font>
      <sz val="11"/>
      <color rgb="FF000000"/>
      <name val="Arial"/>
      <family val="2"/>
    </font>
    <font>
      <sz val="10"/>
      <color rgb="FF000000"/>
      <name val="Arial"/>
      <family val="2"/>
      <b/>
    </font>
    <font>
      <sz val="16"/>
      <color rgb="#000000"/>
      <name val="Arial"/>
      <family val="2"/>
    </font>
    <font>
      <sz val="10"/>
      <color rgb="FFFF0000"/>
      <name val="Arial"/>
      <family val="2"/>
      <b/>
    </font>
    <font>
      <sz val="12"/>
      <color rgb="#000000"/>
      <name val="Arial"/>
      <family val="2"/>
    </font>
    <font>
      <sz val="24"/>
      <color rgb="#000000"/>
      <name val="Arial"/>
      <family val="2"/>
    </font>
    <font>
      <sz val="11"/>
      <color rgb="FF000000"/>
      <name val="Calibri"/>
      <family val="2"/>
      <u val="single"/>
    </font>
    <font>
      <sz val="10"/>
      <color rgb="FF800000"/>
      <name val="Times New Roman"/>
      <family val="1"/>
      <b/>
    </font>
    <font>
      <sz val="12"/>
      <color rgb="#000000"/>
      <name val="Arial"/>
      <family val="2"/>
      <b/>
      <i/>
    </font>
    <font>
      <sz val="9"/>
      <color rgb="FF000000"/>
      <name val="Calibri"/>
      <family val="2"/>
      <b/>
    </font>
    <font>
      <sz val="12"/>
      <color rgb="#000000"/>
      <name val="Times New Roman"/>
      <family val="1"/>
    </font>
    <font>
      <sz val="11"/>
      <color rgb="FF000000"/>
      <name val="Arial"/>
      <family val="2"/>
      <b/>
      <i/>
    </font>
    <font>
      <sz val="9"/>
      <color rgb="FF000000"/>
      <name val="Calibri"/>
      <family val="2"/>
    </font>
    <font>
      <sz val="10"/>
      <color rgb="FF000000"/>
      <name val="Arial"/>
      <family val="2"/>
      <i/>
    </font>
    <font>
      <sz val="10"/>
      <color rgb="#000000"/>
      <name val="MS Sans Serif"/>
      <family val="2"/>
    </font>
    <font>
      <sz val="12"/>
      <color rgb="FFFFFFFF"/>
      <name val="Calibri"/>
      <family val="2"/>
      <b/>
    </font>
    <font>
      <sz val="12"/>
      <color rgb="FFFFFFFF"/>
      <name val="Calibri"/>
      <family val="2"/>
    </font>
    <font>
      <sz val="12"/>
      <color rgb="FF000000"/>
      <name val="Calibri"/>
      <family val="2"/>
      <b/>
    </font>
    <font>
      <sz val="11"/>
      <color rgb="FF333399"/>
      <name val="Calibri"/>
      <family val="2"/>
    </font>
    <font>
      <sz val="8"/>
      <color rgb="#000000"/>
      <name val="Arial"/>
      <family val="2"/>
    </font>
    <font>
      <sz val="16"/>
      <color rgb="FF000000"/>
      <name val="Arial"/>
      <family val="2"/>
      <b/>
    </font>
    <font>
      <sz val="12"/>
      <color rgb="FF000000"/>
      <name val="Arial"/>
      <family val="2"/>
      <b/>
    </font>
    <font>
      <sz val="10"/>
      <color rgb="#000000"/>
      <name val="Arial"/>
      <family val="2"/>
      <u val="single"/>
    </font>
    <font>
      <sz val="11"/>
      <color rgb="FF000000"/>
      <name val="Arial"/>
      <family val="2"/>
      <b/>
    </font>
    <font>
      <sz val="22"/>
      <color rgb="FF000000"/>
      <name val="Calibri"/>
      <family val="2"/>
      <b/>
    </font>
    <font>
      <sz val="10"/>
      <color rgb="FF99CC00"/>
      <name val="Arial"/>
      <family val="2"/>
    </font>
    <font>
      <sz val="26"/>
      <color rgb="FF000000"/>
      <name val="Calibri"/>
      <family val="2"/>
      <b/>
    </font>
    <font>
      <sz val="12"/>
      <color rgb="FF3366FF"/>
      <name val="Times New Roman"/>
      <family val="1"/>
    </font>
    <font>
      <sz val="14"/>
      <color rgb="FF000000"/>
      <name val="Arial"/>
      <family val="2"/>
      <b/>
    </font>
    <font>
      <sz val="10"/>
      <color rgb="FF3366FF"/>
      <name val="Times New Roman"/>
      <family val="1"/>
    </font>
    <font>
      <sz val="10"/>
      <color rgb="FF333333"/>
      <name val="Times New Roman"/>
      <family val="1"/>
    </font>
    <font>
      <sz val="10"/>
      <color rgb="FF3366FF"/>
      <name val="Times New Roman"/>
      <family val="1"/>
      <b/>
      <u val="single"/>
    </font>
    <font>
      <sz val="8"/>
      <color rgb="FF3366FF"/>
      <name val="Times New Roman"/>
      <family val="1"/>
    </font>
    <font>
      <sz val="10"/>
      <color rgb="FFFFFFFF"/>
      <name val="Arial"/>
      <b/>
    </font>
  </fonts>
  <fills count="36">
    <fill>
      <patternFill patternType="none"/>
    </fill>
    <fill>
      <patternFill patternType="gray125"/>
    </fill>
    <fill>
      <patternFill patternType="solid">
        <fgColor rgb="FF008000"/>
        <bgColor rgb="FF008080"/>
      </patternFill>
    </fill>
    <fill>
      <patternFill patternType="solid">
        <fgColor rgb="FF333300"/>
        <bgColor rgb="FF333333"/>
      </patternFill>
    </fill>
    <fill>
      <patternFill patternType="solid">
        <fgColor rgb="FF333399"/>
        <bgColor rgb="FF17375E"/>
      </patternFill>
    </fill>
    <fill>
      <patternFill patternType="solid">
        <fgColor rgb="FFFFFFFF"/>
        <bgColor rgb="FFFEFEFE"/>
      </patternFill>
    </fill>
    <fill>
      <patternFill patternType="solid">
        <fgColor rgb="FFFFFF99"/>
        <bgColor rgb="FFFFFFCC"/>
      </patternFill>
    </fill>
    <fill>
      <patternFill patternType="solid">
        <fgColor rgb="FFFFFF00"/>
        <bgColor rgb="FFFFCC00"/>
      </patternFill>
    </fill>
    <fill>
      <patternFill patternType="solid">
        <fgColor rgb="FF339966"/>
        <bgColor rgb="FF008080"/>
      </patternFill>
    </fill>
    <fill>
      <patternFill patternType="solid">
        <fgColor rgb="FFFF0000"/>
        <bgColor rgb="FF800000"/>
      </patternFill>
    </fill>
    <fill>
      <patternFill patternType="solid">
        <fgColor rgb="FFFFCC99"/>
        <bgColor rgb="FFFFCC98"/>
      </patternFill>
    </fill>
    <fill>
      <patternFill patternType="solid">
        <fgColor rgb="FF808080"/>
        <bgColor rgb="FF969696"/>
      </patternFill>
    </fill>
    <fill>
      <patternFill patternType="solid">
        <fgColor rgb="FFCCCCFF"/>
        <bgColor rgb="FFB9CDE5"/>
      </patternFill>
    </fill>
    <fill>
      <patternFill patternType="solid">
        <fgColor rgb="FF99CC00"/>
        <bgColor rgb="FF92D050"/>
      </patternFill>
    </fill>
    <fill>
      <patternFill patternType="solid">
        <fgColor rgb="FFFF99CC"/>
        <bgColor rgb="FFFF8080"/>
      </patternFill>
    </fill>
    <fill>
      <patternFill patternType="solid">
        <fgColor rgb="FFC0C0C0"/>
        <bgColor rgb="FFB9CDE5"/>
      </patternFill>
    </fill>
    <fill>
      <patternFill patternType="solid">
        <fgColor rgb="FFFF9900"/>
        <bgColor rgb="FFFFC000"/>
      </patternFill>
    </fill>
    <fill>
      <patternFill patternType="solid">
        <fgColor rgb="FF969696"/>
        <bgColor rgb="FF808080"/>
      </patternFill>
    </fill>
    <fill>
      <patternFill patternType="solid">
        <fgColor rgb="FF99CCFF"/>
        <bgColor rgb="FFB9CDE5"/>
      </patternFill>
    </fill>
    <fill>
      <patternFill patternType="solid">
        <fgColor rgb="FF003366"/>
        <bgColor rgb="FF17375E"/>
      </patternFill>
    </fill>
    <fill>
      <patternFill patternType="solid">
        <fgColor rgb="FF600C7A"/>
        <bgColor rgb="FF660066"/>
      </patternFill>
    </fill>
    <fill>
      <patternFill patternType="solid">
        <fgColor rgb="FFCCFFFF"/>
        <bgColor rgb="FFCCFFCC"/>
      </patternFill>
    </fill>
    <fill>
      <patternFill patternType="solid">
        <fgColor rgb="FF800080"/>
        <bgColor rgb="FF660066"/>
      </patternFill>
    </fill>
    <fill>
      <patternFill patternType="solid">
        <fgColor rgb="FF800000"/>
        <bgColor rgb="FF660066"/>
      </patternFill>
    </fill>
    <fill>
      <patternFill patternType="solid">
        <fgColor rgb="FFFFFFCC"/>
        <bgColor rgb="FFEBF1DE"/>
      </patternFill>
    </fill>
    <fill>
      <patternFill patternType="solid">
        <fgColor rgb="FFFF00FF"/>
        <bgColor rgb="FF800080"/>
      </patternFill>
    </fill>
    <fill>
      <patternFill patternType="solid">
        <fgColor rgb="FF660066"/>
        <bgColor rgb="FF600C7A"/>
      </patternFill>
    </fill>
    <fill>
      <patternFill patternType="solid">
        <fgColor rgb="FF00FF00"/>
        <bgColor rgb="FF33CCCC"/>
      </patternFill>
    </fill>
    <fill>
      <patternFill patternType="solid">
        <fgColor rgb="FF808000"/>
        <bgColor rgb="FF808080"/>
      </patternFill>
    </fill>
    <fill>
      <patternFill patternType="solid">
        <fgColor rgb="FFCCFFCC"/>
        <bgColor rgb="FFCCFFFF"/>
      </patternFill>
    </fill>
    <fill>
      <patternFill patternType="solid">
        <fgColor rgb="FF3366FF"/>
        <bgColor rgb="FF0066CC"/>
      </patternFill>
    </fill>
    <fill>
      <patternFill patternType="solid">
        <fgColor rgb="FF0066CC"/>
        <bgColor rgb="FF008080"/>
      </patternFill>
    </fill>
    <fill>
      <patternFill patternType="solid">
        <fgColor rgb="FF00CCFF"/>
        <bgColor rgb="FF33CCCC"/>
      </patternFill>
    </fill>
    <fill>
      <patternFill patternType="solid">
        <fgColor rgb="FFFFCC00"/>
        <bgColor rgb="FFFFC000"/>
      </patternFill>
    </fill>
    <fill>
      <patternFill patternType="solid">
        <fgColor rgb="FFFF8080"/>
        <bgColor rgb="FFFF99CC"/>
      </patternFill>
    </fill>
    <fill>
      <patternFill patternType="solid">
        <fgColor rgb="FFC0504D"/>
      </patternFill>
    </fill>
  </fills>
  <borders count="132">
    <border>
      <left/>
      <right/>
      <top/>
      <bottom/>
      <diagonal/>
    </border>
    <border>
      <left style="thin">
        <color rgb="FFC0C0C0"/>
      </left>
      <right style="thin">
        <color rgb="FFC0C0C0"/>
      </right>
      <top style="thin">
        <color rgb="FFC0C0C0"/>
      </top>
      <bottom style="thin">
        <color rgb="FFC0C0C0"/>
      </bottom>
    </border>
    <border>
      <right style="thin">
        <color rgb="FFFEFEFE"/>
      </right>
      <bottom style="thick">
        <color rgb="FFFF0000"/>
      </bottom>
    </border>
    <border>
      <left style="thick">
        <color rgb="FFFF0000"/>
      </left>
      <right style="thick">
        <color rgb="FFFF0000"/>
      </right>
      <top style="thick">
        <color rgb="FFFF0000"/>
      </top>
      <bottom style="thick">
        <color rgb="FFFF0000"/>
      </bottom>
    </border>
    <border>
      <left style="thin">
        <color rgb="FFFEFEFE"/>
      </left>
      <right style="thin">
        <color rgb="FFFEFEFE"/>
      </right>
      <top style="thin">
        <color rgb="FFFEFEFE"/>
      </top>
      <bottom style="thin">
        <color rgb="FFFEFEFE"/>
      </bottom>
    </border>
    <border>
      <left style="thin">
        <color rgb="FFFEFEFE"/>
      </left>
      <top style="thin">
        <color rgb="FFFEFEFE"/>
      </top>
    </border>
    <border>
      <right style="thin">
        <color rgb="FFFEFEFE"/>
      </right>
      <top style="thin">
        <color rgb="FFFEFEFE"/>
      </top>
    </border>
    <border>
      <left style="thin">
        <color rgb="FFFEFEFE"/>
      </left>
      <right style="dotted">
        <color rgb="FFFEFEFE"/>
      </right>
      <top style="thin">
        <color rgb="FFFEFEFE"/>
      </top>
      <bottom style="thin">
        <color rgb="FFFEFEFE"/>
      </bottom>
    </border>
    <border>
      <right style="thin">
        <color rgb="FFFEFEFE"/>
      </right>
      <top style="thin">
        <color rgb="FFFEFEFE"/>
      </top>
      <bottom style="thin">
        <color rgb="FFFEFEFE"/>
      </bottom>
    </border>
    <border>
      <right style="dotted">
        <color rgb="FFFEFEFE"/>
      </right>
      <top style="thin">
        <color rgb="FFFEFEFE"/>
      </top>
      <bottom style="thin">
        <color rgb="FFFEFEFE"/>
      </bottom>
    </border>
    <border>
      <left style="thin">
        <color rgb="FFFEFEFE"/>
      </left>
    </border>
    <border>
      <right style="thin">
        <color rgb="FFFEFEFE"/>
      </right>
    </border>
    <border>
      <left style="thin">
        <color rgb="FFFEFEFE"/>
      </left>
      <bottom style="thin">
        <color rgb="FFFEFEFE"/>
      </bottom>
    </border>
    <border>
      <right style="thin">
        <color rgb="FFFEFEFE"/>
      </right>
      <bottom style="thin">
        <color rgb="FFFEFEFE"/>
      </bottom>
    </border>
    <border>
      <left style="thin">
        <color rgb="FFFEFEFE"/>
      </left>
      <right style="thin">
        <color rgb="FFFEFEFE"/>
      </right>
      <top style="thin">
        <color rgb="FFFEFEFE"/>
      </top>
    </border>
    <border>
      <left style="thin">
        <color rgb="FFFEFEFE"/>
      </left>
      <top style="thin">
        <color rgb="FFFEFEFE"/>
      </top>
      <bottom style="thin">
        <color rgb="FFFEFEFE"/>
      </bottom>
    </border>
    <border>
      <left style="thin">
        <color rgb="FFFEFEFE"/>
      </left>
      <right style="thin">
        <color rgb="FFFEFEFE"/>
      </right>
    </border>
    <border>
      <top style="thin">
        <color rgb="FFFEFEFE"/>
      </top>
      <bottom style="thin">
        <color rgb="FFFEFEFE"/>
      </bottom>
    </border>
    <border>
      <right style="medium">
        <color rgb="FFFEFEFE"/>
      </right>
      <bottom style="medium">
        <color rgb="FFFEFEFE"/>
      </bottom>
    </border>
    <border>
      <left style="thin">
        <color rgb="FFFEFEFE"/>
      </left>
      <right style="thin">
        <color rgb="FFFEFEFE"/>
      </right>
      <bottom style="thin">
        <color rgb="FFFEFEFE"/>
      </bottom>
    </border>
    <border>
      <left style="thin">
        <color rgb="FFFEFEFE"/>
      </left>
      <right style="dotted">
        <color rgb="FFFEFEFE"/>
      </right>
    </border>
    <border>
      <right style="dotted">
        <color rgb="FFFEFEFE"/>
      </right>
    </border>
    <border>
      <top style="thin">
        <color rgb="FFFEFEFE"/>
      </top>
    </border>
    <border>
      <left style="thin">
        <color rgb="FFFEFEFE"/>
      </left>
      <right style="dotted">
        <color rgb="FFFEFEFE"/>
      </right>
      <top style="thin">
        <color rgb="FFFEFEFE"/>
      </top>
    </border>
    <border>
      <bottom style="thin">
        <color rgb="FFFEFEFE"/>
      </bottom>
    </border>
    <border>
      <left style="medium">
        <color rgb="FFFEFEFE"/>
      </left>
      <right style="medium">
        <color rgb="FFFEFEFE"/>
      </right>
      <top style="medium">
        <color rgb="FFFEFEFE"/>
      </top>
    </border>
    <border>
      <left style="medium">
        <color rgb="FFFEFEFE"/>
      </left>
      <right style="thin">
        <color rgb="FFFEFEFE"/>
      </right>
      <top style="medium">
        <color rgb="FFFEFEFE"/>
      </top>
    </border>
    <border>
      <left style="thin">
        <color rgb="FFFEFEFE"/>
      </left>
      <right style="medium">
        <color rgb="FFFEFEFE"/>
      </right>
      <top style="medium">
        <color rgb="FFFEFEFE"/>
      </top>
    </border>
    <border>
      <left style="medium">
        <color rgb="FFFEFEFE"/>
      </left>
      <right style="thin">
        <color rgb="FFFEFEFE"/>
      </right>
      <top style="medium">
        <color rgb="FFFEFEFE"/>
      </top>
      <bottom style="thin">
        <color rgb="FFFEFEFE"/>
      </bottom>
    </border>
    <border>
      <left style="thin">
        <color rgb="FFFEFEFE"/>
      </left>
      <right style="medium">
        <color rgb="FFFEFEFE"/>
      </right>
      <top style="medium">
        <color rgb="FFFEFEFE"/>
      </top>
      <bottom style="thin">
        <color rgb="FFFEFEFE"/>
      </bottom>
    </border>
    <border>
      <left style="thin">
        <color rgb="FFFEFEFE"/>
      </left>
      <right style="medium">
        <color rgb="FFFEFEFE"/>
      </right>
      <bottom style="thin">
        <color rgb="FFFEFEFE"/>
      </bottom>
    </border>
    <border>
      <left style="medium">
        <color rgb="FFFEFEFE"/>
      </left>
      <right style="medium">
        <color rgb="FFFEFEFE"/>
      </right>
    </border>
    <border>
      <left style="medium">
        <color rgb="FFFEFEFE"/>
      </left>
    </border>
    <border>
      <right style="medium">
        <color rgb="FFFEFEFE"/>
      </right>
    </border>
    <border>
      <left style="medium">
        <color rgb="FFFEFEFE"/>
      </left>
      <right style="medium">
        <color rgb="FFFEFEFE"/>
      </right>
      <top style="medium">
        <color rgb="FFFEFEFE"/>
      </top>
      <bottom style="medium">
        <color rgb="FFFEFEFE"/>
      </bottom>
    </border>
    <border>
      <left style="thin">
        <color rgb="FFFEFEFE"/>
      </left>
      <right style="thin">
        <color rgb="FFFEFEFE"/>
      </right>
      <top style="medium">
        <color rgb="FFFEFEFE"/>
      </top>
    </border>
    <border>
      <left style="medium">
        <color rgb="FFFEFEFE"/>
      </left>
      <right style="medium">
        <color rgb="FFFEFEFE"/>
      </right>
      <bottom style="thin">
        <color rgb="FFFEFEFE"/>
      </bottom>
    </border>
    <border>
      <left style="medium">
        <color rgb="FFFEFEFE"/>
      </left>
      <right style="thin">
        <color rgb="FFFEFEFE"/>
      </right>
      <top style="medium">
        <color rgb="FFFEFEFE"/>
      </top>
      <bottom style="medium">
        <color rgb="FFFEFEFE"/>
      </bottom>
    </border>
    <border>
      <left style="thin">
        <color rgb="FFFEFEFE"/>
      </left>
      <right style="thin">
        <color rgb="FFFEFEFE"/>
      </right>
      <top style="medium">
        <color rgb="FFFEFEFE"/>
      </top>
      <bottom style="medium">
        <color rgb="FFFEFEFE"/>
      </bottom>
    </border>
    <border>
      <left style="thin">
        <color rgb="FFFEFEFE"/>
      </left>
      <right style="medium">
        <color rgb="FFFEFEFE"/>
      </right>
      <top style="medium">
        <color rgb="FFFEFEFE"/>
      </top>
      <bottom style="medium">
        <color rgb="FFFEFEFE"/>
      </bottom>
    </border>
    <border>
      <left style="medium">
        <color rgb="FFFEFEFE"/>
      </left>
      <right style="medium">
        <color rgb="FFFEFEFE"/>
      </right>
      <top style="thin">
        <color rgb="FFFEFEFE"/>
      </top>
      <bottom style="thin">
        <color rgb="FFFEFEFE"/>
      </bottom>
    </border>
    <border>
      <left style="medium">
        <color rgb="FFFEFEFE"/>
      </left>
      <right style="medium">
        <color rgb="FFFEFEFE"/>
      </right>
      <top style="thin">
        <color rgb="FFFEFEFE"/>
      </top>
      <bottom style="medium">
        <color rgb="FFFEFEFE"/>
      </bottom>
    </border>
    <border>
      <left style="medium">
        <color rgb="FFFEFEFE"/>
      </left>
      <right style="medium">
        <color rgb="FFFEFEFE"/>
      </right>
      <top style="thin">
        <color rgb="FFFEFEFE"/>
      </top>
    </border>
    <border>
      <left style="medium">
        <color rgb="FFFEFEFE"/>
      </left>
      <right style="medium">
        <color rgb="FFFEFEFE"/>
      </right>
      <top style="medium">
        <color rgb="FFFEFEFE"/>
      </top>
      <bottom style="thin">
        <color rgb="FFFEFEFE"/>
      </bottom>
    </border>
    <border>
      <left style="medium">
        <color rgb="FFFEFEFE"/>
      </left>
      <right style="medium">
        <color rgb="FFFEFEFE"/>
      </right>
      <bottom style="medium">
        <color rgb="FFFEFEFE"/>
      </bottom>
    </border>
    <border>
      <left style="medium">
        <color rgb="FFFEFEFE"/>
      </left>
      <right style="thin">
        <color rgb="FFFEFEFE"/>
      </right>
      <bottom style="thin">
        <color rgb="FFFEFEFE"/>
      </bottom>
    </border>
    <border>
      <left style="medium">
        <color rgb="FFFEFEFE"/>
      </left>
      <right style="thin">
        <color rgb="FFFEFEFE"/>
      </right>
      <top style="thin">
        <color rgb="FFFEFEFE"/>
      </top>
    </border>
    <border>
      <left style="thin">
        <color rgb="FFFEFEFE"/>
      </left>
      <right style="medium">
        <color rgb="FFFEFEFE"/>
      </right>
      <top style="thin">
        <color rgb="FFFEFEFE"/>
      </top>
    </border>
    <border>
      <left style="thin">
        <color rgb="FFFEFEFE"/>
      </left>
      <right style="thin">
        <color rgb="FFFEFEFE"/>
      </right>
      <top style="medium">
        <color rgb="FFFEFEFE"/>
      </top>
      <bottom style="thin">
        <color rgb="FFFEFEFE"/>
      </bottom>
    </border>
    <border>
      <left style="medium">
        <color rgb="FFFEFEFE"/>
      </left>
      <right style="thin">
        <color rgb="FFFEFEFE"/>
      </right>
      <top style="thin">
        <color rgb="FFFEFEFE"/>
      </top>
      <bottom style="thin">
        <color rgb="FFFEFEFE"/>
      </bottom>
    </border>
    <border>
      <left style="thin">
        <color rgb="FFFEFEFE"/>
      </left>
      <right style="medium">
        <color rgb="FFFEFEFE"/>
      </right>
      <top style="thin">
        <color rgb="FFFEFEFE"/>
      </top>
      <bottom style="thin">
        <color rgb="FFFEFEFE"/>
      </bottom>
    </border>
    <border>
      <right style="medium">
        <color rgb="FFFEFEFE"/>
      </right>
      <bottom style="thin">
        <color rgb="FFFEFEFE"/>
      </bottom>
    </border>
    <border>
      <right style="medium">
        <color rgb="FFFEFEFE"/>
      </right>
      <top style="thin">
        <color rgb="FFFEFEFE"/>
      </top>
      <bottom style="thin">
        <color rgb="FFFEFEFE"/>
      </bottom>
    </border>
    <border>
      <left style="medium">
        <color rgb="FFFEFEFE"/>
      </left>
      <right style="thin">
        <color rgb="FFFEFEFE"/>
      </right>
      <top style="thin">
        <color rgb="FFFEFEFE"/>
      </top>
      <bottom style="medium">
        <color rgb="FFFEFEFE"/>
      </bottom>
    </border>
    <border>
      <left style="thin">
        <color rgb="FFFEFEFE"/>
      </left>
      <right style="thin">
        <color rgb="FFFEFEFE"/>
      </right>
      <top style="thin">
        <color rgb="FFFEFEFE"/>
      </top>
      <bottom style="medium">
        <color rgb="FFFEFEFE"/>
      </bottom>
    </border>
    <border>
      <left style="thin">
        <color rgb="FFFEFEFE"/>
      </left>
      <top style="thin">
        <color rgb="FFFEFEFE"/>
      </top>
      <bottom style="medium">
        <color rgb="FFFEFEFE"/>
      </bottom>
    </border>
    <border>
      <left style="thick">
        <color rgb="FFFF0000"/>
      </left>
    </border>
    <border>
      <left style="medium">
        <color rgb="FFFEFEFE"/>
      </left>
      <top style="medium">
        <color rgb="FFFEFEFE"/>
      </top>
    </border>
    <border>
      <top style="medium">
        <color rgb="FFFEFEFE"/>
      </top>
    </border>
    <border>
      <right style="medium">
        <color rgb="FFFEFEFE"/>
      </right>
      <top style="medium">
        <color rgb="FFFEFEFE"/>
      </top>
    </border>
    <border>
      <left style="medium">
        <color rgb="FFFEFEFE"/>
      </left>
      <bottom style="medium">
        <color rgb="FFFEFEFE"/>
      </bottom>
    </border>
    <border>
      <bottom style="medium">
        <color rgb="FFFEFEFE"/>
      </bottom>
    </border>
    <border>
      <right style="medium">
        <color rgb="FFFEFEFE"/>
      </right>
      <top style="thin">
        <color rgb="FFFEFEFE"/>
      </top>
      <bottom style="medium">
        <color rgb="FFFEFEFE"/>
      </bottom>
    </border>
    <border>
      <right style="medium">
        <color rgb="FFFF0000"/>
      </right>
      <top style="medium">
        <color rgb="FFFF0000"/>
      </top>
      <bottom style="medium">
        <color rgb="FFFF0000"/>
      </bottom>
    </border>
    <border>
      <right style="thin">
        <color rgb="FFFEFEFE"/>
      </right>
      <top style="medium">
        <color rgb="FFFEFEFE"/>
      </top>
      <bottom style="medium">
        <color rgb="FFFEFEFE"/>
      </bottom>
    </border>
    <border>
      <bottom style="medium">
        <color rgb="FFFF0000"/>
      </bottom>
    </border>
    <border>
      <right style="medium">
        <color rgb="FFFF0000"/>
      </right>
    </border>
    <border>
      <left style="medium">
        <color rgb="FFFEFEFE"/>
      </left>
      <top style="thin">
        <color rgb="FFFEFEFE"/>
      </top>
      <bottom style="thin">
        <color rgb="FFFEFEFE"/>
      </bottom>
    </border>
    <border>
      <left style="thin">
        <color rgb="FFFEFEFE"/>
      </left>
      <right style="medium">
        <color rgb="FFFEFEFE"/>
      </right>
      <top style="thin">
        <color rgb="FFFEFEFE"/>
      </top>
      <bottom style="medium">
        <color rgb="FFFEFEFE"/>
      </bottom>
    </border>
    <border>
      <left style="medium">
        <color rgb="FFFEFEFE"/>
      </left>
      <top style="medium">
        <color rgb="FFFEFEFE"/>
      </top>
      <bottom style="medium">
        <color rgb="FFFEFEFE"/>
      </bottom>
    </border>
    <border>
      <top style="medium">
        <color rgb="FFFEFEFE"/>
      </top>
      <bottom style="medium">
        <color rgb="FFFEFEFE"/>
      </bottom>
    </border>
    <border>
      <left style="medium">
        <color rgb="FFFF0000"/>
      </left>
      <top style="medium">
        <color rgb="FFFF0000"/>
      </top>
      <bottom style="medium">
        <color rgb="FFFF0000"/>
      </bottom>
    </border>
    <border>
      <right style="medium">
        <color rgb="FFFEFEFE"/>
      </right>
      <top style="medium">
        <color rgb="FFFEFEFE"/>
      </top>
      <bottom style="medium">
        <color rgb="FFFEFEFE"/>
      </bottom>
    </border>
    <border>
      <top style="medium">
        <color rgb="FFFF0000"/>
      </top>
      <bottom style="medium">
        <color rgb="FFFF0000"/>
      </bottom>
    </border>
    <border>
      <left style="medium">
        <color rgb="FFFF0000"/>
      </left>
      <right style="medium">
        <color rgb="FFFF0000"/>
      </right>
      <top style="medium">
        <color rgb="FFFF0000"/>
      </top>
    </border>
    <border>
      <left style="medium">
        <color rgb="FFFF0000"/>
      </left>
      <right style="medium">
        <color rgb="FFFF0000"/>
      </right>
    </border>
    <border>
      <left style="medium">
        <color rgb="FFFF0000"/>
      </left>
      <right style="medium">
        <color rgb="FFFF0000"/>
      </right>
      <bottom style="medium">
        <color rgb="FFFF0000"/>
      </bottom>
    </border>
    <border>
      <left style="medium">
        <color rgb="FFFEFEFE"/>
      </left>
      <top style="medium">
        <color rgb="FFFEFEFE"/>
      </top>
      <bottom style="thin">
        <color rgb="FFFEFEFE"/>
      </bottom>
    </border>
    <border>
      <left style="thin">
        <color rgb="FFFEFEFE"/>
      </left>
      <top style="medium">
        <color rgb="FFFEFEFE"/>
      </top>
      <bottom style="thin">
        <color rgb="FFFEFEFE"/>
      </bottom>
    </border>
    <border>
      <left style="medium">
        <color rgb="FFFEFEFE"/>
      </left>
      <top style="thin">
        <color rgb="FFFEFEFE"/>
      </top>
      <bottom style="medium">
        <color rgb="FFFEFEFE"/>
      </bottom>
    </border>
    <border>
      <left style="medium">
        <color rgb="FFFEFEFE"/>
      </left>
      <right style="thin">
        <color rgb="FFFEFEFE"/>
      </right>
      <bottom style="medium">
        <color rgb="FFFEFEFE"/>
      </bottom>
    </border>
    <border>
      <left style="thin">
        <color rgb="FFFEFEFE"/>
      </left>
      <right style="thin">
        <color rgb="FFFEFEFE"/>
      </right>
      <bottom style="medium">
        <color rgb="FFFEFEFE"/>
      </bottom>
    </border>
    <border>
      <left style="thin">
        <color rgb="FFFEFEFE"/>
      </left>
      <bottom style="medium">
        <color rgb="FFFEFEFE"/>
      </bottom>
    </border>
    <border>
      <left style="medium">
        <color rgb="FFFEFEFE"/>
      </left>
      <right style="thin">
        <color rgb="FFFEFEFE"/>
      </right>
    </border>
    <border>
      <left style="medium">
        <color rgb="FFFEFEFE"/>
      </left>
      <bottom style="thin">
        <color rgb="FFFEFEFE"/>
      </bottom>
    </border>
    <border>
      <left style="medium">
        <color rgb="FFFEFEFE"/>
      </left>
      <top style="thin">
        <color rgb="FFFEFEFE"/>
      </top>
    </border>
    <border>
      <left style="thin">
        <color rgb="FFFEFEFE"/>
      </left>
      <top style="medium">
        <color rgb="FFFEFEFE"/>
      </top>
      <bottom style="medium">
        <color rgb="FFFEFEFE"/>
      </bottom>
    </border>
    <border>
      <left style="thin">
        <color rgb="FFFEFEFE"/>
      </left>
      <top style="medium">
        <color rgb="FFFEFEFE"/>
      </top>
    </border>
    <border>
      <left style="medium">
        <color rgb="FFFF6600"/>
      </left>
      <top style="medium">
        <color rgb="FFFF6600"/>
      </top>
      <bottom style="medium">
        <color rgb="FFFF6600"/>
      </bottom>
    </border>
    <border>
      <right style="medium">
        <color rgb="FFFF6600"/>
      </right>
      <top style="medium">
        <color rgb="FFFF6600"/>
      </top>
      <bottom style="medium">
        <color rgb="FFFF6600"/>
      </bottom>
    </border>
    <border>
      <left style="medium">
        <color rgb="FFFF6600"/>
      </left>
      <top style="medium">
        <color rgb="FFFF6600"/>
      </top>
      <bottom style="medium">
        <color rgb="FFFF0000"/>
      </bottom>
    </border>
    <border>
      <right style="medium">
        <color rgb="FFFF6600"/>
      </right>
      <top style="medium">
        <color rgb="FFFF6600"/>
      </top>
      <bottom style="medium">
        <color rgb="FFFF0000"/>
      </bottom>
    </border>
    <border>
      <left style="medium">
        <color rgb="FFFF0000"/>
      </left>
      <right style="medium">
        <color rgb="FFFF0000"/>
      </right>
      <top style="medium">
        <color rgb="FFFF0000"/>
      </top>
      <bottom style="medium">
        <color rgb="FFFF0000"/>
      </bottom>
    </border>
    <border>
      <left style="medium">
        <color rgb="FFFF0000"/>
      </left>
    </border>
    <border>
      <left style="medium">
        <color rgb="FFFF6600"/>
      </left>
    </border>
    <border>
      <left style="medium">
        <color rgb="FF008080"/>
      </left>
      <right style="medium">
        <color rgb="FF008080"/>
      </right>
      <top style="medium">
        <color rgb="FF008080"/>
      </top>
      <bottom style="medium">
        <color rgb="FF008080"/>
      </bottom>
    </border>
    <border>
      <left style="thin">
        <color rgb="FF333399"/>
      </left>
      <right style="thin">
        <color rgb="FF333399"/>
      </right>
      <top style="thin">
        <color rgb="FF333399"/>
      </top>
      <bottom style="thin">
        <color rgb="FF333399"/>
      </bottom>
    </border>
    <border>
      <left style="medium">
        <color rgb="FF008080"/>
      </left>
      <right style="medium">
        <color rgb="FF008080"/>
      </right>
      <bottom style="medium">
        <color rgb="FF008080"/>
      </bottom>
    </border>
    <border>
      <right style="medium">
        <color rgb="FF008080"/>
      </right>
      <bottom style="medium">
        <color rgb="FF008080"/>
      </bottom>
    </border>
    <border>
      <left style="thin">
        <color rgb="FF333399"/>
      </left>
    </border>
    <border>
      <left style="medium">
        <color rgb="FF008080"/>
      </left>
      <right style="medium">
        <color rgb="FF008080"/>
      </right>
    </border>
    <border>
      <right style="medium">
        <color rgb="FF008080"/>
      </right>
    </border>
    <border>
      <left style="thin">
        <color rgb="FF333333"/>
      </left>
      <right style="thin">
        <color rgb="FF333333"/>
      </right>
      <top style="thin">
        <color rgb="FF333333"/>
      </top>
    </border>
    <border>
      <left style="thin">
        <color rgb="FF333333"/>
      </left>
      <right style="thin">
        <color rgb="FF333333"/>
      </right>
    </border>
    <border>
      <left style="thin">
        <color rgb="FF333333"/>
      </left>
      <right style="thin">
        <color rgb="FF333333"/>
      </right>
      <top style="thin">
        <color rgb="FF333333"/>
      </top>
      <bottom style="thin">
        <color rgb="FF333333"/>
      </bottom>
    </border>
    <border>
      <left style="medium">
        <color rgb="FF969696"/>
      </left>
      <top style="medium">
        <color rgb="FF969696"/>
      </top>
      <bottom style="medium">
        <color rgb="FF969696"/>
      </bottom>
    </border>
    <border>
      <top style="medium">
        <color rgb="FF969696"/>
      </top>
      <bottom style="medium">
        <color rgb="FF969696"/>
      </bottom>
    </border>
    <border>
      <right style="medium">
        <color rgb="FF969696"/>
      </right>
      <top style="medium">
        <color rgb="FF969696"/>
      </top>
      <bottom style="medium">
        <color rgb="FF969696"/>
      </bottom>
    </border>
    <border>
      <left style="medium">
        <color rgb="FF99CCFF"/>
      </left>
      <right style="medium">
        <color rgb="FF99CCFF"/>
      </right>
      <top style="medium">
        <color rgb="FF969696"/>
      </top>
      <bottom style="medium">
        <color rgb="FF99CCFF"/>
      </bottom>
    </border>
    <border>
      <right style="medium">
        <color rgb="FF99CCFF"/>
      </right>
      <bottom style="medium">
        <color rgb="FF99CCFF"/>
      </bottom>
    </border>
    <border>
      <left style="medium">
        <color rgb="FF99CCFF"/>
      </left>
      <right style="medium">
        <color rgb="FF99CCFF"/>
      </right>
      <bottom style="medium">
        <color rgb="FF99CCFF"/>
      </bottom>
    </border>
    <border>
      <left style="medium">
        <color rgb="FF99CCFF"/>
      </left>
      <right style="medium">
        <color rgb="FF99CCFF"/>
      </right>
      <top style="medium">
        <color rgb="FF99CCFF"/>
      </top>
      <bottom style="medium">
        <color rgb="FF99CCFF"/>
      </bottom>
    </border>
    <border>
      <left style="medium">
        <color rgb="FFFF6600"/>
      </left>
      <right style="medium">
        <color rgb="FFFF6600"/>
      </right>
      <top style="medium">
        <color rgb="FFFF6600"/>
      </top>
      <bottom style="medium">
        <color rgb="FFFF6600"/>
      </bottom>
    </border>
    <border>
      <top style="medium">
        <color rgb="FFFF6600"/>
      </top>
      <bottom style="medium">
        <color rgb="FFFF6600"/>
      </bottom>
    </border>
    <border>
      <left style="medium">
        <color rgb="FFFF6600"/>
      </left>
      <right style="medium">
        <color rgb="FFFF6600"/>
      </right>
      <top style="medium">
        <color rgb="FFFF6600"/>
      </top>
    </border>
    <border>
      <left style="medium">
        <color rgb="FFFF6600"/>
      </left>
      <top style="medium">
        <color rgb="FFFF6600"/>
      </top>
    </border>
    <border>
      <top style="medium">
        <color rgb="FFFF6600"/>
      </top>
    </border>
    <border>
      <right style="medium">
        <color rgb="FFFF6600"/>
      </right>
      <top style="medium">
        <color rgb="FFFF6600"/>
      </top>
    </border>
    <border>
      <right style="medium">
        <color rgb="FFFF6600"/>
      </right>
    </border>
    <border>
      <left style="medium">
        <color rgb="FFFF6600"/>
      </left>
      <bottom style="medium">
        <color rgb="FFFF6600"/>
      </bottom>
    </border>
    <border>
      <bottom style="medium">
        <color rgb="FFFF6600"/>
      </bottom>
    </border>
    <border>
      <right style="medium">
        <color rgb="FFFF6600"/>
      </right>
      <bottom style="medium">
        <color rgb="FFFF6600"/>
      </bottom>
    </border>
    <border>
      <left style="medium">
        <color rgb="FFFF6600"/>
      </left>
      <right style="medium">
        <color rgb="FFFF6600"/>
      </right>
      <bottom style="medium">
        <color rgb="FFFF6600"/>
      </bottom>
    </border>
    <border>
      <left style="thin">
        <color rgb="FFFEFEFE"/>
      </left>
      <right style="thin">
        <color rgb="FFCC99FF"/>
      </right>
      <top style="thin">
        <color rgb="FFFEFEFE"/>
      </top>
    </border>
    <border>
      <right style="thin">
        <color rgb="FFCC99FF"/>
      </right>
    </border>
    <border>
      <bottom style="thin">
        <color rgb="FF0000FF"/>
      </bottom>
    </border>
    <border>
      <top style="thin">
        <color rgb="FF0000FF"/>
      </top>
    </border>
    <border>
      <right style="thin">
        <color rgb="FF0000FF"/>
      </right>
    </border>
    <border>
      <left style="thin">
        <color rgb="FFCC99FF"/>
      </left>
    </border>
    <border>
      <top style="medium">
        <color rgb="FFFEFEFE"/>
      </top>
      <bottom style="thin">
        <color rgb="FFFEFEFE"/>
      </bottom>
    </border>
    <border>
      <left style="thin">
        <color rgb="FF000000"/>
      </left>
      <right style="thin">
        <color rgb="FF000000"/>
      </right>
      <top style="thin">
        <color rgb="FF000000"/>
      </top>
      <bottom style="thin">
        <color rgb="FF000000"/>
      </bottom>
    </border>
    <border>
      <left style="medium">
        <color rgb="FF000000"/>
      </left>
      <right style="medium">
        <color rgb="FF000000"/>
      </right>
      <top style="medium">
        <color rgb="FF000000"/>
      </top>
      <bottom style="medium">
        <color rgb="FF000000"/>
      </bottom>
    </border>
  </borders>
  <cellStyleXfs count="1">
    <xf numFmtId="0" fontId="0" fillId="0" borderId="0"/>
  </cellStyleXfs>
  <cellXfs count="1930">
    <xf numFmtId="0" fontId="0" fillId="0" borderId="0" xfId="0"/>
    <xf numFmtId="164" fontId="1" fillId="0" borderId="0" xfId="0" applyFont="1" applyNumberFormat="1" applyAlignment="1">
      <alignment textRotation="0" horizontal="center" vertical="center" indent="0" wrapText="1"/>
    </xf>
    <xf numFmtId="164" fontId="2" fillId="2" borderId="0" xfId="0" applyFont="1" applyNumberFormat="1" applyFill="1" applyAlignment="1">
      <alignment textRotation="0" horizontal="general" vertical="center" indent="0" wrapText="1"/>
    </xf>
    <xf numFmtId="164" fontId="1" fillId="0" borderId="1" xfId="0" applyFont="1" applyNumberFormat="1" applyBorder="1" applyAlignment="1">
      <alignment textRotation="0" horizontal="center" vertical="center" indent="0" wrapText="1"/>
    </xf>
    <xf numFmtId="164" fontId="2" fillId="0" borderId="0" xfId="0" applyFont="1" applyNumberFormat="1" applyAlignment="1">
      <alignment textRotation="0" horizontal="general" vertical="center" indent="0" wrapText="1"/>
    </xf>
    <xf numFmtId="164" fontId="2" fillId="0" borderId="0" xfId="0" applyFont="1" applyNumberFormat="1" applyAlignment="1">
      <alignment textRotation="0" horizontal="center" vertical="center" indent="0" wrapText="1"/>
    </xf>
    <xf numFmtId="164" fontId="2" fillId="3" borderId="0" xfId="0" applyFont="1" applyNumberFormat="1" applyFill="1" applyAlignment="1">
      <alignment textRotation="0" horizontal="general" vertical="center" indent="0" wrapText="1"/>
    </xf>
    <xf numFmtId="164" fontId="2" fillId="0" borderId="0" xfId="0" applyFont="1" applyNumberFormat="1" applyAlignment="1">
      <alignment textRotation="0" horizontal="justify" vertical="center" indent="0" wrapText="1"/>
    </xf>
    <xf numFmtId="164" fontId="1" fillId="0" borderId="0" xfId="0" applyFont="1" applyNumberFormat="1" applyAlignment="1">
      <alignment textRotation="0" horizontal="general" vertical="center" indent="0" wrapText="1"/>
    </xf>
    <xf numFmtId="164" fontId="3" fillId="0" borderId="0" xfId="0" applyFont="1" applyNumberFormat="1" applyAlignment="1">
      <alignment textRotation="0" horizontal="general" vertical="bottom" indent="0"/>
    </xf>
    <xf numFmtId="164" fontId="3" fillId="0" borderId="0" xfId="0" applyFont="1" applyNumberFormat="1" applyAlignment="1">
      <alignment textRotation="0" horizontal="general" vertical="bottom" indent="0" wrapText="1"/>
    </xf>
    <xf numFmtId="164" fontId="4" fillId="4" borderId="0" xfId="0" applyFont="1" applyNumberFormat="1" applyFill="1" applyAlignment="1">
      <alignment textRotation="0" horizontal="center" vertical="center" indent="0"/>
    </xf>
    <xf numFmtId="164" fontId="5" fillId="0" borderId="0" xfId="0" applyFont="1" applyNumberFormat="1" applyAlignment="1">
      <alignment textRotation="0" horizontal="general" vertical="bottom" indent="0"/>
    </xf>
    <xf numFmtId="164" fontId="3" fillId="0" borderId="0" xfId="0" applyFont="1" applyNumberFormat="1" applyAlignment="1">
      <alignment textRotation="0" horizontal="right" vertical="bottom" indent="0"/>
    </xf>
    <xf numFmtId="164" fontId="3" fillId="0" borderId="0" xfId="0" applyFont="1" applyNumberFormat="1" applyAlignment="1">
      <alignment textRotation="0" horizontal="left" vertical="bottom" indent="0"/>
    </xf>
    <xf numFmtId="165" fontId="3" fillId="0" borderId="0" xfId="0" applyFont="1" applyNumberFormat="1" applyAlignment="1">
      <alignment textRotation="0" horizontal="left" vertical="bottom" indent="0"/>
    </xf>
    <xf numFmtId="164" fontId="6" fillId="0" borderId="0" xfId="0" applyFont="1" applyNumberFormat="1" applyAlignment="1">
      <alignment textRotation="0" horizontal="left" vertical="center" indent="0"/>
    </xf>
    <xf numFmtId="164" fontId="3" fillId="5" borderId="0" xfId="0" applyFont="1" applyNumberFormat="1" applyFill="1" applyAlignment="1">
      <alignment textRotation="0" horizontal="general" vertical="bottom" indent="0"/>
    </xf>
    <xf numFmtId="164" fontId="7" fillId="6" borderId="0" xfId="0" applyFont="1" applyNumberFormat="1" applyFill="1" applyAlignment="1">
      <alignment textRotation="0" horizontal="left" vertical="center" indent="0" wrapText="1"/>
    </xf>
    <xf numFmtId="164" fontId="3" fillId="7" borderId="0" xfId="0" applyFont="1" applyNumberFormat="1" applyFill="1" applyAlignment="1">
      <alignment textRotation="0" horizontal="general" vertical="bottom" indent="0"/>
    </xf>
    <xf numFmtId="164" fontId="3" fillId="0" borderId="0" xfId="0" applyFont="1" applyNumberFormat="1" applyAlignment="1">
      <alignment textRotation="0" horizontal="left" vertical="center" indent="0"/>
    </xf>
    <xf numFmtId="164" fontId="7" fillId="8" borderId="0" xfId="0" applyFont="1" applyNumberFormat="1" applyFill="1" applyAlignment="1">
      <alignment textRotation="0" horizontal="left" vertical="center" indent="0" wrapText="1"/>
    </xf>
    <xf numFmtId="164" fontId="3" fillId="0" borderId="0" xfId="0" applyFont="1" applyNumberFormat="1" applyAlignment="1">
      <alignment textRotation="0" horizontal="center" vertical="bottom" indent="0"/>
    </xf>
    <xf numFmtId="164" fontId="8" fillId="9" borderId="0" xfId="0" applyFont="1" applyNumberFormat="1" applyFill="1" applyAlignment="1">
      <alignment textRotation="0" horizontal="general" vertical="bottom" indent="0"/>
    </xf>
    <xf numFmtId="164" fontId="7" fillId="10" borderId="0" xfId="0" applyFont="1" applyNumberFormat="1" applyFill="1" applyAlignment="1">
      <alignment textRotation="0" horizontal="left" vertical="center" indent="0" wrapText="1"/>
    </xf>
    <xf numFmtId="164" fontId="3" fillId="11" borderId="0" xfId="0" applyFont="1" applyNumberFormat="1" applyFill="1" applyAlignment="1">
      <alignment textRotation="0" horizontal="general" vertical="bottom" indent="0"/>
    </xf>
    <xf numFmtId="164" fontId="7" fillId="12" borderId="0" xfId="0" applyFont="1" applyNumberFormat="1" applyFill="1" applyAlignment="1">
      <alignment textRotation="0" horizontal="left" vertical="center" indent="0" wrapText="1"/>
    </xf>
    <xf numFmtId="164" fontId="9" fillId="6" borderId="0" xfId="0" applyFont="1" applyNumberFormat="1" applyFill="1" applyAlignment="1">
      <alignment textRotation="0" horizontal="left" vertical="center" indent="0" wrapText="1"/>
    </xf>
    <xf numFmtId="164" fontId="3" fillId="13" borderId="0" xfId="0" applyFont="1" applyNumberFormat="1" applyFill="1" applyAlignment="1">
      <alignment textRotation="0" horizontal="general" vertical="bottom" indent="0"/>
    </xf>
    <xf numFmtId="164" fontId="3" fillId="0" borderId="0" xfId="0" applyFont="1" applyNumberFormat="1" applyAlignment="1">
      <alignment textRotation="0" horizontal="center" vertical="center" indent="0" wrapText="1"/>
    </xf>
    <xf numFmtId="164" fontId="7" fillId="14" borderId="0" xfId="0" applyFont="1" applyNumberFormat="1" applyFill="1" applyAlignment="1">
      <alignment textRotation="0" horizontal="left" vertical="bottom" indent="0" wrapText="1"/>
    </xf>
    <xf numFmtId="164" fontId="3" fillId="4" borderId="0" xfId="0" applyFont="1" applyNumberFormat="1" applyFill="1" applyAlignment="1">
      <alignment textRotation="0" horizontal="general" vertical="bottom" indent="0"/>
    </xf>
    <xf numFmtId="164" fontId="7" fillId="15" borderId="0" xfId="0" applyFont="1" applyNumberFormat="1" applyFill="1" applyAlignment="1">
      <alignment textRotation="0" horizontal="left" vertical="bottom" indent="0" wrapText="1"/>
    </xf>
    <xf numFmtId="164" fontId="3" fillId="16" borderId="0" xfId="0" applyFont="1" applyNumberFormat="1" applyFill="1" applyAlignment="1">
      <alignment textRotation="0" horizontal="general" vertical="bottom" indent="0"/>
    </xf>
    <xf numFmtId="164" fontId="3" fillId="0" borderId="2" xfId="0" applyFont="1" applyNumberFormat="1" applyBorder="1" applyAlignment="1">
      <alignment textRotation="0" horizontal="general" vertical="bottom" indent="0"/>
    </xf>
    <xf numFmtId="164" fontId="10" fillId="0" borderId="0" xfId="0" applyFont="1" applyNumberFormat="1" applyAlignment="1">
      <alignment textRotation="0" horizontal="left" vertical="center" indent="0" wrapText="1"/>
    </xf>
    <xf numFmtId="164" fontId="3" fillId="0" borderId="3" xfId="0" applyFont="1" applyNumberFormat="1" applyBorder="1" applyAlignment="1">
      <alignment textRotation="0" horizontal="general" vertical="bottom" indent="0"/>
    </xf>
    <xf numFmtId="164" fontId="3" fillId="0" borderId="0" xfId="0" applyFont="1" applyNumberFormat="1" applyAlignment="1">
      <alignment textRotation="0" horizontal="general" vertical="center" indent="0"/>
    </xf>
    <xf numFmtId="164" fontId="3" fillId="0" borderId="0" xfId="0" applyFont="1" applyNumberFormat="1" applyAlignment="1">
      <alignment textRotation="0" horizontal="general" vertical="center" indent="0" wrapText="1"/>
    </xf>
    <xf numFmtId="164" fontId="1" fillId="0" borderId="0" xfId="0" applyFont="1" applyNumberFormat="1" applyAlignment="1">
      <alignment textRotation="0" horizontal="left" vertical="bottom" indent="0"/>
    </xf>
    <xf numFmtId="164" fontId="11" fillId="0" borderId="0" xfId="0" applyFont="1" applyNumberFormat="1" applyAlignment="1">
      <alignment textRotation="0" horizontal="general" vertical="bottom" indent="0"/>
    </xf>
    <xf numFmtId="164" fontId="12" fillId="0" borderId="0" xfId="0" applyFont="1" applyNumberFormat="1" applyAlignment="1">
      <alignment textRotation="0" horizontal="general" vertical="bottom" indent="0"/>
    </xf>
    <xf numFmtId="164" fontId="7" fillId="15" borderId="0" xfId="0" applyFont="1" applyNumberFormat="1" applyFill="1" applyAlignment="1">
      <alignment textRotation="0" horizontal="general" vertical="bottom" indent="0"/>
    </xf>
    <xf numFmtId="164" fontId="13" fillId="0" borderId="0" xfId="0" applyFont="1" applyNumberFormat="1" applyAlignment="1">
      <alignment textRotation="0" horizontal="general" vertical="bottom" indent="0"/>
    </xf>
    <xf numFmtId="164" fontId="14" fillId="0" borderId="0" xfId="0" applyFont="1" applyNumberFormat="1" applyAlignment="1">
      <alignment textRotation="0" horizontal="general" vertical="bottom" indent="0"/>
    </xf>
    <xf numFmtId="164" fontId="12" fillId="0" borderId="0" xfId="0" applyFont="1" applyNumberFormat="1" applyAlignment="1">
      <alignment textRotation="0" horizontal="left" vertical="bottom" indent="0"/>
    </xf>
    <xf numFmtId="164" fontId="1" fillId="0" borderId="0" xfId="0" applyFont="1" applyNumberFormat="1" applyAlignment="1">
      <alignment textRotation="0" horizontal="general" vertical="bottom" indent="0"/>
    </xf>
    <xf numFmtId="164" fontId="15" fillId="4" borderId="4" xfId="0" applyFont="1" applyNumberFormat="1" applyFill="1" applyBorder="1" applyAlignment="1">
      <alignment textRotation="0" horizontal="general" vertical="bottom" indent="0"/>
    </xf>
    <xf numFmtId="164" fontId="15" fillId="4" borderId="5" xfId="0" applyFont="1" applyNumberFormat="1" applyFill="1" applyBorder="1" applyAlignment="1">
      <alignment textRotation="0" horizontal="general" vertical="bottom" indent="0"/>
    </xf>
    <xf numFmtId="164" fontId="16" fillId="4" borderId="6" xfId="0" applyFont="1" applyNumberFormat="1" applyFill="1" applyBorder="1" applyAlignment="1">
      <alignment textRotation="0" horizontal="center" vertical="center" indent="0" wrapText="1"/>
    </xf>
    <xf numFmtId="164" fontId="17" fillId="4" borderId="7" xfId="0" applyFont="1" applyNumberFormat="1" applyFill="1" applyBorder="1" applyAlignment="1">
      <alignment textRotation="0" horizontal="center" vertical="center" indent="0" wrapText="1"/>
    </xf>
    <xf numFmtId="164" fontId="16" fillId="4" borderId="8" xfId="0" applyFont="1" applyNumberFormat="1" applyFill="1" applyBorder="1" applyAlignment="1">
      <alignment textRotation="0" horizontal="center" vertical="center" indent="0" wrapText="1"/>
    </xf>
    <xf numFmtId="164" fontId="15" fillId="4" borderId="9" xfId="0" applyFont="1" applyNumberFormat="1" applyFill="1" applyBorder="1" applyAlignment="1">
      <alignment textRotation="0" horizontal="general" vertical="bottom" indent="0"/>
    </xf>
    <xf numFmtId="164" fontId="15" fillId="4" borderId="10" xfId="0" applyFont="1" applyNumberFormat="1" applyFill="1" applyBorder="1" applyAlignment="1">
      <alignment textRotation="0" horizontal="general" vertical="bottom" indent="0"/>
    </xf>
    <xf numFmtId="164" fontId="15" fillId="4" borderId="11" xfId="0" applyFont="1" applyNumberFormat="1" applyFill="1" applyBorder="1" applyAlignment="1">
      <alignment textRotation="0" horizontal="general" vertical="bottom" indent="0"/>
    </xf>
    <xf numFmtId="164" fontId="15" fillId="4" borderId="12" xfId="0" applyFont="1" applyNumberFormat="1" applyFill="1" applyBorder="1" applyAlignment="1">
      <alignment textRotation="0" horizontal="general" vertical="bottom" indent="0"/>
    </xf>
    <xf numFmtId="164" fontId="18" fillId="17" borderId="9" xfId="0" applyFont="1" applyNumberFormat="1" applyFill="1" applyBorder="1" applyAlignment="1">
      <alignment textRotation="0" horizontal="center" vertical="center" indent="0"/>
    </xf>
    <xf numFmtId="164" fontId="15" fillId="0" borderId="6" xfId="0" applyFont="1" applyNumberFormat="1" applyBorder="1" applyAlignment="1">
      <alignment textRotation="0" horizontal="general" vertical="bottom" indent="0"/>
    </xf>
    <xf numFmtId="164" fontId="15" fillId="0" borderId="10" xfId="0" applyFont="1" applyNumberFormat="1" applyBorder="1" applyAlignment="1">
      <alignment textRotation="0" horizontal="general" vertical="bottom" indent="0"/>
    </xf>
    <xf numFmtId="164" fontId="15" fillId="0" borderId="8" xfId="0" applyFont="1" applyNumberFormat="1" applyBorder="1" applyAlignment="1">
      <alignment textRotation="0" horizontal="general" vertical="bottom" indent="0"/>
    </xf>
    <xf numFmtId="164" fontId="19" fillId="15" borderId="13" xfId="0" applyFont="1" applyNumberFormat="1" applyFill="1" applyBorder="1" applyAlignment="1">
      <alignment textRotation="0" horizontal="general" vertical="bottom" indent="0"/>
    </xf>
    <xf numFmtId="164" fontId="19" fillId="0" borderId="14" xfId="0" applyFont="1" applyNumberFormat="1" applyBorder="1" applyAlignment="1">
      <alignment textRotation="0" horizontal="left" vertical="top" indent="0" wrapText="1"/>
    </xf>
    <xf numFmtId="164" fontId="15" fillId="15" borderId="6" xfId="0" applyFont="1" applyNumberFormat="1" applyFill="1" applyBorder="1" applyAlignment="1">
      <alignment textRotation="0" horizontal="general" vertical="bottom" indent="0"/>
    </xf>
    <xf numFmtId="164" fontId="15" fillId="15" borderId="7" xfId="0" applyFont="1" applyNumberFormat="1" applyFill="1" applyBorder="1" applyAlignment="1">
      <alignment textRotation="0" horizontal="general" vertical="bottom" indent="0"/>
    </xf>
    <xf numFmtId="164" fontId="15" fillId="15" borderId="8" xfId="0" applyFont="1" applyNumberFormat="1" applyFill="1" applyBorder="1" applyAlignment="1">
      <alignment textRotation="0" horizontal="center" vertical="bottom" indent="0"/>
    </xf>
    <xf numFmtId="164" fontId="19" fillId="15" borderId="15" xfId="0" applyFont="1" applyNumberFormat="1" applyFill="1" applyBorder="1" applyAlignment="1">
      <alignment textRotation="0" horizontal="general" vertical="bottom" indent="0"/>
    </xf>
    <xf numFmtId="164" fontId="19" fillId="0" borderId="14" xfId="0" applyFont="1" applyNumberFormat="1" applyBorder="1" applyAlignment="1">
      <alignment textRotation="0" horizontal="left" vertical="top" indent="0"/>
    </xf>
    <xf numFmtId="164" fontId="19" fillId="0" borderId="16" xfId="0" applyFont="1" applyNumberFormat="1" applyBorder="1" applyAlignment="1">
      <alignment textRotation="0" horizontal="left" vertical="top" indent="0"/>
    </xf>
    <xf numFmtId="164" fontId="15" fillId="0" borderId="7" xfId="0" applyFont="1" applyNumberFormat="1" applyBorder="1" applyAlignment="1">
      <alignment textRotation="0" horizontal="general" vertical="bottom" indent="0"/>
    </xf>
    <xf numFmtId="164" fontId="19" fillId="15" borderId="17" xfId="0" applyFont="1" applyNumberFormat="1" applyFill="1" applyBorder="1" applyAlignment="1">
      <alignment textRotation="0" horizontal="general" vertical="bottom" indent="0"/>
    </xf>
    <xf numFmtId="164" fontId="18" fillId="17" borderId="18" xfId="0" applyFont="1" applyNumberFormat="1" applyFill="1" applyBorder="1" applyAlignment="1">
      <alignment textRotation="0" horizontal="center" vertical="center" indent="0"/>
    </xf>
    <xf numFmtId="164" fontId="15" fillId="0" borderId="19" xfId="0" applyFont="1" applyNumberFormat="1" applyBorder="1" applyAlignment="1">
      <alignment textRotation="0" horizontal="general" vertical="bottom" indent="0"/>
    </xf>
    <xf numFmtId="164" fontId="20" fillId="0" borderId="20" xfId="0" applyFont="1" applyNumberFormat="1" applyBorder="1" applyAlignment="1">
      <alignment textRotation="0" horizontal="center" vertical="bottom" indent="0"/>
    </xf>
    <xf numFmtId="164" fontId="19" fillId="0" borderId="16" xfId="0" applyFont="1" applyNumberFormat="1" applyBorder="1" applyAlignment="1">
      <alignment textRotation="0" horizontal="center" vertical="top" indent="0"/>
    </xf>
    <xf numFmtId="164" fontId="15" fillId="0" borderId="16" xfId="0" applyFont="1" applyNumberFormat="1" applyBorder="1" applyAlignment="1">
      <alignment textRotation="0" horizontal="general" vertical="bottom" indent="0"/>
    </xf>
    <xf numFmtId="164" fontId="19" fillId="0" borderId="4" xfId="0" applyFont="1" applyNumberFormat="1" applyBorder="1" applyAlignment="1">
      <alignment textRotation="0" horizontal="left" vertical="top" indent="0"/>
    </xf>
    <xf numFmtId="164" fontId="18" fillId="17" borderId="13" xfId="0" applyFont="1" applyNumberFormat="1" applyFill="1" applyBorder="1" applyAlignment="1">
      <alignment textRotation="0" horizontal="center" vertical="center" indent="0"/>
    </xf>
    <xf numFmtId="164" fontId="15" fillId="15" borderId="16" xfId="0" applyFont="1" applyNumberFormat="1" applyFill="1" applyBorder="1" applyAlignment="1">
      <alignment textRotation="0" horizontal="center" vertical="bottom" indent="0"/>
    </xf>
    <xf numFmtId="164" fontId="19" fillId="0" borderId="21" xfId="0" applyFont="1" applyNumberFormat="1" applyBorder="1" applyAlignment="1">
      <alignment textRotation="0" horizontal="left" vertical="top" indent="0"/>
    </xf>
    <xf numFmtId="164" fontId="15" fillId="15" borderId="22" xfId="0" applyFont="1" applyNumberFormat="1" applyFill="1" applyBorder="1" applyAlignment="1">
      <alignment textRotation="0" horizontal="general" vertical="bottom" indent="0"/>
    </xf>
    <xf numFmtId="164" fontId="15" fillId="0" borderId="5" xfId="0" applyFont="1" applyNumberFormat="1" applyBorder="1" applyAlignment="1">
      <alignment textRotation="0" horizontal="general" vertical="bottom" indent="0"/>
    </xf>
    <xf numFmtId="164" fontId="15" fillId="15" borderId="22" xfId="0" applyFont="1" applyNumberFormat="1" applyFill="1" applyBorder="1" applyAlignment="1">
      <alignment textRotation="0" horizontal="center" vertical="bottom" indent="0"/>
    </xf>
    <xf numFmtId="164" fontId="15" fillId="15" borderId="5" xfId="0" applyFont="1" applyNumberFormat="1" applyFill="1" applyBorder="1" applyAlignment="1">
      <alignment textRotation="0" horizontal="general" vertical="bottom" indent="0"/>
    </xf>
    <xf numFmtId="164" fontId="19" fillId="0" borderId="21" xfId="0" applyFont="1" applyNumberFormat="1" applyBorder="1" applyAlignment="1">
      <alignment textRotation="0" horizontal="general" vertical="bottom" indent="0"/>
    </xf>
    <xf numFmtId="164" fontId="15" fillId="0" borderId="21" xfId="0" applyFont="1" applyNumberFormat="1" applyBorder="1" applyAlignment="1">
      <alignment textRotation="0" horizontal="general" vertical="bottom" indent="0"/>
    </xf>
    <xf numFmtId="164" fontId="15" fillId="0" borderId="21" xfId="0" applyFont="1" applyNumberFormat="1" applyBorder="1" applyAlignment="1">
      <alignment textRotation="0" horizontal="center" vertical="bottom" indent="0"/>
    </xf>
    <xf numFmtId="164" fontId="21" fillId="4" borderId="17" xfId="0" applyFont="1" applyNumberFormat="1" applyFill="1" applyBorder="1" applyAlignment="1">
      <alignment textRotation="0" horizontal="center" vertical="center" indent="0" wrapText="1"/>
    </xf>
    <xf numFmtId="164" fontId="21" fillId="4" borderId="11" xfId="0" applyFont="1" applyNumberFormat="1" applyFill="1" applyBorder="1" applyAlignment="1">
      <alignment textRotation="0" horizontal="center" vertical="center" indent="0" wrapText="1"/>
    </xf>
    <xf numFmtId="164" fontId="15" fillId="4" borderId="14" xfId="0" applyFont="1" applyNumberFormat="1" applyFill="1" applyBorder="1" applyAlignment="1">
      <alignment textRotation="0" horizontal="center" vertical="center" indent="0" wrapText="1"/>
    </xf>
    <xf numFmtId="164" fontId="15" fillId="4" borderId="7" xfId="0" applyFont="1" applyNumberFormat="1" applyFill="1" applyBorder="1" applyAlignment="1">
      <alignment textRotation="0" horizontal="center" vertical="center" indent="0" wrapText="1"/>
    </xf>
    <xf numFmtId="164" fontId="15" fillId="4" borderId="16" xfId="0" applyFont="1" applyNumberFormat="1" applyFill="1" applyBorder="1" applyAlignment="1">
      <alignment textRotation="0" horizontal="center" vertical="center" indent="0" wrapText="1"/>
    </xf>
    <xf numFmtId="164" fontId="18" fillId="17" borderId="14" xfId="0" applyFont="1" applyNumberFormat="1" applyFill="1" applyBorder="1" applyAlignment="1">
      <alignment textRotation="0" horizontal="general" vertical="center" indent="0"/>
    </xf>
    <xf numFmtId="164" fontId="18" fillId="17" borderId="7" xfId="0" applyFont="1" applyNumberFormat="1" applyFill="1" applyBorder="1" applyAlignment="1">
      <alignment textRotation="0" horizontal="general" vertical="center" indent="0"/>
    </xf>
    <xf numFmtId="164" fontId="19" fillId="0" borderId="11" xfId="0" applyFont="1" applyNumberFormat="1" applyBorder="1" applyAlignment="1">
      <alignment textRotation="0" horizontal="left" vertical="top" indent="0" wrapText="1"/>
    </xf>
    <xf numFmtId="164" fontId="15" fillId="15" borderId="11" xfId="0" applyFont="1" applyNumberFormat="1" applyFill="1" applyBorder="1" applyAlignment="1">
      <alignment textRotation="0" horizontal="general" vertical="bottom" indent="0"/>
    </xf>
    <xf numFmtId="164" fontId="15" fillId="15" borderId="12" xfId="0" applyFont="1" applyNumberFormat="1" applyFill="1" applyBorder="1" applyAlignment="1">
      <alignment textRotation="0" horizontal="general" vertical="bottom" indent="0"/>
    </xf>
    <xf numFmtId="164" fontId="15" fillId="15" borderId="11" xfId="0" applyFont="1" applyNumberFormat="1" applyFill="1" applyBorder="1" applyAlignment="1">
      <alignment textRotation="0" horizontal="center" vertical="bottom" indent="0"/>
    </xf>
    <xf numFmtId="164" fontId="15" fillId="15" borderId="23" xfId="0" applyFont="1" applyNumberFormat="1" applyFill="1" applyBorder="1" applyAlignment="1">
      <alignment textRotation="0" horizontal="center" vertical="bottom" indent="0"/>
    </xf>
    <xf numFmtId="164" fontId="15" fillId="15" borderId="15" xfId="0" applyFont="1" applyNumberFormat="1" applyFill="1" applyBorder="1" applyAlignment="1">
      <alignment textRotation="0" horizontal="center" vertical="bottom" indent="0"/>
    </xf>
    <xf numFmtId="164" fontId="15" fillId="15" borderId="14" xfId="0" applyFont="1" applyNumberFormat="1" applyFill="1" applyBorder="1" applyAlignment="1">
      <alignment textRotation="0" horizontal="general" vertical="bottom" indent="0"/>
    </xf>
    <xf numFmtId="164" fontId="15" fillId="15" borderId="14" xfId="0" applyFont="1" applyNumberFormat="1" applyFill="1" applyBorder="1" applyAlignment="1">
      <alignment textRotation="0" horizontal="center" vertical="bottom" indent="0"/>
    </xf>
    <xf numFmtId="164" fontId="15" fillId="15" borderId="13" xfId="0" applyFont="1" applyNumberFormat="1" applyFill="1" applyBorder="1" applyAlignment="1">
      <alignment textRotation="0" horizontal="center" vertical="bottom" indent="0"/>
    </xf>
    <xf numFmtId="164" fontId="15" fillId="0" borderId="9" xfId="0" applyFont="1" applyNumberFormat="1" applyBorder="1" applyAlignment="1">
      <alignment textRotation="0" horizontal="general" vertical="bottom" indent="0"/>
    </xf>
    <xf numFmtId="164" fontId="20" fillId="0" borderId="9" xfId="0" applyFont="1" applyNumberFormat="1" applyBorder="1" applyAlignment="1">
      <alignment textRotation="0" horizontal="center" vertical="bottom" indent="0"/>
    </xf>
    <xf numFmtId="164" fontId="20" fillId="0" borderId="0" xfId="0" applyFont="1" applyNumberFormat="1" applyAlignment="1">
      <alignment textRotation="0" horizontal="center" vertical="bottom" indent="0"/>
    </xf>
    <xf numFmtId="164" fontId="19" fillId="0" borderId="11" xfId="0" applyFont="1" applyNumberFormat="1" applyBorder="1" applyAlignment="1">
      <alignment textRotation="0" horizontal="left" vertical="top" indent="0"/>
    </xf>
    <xf numFmtId="164" fontId="19" fillId="0" borderId="23" xfId="0" applyFont="1" applyNumberFormat="1" applyBorder="1" applyAlignment="1">
      <alignment textRotation="0" horizontal="center" vertical="top" indent="0"/>
    </xf>
    <xf numFmtId="164" fontId="19" fillId="0" borderId="23" xfId="0" applyFont="1" applyNumberFormat="1" applyBorder="1" applyAlignment="1">
      <alignment textRotation="0" horizontal="left" vertical="top" indent="0"/>
    </xf>
    <xf numFmtId="164" fontId="22" fillId="0" borderId="13" xfId="0" applyFont="1" applyNumberFormat="1" applyBorder="1" applyAlignment="1">
      <alignment textRotation="0" horizontal="center" vertical="bottom" indent="0"/>
    </xf>
    <xf numFmtId="164" fontId="15" fillId="15" borderId="7" xfId="0" applyFont="1" applyNumberFormat="1" applyFill="1" applyBorder="1" applyAlignment="1">
      <alignment textRotation="0" horizontal="center" vertical="bottom" indent="0"/>
    </xf>
    <xf numFmtId="164" fontId="15" fillId="15" borderId="18" xfId="0" applyFont="1" applyNumberFormat="1" applyFill="1" applyBorder="1" applyAlignment="1">
      <alignment textRotation="0" horizontal="center" vertical="bottom" indent="0"/>
    </xf>
    <xf numFmtId="164" fontId="18" fillId="4" borderId="14" xfId="0" applyFont="1" applyNumberFormat="1" applyFill="1" applyBorder="1" applyAlignment="1">
      <alignment textRotation="0" horizontal="center" vertical="center" indent="0" wrapText="1"/>
    </xf>
    <xf numFmtId="164" fontId="18" fillId="4" borderId="16" xfId="0" applyFont="1" applyNumberFormat="1" applyFill="1" applyBorder="1" applyAlignment="1">
      <alignment textRotation="0" horizontal="center" vertical="center" indent="0" wrapText="1"/>
    </xf>
    <xf numFmtId="164" fontId="18" fillId="4" borderId="7" xfId="0" applyFont="1" applyNumberFormat="1" applyFill="1" applyBorder="1" applyAlignment="1">
      <alignment textRotation="0" horizontal="center" vertical="center" indent="0" wrapText="1"/>
    </xf>
    <xf numFmtId="164" fontId="23" fillId="17" borderId="14" xfId="0" applyFont="1" applyNumberFormat="1" applyFill="1" applyBorder="1" applyAlignment="1">
      <alignment textRotation="0" horizontal="center" vertical="center" indent="0" wrapText="1"/>
    </xf>
    <xf numFmtId="164" fontId="19" fillId="0" borderId="14" xfId="0" applyFont="1" applyNumberFormat="1" applyBorder="1" applyAlignment="1">
      <alignment textRotation="0" horizontal="general" vertical="bottom" indent="0"/>
    </xf>
    <xf numFmtId="164" fontId="15" fillId="15" borderId="16" xfId="0" applyFont="1" applyNumberFormat="1" applyFill="1" applyBorder="1" applyAlignment="1">
      <alignment textRotation="0" horizontal="general" vertical="bottom" indent="0"/>
    </xf>
    <xf numFmtId="164" fontId="19" fillId="0" borderId="7" xfId="0" applyFont="1" applyNumberFormat="1" applyBorder="1" applyAlignment="1">
      <alignment textRotation="0" horizontal="left" vertical="center" indent="0" wrapText="1"/>
    </xf>
    <xf numFmtId="164" fontId="18" fillId="0" borderId="14" xfId="0" applyFont="1" applyNumberFormat="1" applyBorder="1" applyAlignment="1">
      <alignment textRotation="0" horizontal="general" vertical="bottom" indent="0"/>
    </xf>
    <xf numFmtId="164" fontId="19" fillId="0" borderId="14" xfId="0" applyFont="1" applyNumberFormat="1" applyBorder="1" applyAlignment="1">
      <alignment textRotation="0" horizontal="right" vertical="bottom" indent="0"/>
    </xf>
    <xf numFmtId="164" fontId="21" fillId="4" borderId="18" xfId="0" applyFont="1" applyNumberFormat="1" applyFill="1" applyBorder="1" applyAlignment="1">
      <alignment textRotation="0" horizontal="center" vertical="center" indent="0" wrapText="1"/>
    </xf>
    <xf numFmtId="164" fontId="15" fillId="4" borderId="4" xfId="0" applyFont="1" applyNumberFormat="1" applyFill="1" applyBorder="1" applyAlignment="1">
      <alignment textRotation="0" horizontal="center" vertical="center" indent="0" wrapText="1"/>
    </xf>
    <xf numFmtId="164" fontId="15" fillId="4" borderId="13" xfId="0" applyFont="1" applyNumberFormat="1" applyFill="1" applyBorder="1" applyAlignment="1">
      <alignment textRotation="0" horizontal="center" vertical="center" indent="0" wrapText="1"/>
    </xf>
    <xf numFmtId="164" fontId="19" fillId="0" borderId="14" xfId="0" applyFont="1" applyNumberFormat="1" applyBorder="1" applyAlignment="1">
      <alignment textRotation="0" horizontal="left" vertical="bottom" indent="0"/>
    </xf>
    <xf numFmtId="164" fontId="19" fillId="0" borderId="7" xfId="0" applyFont="1" applyNumberFormat="1" applyBorder="1" applyAlignment="1">
      <alignment textRotation="0" horizontal="right" vertical="bottom" indent="0"/>
    </xf>
    <xf numFmtId="164" fontId="24" fillId="0" borderId="14" xfId="0" applyFont="1" applyNumberFormat="1" applyBorder="1" applyAlignment="1">
      <alignment textRotation="0" horizontal="right" vertical="bottom" indent="0"/>
    </xf>
    <xf numFmtId="164" fontId="24" fillId="0" borderId="7" xfId="0" applyFont="1" applyNumberFormat="1" applyBorder="1" applyAlignment="1">
      <alignment textRotation="0" horizontal="left" vertical="bottom" indent="0"/>
    </xf>
    <xf numFmtId="164" fontId="19" fillId="0" borderId="7" xfId="0" applyFont="1" applyNumberFormat="1" applyBorder="1" applyAlignment="1">
      <alignment textRotation="0" horizontal="left" vertical="bottom" indent="0"/>
    </xf>
    <xf numFmtId="164" fontId="24" fillId="0" borderId="14" xfId="0" applyFont="1" applyNumberFormat="1" applyBorder="1" applyAlignment="1">
      <alignment textRotation="0" horizontal="left" vertical="bottom" indent="0"/>
    </xf>
    <xf numFmtId="164" fontId="24" fillId="0" borderId="7" xfId="0" applyFont="1" applyNumberFormat="1" applyBorder="1" applyAlignment="1">
      <alignment textRotation="0" horizontal="general" vertical="bottom" indent="0"/>
    </xf>
    <xf numFmtId="164" fontId="24" fillId="0" borderId="7" xfId="0" applyFont="1" applyNumberFormat="1" applyBorder="1" applyAlignment="1">
      <alignment textRotation="0" horizontal="right" vertical="bottom" indent="0"/>
    </xf>
    <xf numFmtId="164" fontId="24" fillId="0" borderId="18" xfId="0" applyFont="1" applyNumberFormat="1" applyBorder="1" applyAlignment="1">
      <alignment textRotation="0" horizontal="right" vertical="bottom" indent="0"/>
    </xf>
    <xf numFmtId="164" fontId="24" fillId="0" borderId="17" xfId="0" applyFont="1" applyNumberFormat="1" applyBorder="1" applyAlignment="1">
      <alignment textRotation="0" horizontal="right" vertical="bottom" indent="0"/>
    </xf>
    <xf numFmtId="164" fontId="15" fillId="0" borderId="18" xfId="0" applyFont="1" applyNumberFormat="1" applyBorder="1" applyAlignment="1">
      <alignment textRotation="0" horizontal="left" vertical="bottom" indent="0"/>
    </xf>
    <xf numFmtId="164" fontId="15" fillId="0" borderId="18" xfId="0" applyFont="1" applyNumberFormat="1" applyBorder="1" applyAlignment="1">
      <alignment textRotation="0" horizontal="left" vertical="bottom" indent="0" wrapText="1"/>
    </xf>
    <xf numFmtId="164" fontId="24" fillId="0" borderId="7" xfId="0" applyFont="1" applyNumberFormat="1" applyBorder="1" applyAlignment="1">
      <alignment textRotation="0" horizontal="center" vertical="bottom" indent="0"/>
    </xf>
    <xf numFmtId="164" fontId="25" fillId="0" borderId="0" xfId="0" applyFont="1" applyNumberFormat="1" applyAlignment="1">
      <alignment textRotation="0" horizontal="general" vertical="center" indent="0" wrapText="1"/>
    </xf>
    <xf numFmtId="164" fontId="19" fillId="0" borderId="0" xfId="0" applyFont="1" applyNumberFormat="1" applyAlignment="1">
      <alignment textRotation="0" horizontal="left" vertical="bottom" indent="0"/>
    </xf>
    <xf numFmtId="164" fontId="18" fillId="17" borderId="0" xfId="0" applyFont="1" applyNumberFormat="1" applyFill="1" applyAlignment="1">
      <alignment textRotation="0" horizontal="center" vertical="center" indent="0"/>
    </xf>
    <xf numFmtId="164" fontId="26" fillId="0" borderId="0" xfId="0" applyFont="1" applyNumberFormat="1" applyAlignment="1">
      <alignment textRotation="0" horizontal="general" vertical="bottom" indent="0" wrapText="1"/>
    </xf>
    <xf numFmtId="164" fontId="26" fillId="0" borderId="0" xfId="0" applyFont="1" applyNumberFormat="1" applyAlignment="1">
      <alignment textRotation="0" horizontal="left" vertical="bottom" indent="0" wrapText="1"/>
    </xf>
    <xf numFmtId="164" fontId="15" fillId="0" borderId="0" xfId="0" applyFont="1" applyNumberFormat="1" applyAlignment="1">
      <alignment textRotation="0" horizontal="center" vertical="center" indent="0"/>
    </xf>
    <xf numFmtId="164" fontId="15" fillId="15" borderId="18" xfId="0" applyFont="1" applyNumberFormat="1" applyFill="1" applyBorder="1" applyAlignment="1">
      <alignment textRotation="0" horizontal="general" vertical="bottom" indent="0"/>
    </xf>
    <xf numFmtId="164" fontId="19" fillId="0" borderId="0" xfId="0" applyFont="1" applyNumberFormat="1" applyAlignment="1">
      <alignment textRotation="0" horizontal="left" vertical="bottom" indent="0" wrapText="1"/>
    </xf>
    <xf numFmtId="164" fontId="27" fillId="0" borderId="0" xfId="0" applyFont="1" applyNumberFormat="1" applyAlignment="1">
      <alignment textRotation="0" horizontal="left" vertical="top" indent="0" wrapText="1"/>
    </xf>
    <xf numFmtId="164" fontId="26" fillId="0" borderId="0" xfId="0" applyFont="1" applyNumberFormat="1" applyAlignment="1">
      <alignment textRotation="0" horizontal="left" vertical="bottom" indent="0"/>
    </xf>
    <xf numFmtId="164" fontId="26" fillId="0" borderId="0" xfId="0" applyFont="1" applyNumberFormat="1" applyAlignment="1">
      <alignment textRotation="0" horizontal="left" vertical="center" indent="0"/>
    </xf>
    <xf numFmtId="164" fontId="28" fillId="0" borderId="0" xfId="0" applyFont="1" applyNumberFormat="1" applyAlignment="1">
      <alignment textRotation="0" horizontal="general" vertical="bottom" indent="0"/>
    </xf>
    <xf numFmtId="164" fontId="26" fillId="0" borderId="0" xfId="0" applyFont="1" applyNumberFormat="1" applyAlignment="1">
      <alignment textRotation="0" horizontal="general" vertical="center" indent="0"/>
    </xf>
    <xf numFmtId="164" fontId="19" fillId="15" borderId="0" xfId="0" applyFont="1" applyNumberFormat="1" applyFill="1" applyAlignment="1">
      <alignment textRotation="0" horizontal="center" vertical="bottom" indent="0"/>
    </xf>
    <xf numFmtId="164" fontId="21" fillId="4" borderId="13" xfId="0" applyFont="1" applyNumberFormat="1" applyFill="1" applyBorder="1" applyAlignment="1">
      <alignment textRotation="0" horizontal="center" vertical="center" indent="0" wrapText="1"/>
    </xf>
    <xf numFmtId="164" fontId="29" fillId="4" borderId="17" xfId="0" applyFont="1" applyNumberFormat="1" applyFill="1" applyBorder="1" applyAlignment="1">
      <alignment textRotation="0" horizontal="center" vertical="center" indent="0" wrapText="1"/>
    </xf>
    <xf numFmtId="164" fontId="15" fillId="0" borderId="18" xfId="0" applyFont="1" applyNumberFormat="1" applyBorder="1" applyAlignment="1">
      <alignment textRotation="0" horizontal="general" vertical="bottom" indent="0"/>
    </xf>
    <xf numFmtId="164" fontId="15" fillId="0" borderId="14" xfId="0" applyFont="1" applyNumberFormat="1" applyBorder="1" applyAlignment="1">
      <alignment textRotation="0" horizontal="general" vertical="bottom" indent="0"/>
    </xf>
    <xf numFmtId="164" fontId="26" fillId="15" borderId="18" xfId="0" applyFont="1" applyNumberFormat="1" applyFill="1" applyBorder="1" applyAlignment="1">
      <alignment textRotation="0" horizontal="general" vertical="bottom" indent="0"/>
    </xf>
    <xf numFmtId="164" fontId="26" fillId="0" borderId="18" xfId="0" applyFont="1" applyNumberFormat="1" applyBorder="1" applyAlignment="1">
      <alignment textRotation="0" horizontal="general" vertical="bottom" indent="0"/>
    </xf>
    <xf numFmtId="164" fontId="26" fillId="15" borderId="14" xfId="0" applyFont="1" applyNumberFormat="1" applyFill="1" applyBorder="1" applyAlignment="1">
      <alignment textRotation="0" horizontal="general" vertical="bottom" indent="0"/>
    </xf>
    <xf numFmtId="164" fontId="26" fillId="15" borderId="7" xfId="0" applyFont="1" applyNumberFormat="1" applyFill="1" applyBorder="1" applyAlignment="1">
      <alignment textRotation="0" horizontal="center" vertical="bottom" indent="0"/>
    </xf>
    <xf numFmtId="164" fontId="18" fillId="17" borderId="18" xfId="0" applyFont="1" applyNumberFormat="1" applyFill="1" applyBorder="1" applyAlignment="1">
      <alignment textRotation="0" horizontal="center" vertical="center" indent="0" wrapText="1"/>
    </xf>
    <xf numFmtId="164" fontId="26" fillId="0" borderId="7" xfId="0" applyFont="1" applyNumberFormat="1" applyBorder="1" applyAlignment="1">
      <alignment textRotation="0" horizontal="center" vertical="bottom" indent="0"/>
    </xf>
    <xf numFmtId="164" fontId="18" fillId="17" borderId="0" xfId="0" applyFont="1" applyNumberFormat="1" applyFill="1" applyAlignment="1">
      <alignment textRotation="0" horizontal="center" vertical="center" indent="0" wrapText="1"/>
    </xf>
    <xf numFmtId="164" fontId="26" fillId="15" borderId="16" xfId="0" applyFont="1" applyNumberFormat="1" applyFill="1" applyBorder="1" applyAlignment="1">
      <alignment textRotation="0" horizontal="center" vertical="bottom" indent="0"/>
    </xf>
    <xf numFmtId="164" fontId="19" fillId="0" borderId="7" xfId="0" applyFont="1" applyNumberFormat="1" applyBorder="1" applyAlignment="1">
      <alignment textRotation="0" horizontal="general" vertical="bottom" indent="0"/>
    </xf>
    <xf numFmtId="164" fontId="30" fillId="0" borderId="7" xfId="0" applyFont="1" applyNumberFormat="1" applyBorder="1" applyAlignment="1">
      <alignment textRotation="0" horizontal="center" vertical="center" indent="0"/>
    </xf>
    <xf numFmtId="164" fontId="19" fillId="0" borderId="14" xfId="0" applyFont="1" applyNumberFormat="1" applyBorder="1" applyAlignment="1">
      <alignment textRotation="0" horizontal="center" vertical="bottom" indent="0"/>
    </xf>
    <xf numFmtId="164" fontId="17" fillId="0" borderId="0" xfId="0" applyFont="1" applyNumberFormat="1" applyAlignment="1">
      <alignment textRotation="0" horizontal="general" vertical="bottom" indent="0"/>
    </xf>
    <xf numFmtId="164" fontId="16" fillId="4" borderId="16" xfId="0" applyFont="1" applyNumberFormat="1" applyFill="1" applyBorder="1" applyAlignment="1">
      <alignment textRotation="0" horizontal="general" vertical="center" indent="0" wrapText="1"/>
    </xf>
    <xf numFmtId="164" fontId="19" fillId="0" borderId="18" xfId="0" applyFont="1" applyNumberFormat="1" applyBorder="1" applyAlignment="1">
      <alignment textRotation="0" horizontal="general" vertical="bottom" indent="0"/>
    </xf>
    <xf numFmtId="164" fontId="26" fillId="15" borderId="18" xfId="0" applyFont="1" applyNumberFormat="1" applyFill="1" applyBorder="1" applyAlignment="1">
      <alignment textRotation="0" horizontal="center" vertical="bottom" indent="0"/>
    </xf>
    <xf numFmtId="164" fontId="31" fillId="0" borderId="0" xfId="0" applyFont="1" applyNumberFormat="1" applyAlignment="1">
      <alignment textRotation="0" horizontal="left" vertical="center" indent="0"/>
    </xf>
    <xf numFmtId="164" fontId="32" fillId="0" borderId="0" xfId="0" applyFont="1" applyNumberFormat="1" applyAlignment="1">
      <alignment textRotation="0" horizontal="left" vertical="center" indent="0"/>
    </xf>
    <xf numFmtId="164" fontId="32" fillId="0" borderId="14" xfId="0" applyFont="1" applyNumberFormat="1" applyBorder="1" applyAlignment="1">
      <alignment textRotation="0" horizontal="general" vertical="bottom" indent="0"/>
    </xf>
    <xf numFmtId="164" fontId="7" fillId="0" borderId="16" xfId="0" applyFont="1" applyNumberFormat="1" applyBorder="1" applyAlignment="1">
      <alignment textRotation="0" horizontal="center" vertical="center" indent="0"/>
    </xf>
    <xf numFmtId="164" fontId="29" fillId="4" borderId="18" xfId="0" applyFont="1" applyNumberFormat="1" applyFill="1" applyBorder="1" applyAlignment="1">
      <alignment textRotation="0" horizontal="center" vertical="center" indent="0" wrapText="1"/>
    </xf>
    <xf numFmtId="164" fontId="21" fillId="4" borderId="4" xfId="0" applyFont="1" applyNumberFormat="1" applyFill="1" applyBorder="1" applyAlignment="1">
      <alignment textRotation="0" horizontal="center" vertical="center" indent="0" wrapText="1"/>
    </xf>
    <xf numFmtId="164" fontId="19" fillId="0" borderId="24" xfId="0" applyFont="1" applyNumberFormat="1" applyBorder="1" applyAlignment="1">
      <alignment textRotation="0" horizontal="general" vertical="bottom" indent="0"/>
    </xf>
    <xf numFmtId="164" fontId="15" fillId="0" borderId="23" xfId="0" applyFont="1" applyNumberFormat="1" applyBorder="1" applyAlignment="1">
      <alignment textRotation="0" horizontal="general" vertical="bottom" indent="0"/>
    </xf>
    <xf numFmtId="164" fontId="15" fillId="0" borderId="12" xfId="0" applyFont="1" applyNumberFormat="1" applyBorder="1" applyAlignment="1">
      <alignment textRotation="0" horizontal="general" vertical="bottom" indent="0"/>
    </xf>
    <xf numFmtId="164" fontId="26" fillId="15" borderId="17" xfId="0" applyFont="1" applyNumberFormat="1" applyFill="1" applyBorder="1" applyAlignment="1">
      <alignment textRotation="0" horizontal="general" vertical="bottom" indent="0"/>
    </xf>
    <xf numFmtId="164" fontId="19" fillId="0" borderId="12" xfId="0" applyFont="1" applyNumberFormat="1" applyBorder="1" applyAlignment="1">
      <alignment textRotation="0" horizontal="general" vertical="bottom" indent="0"/>
    </xf>
    <xf numFmtId="164" fontId="29" fillId="0" borderId="0" xfId="0" applyFont="1" applyNumberFormat="1" applyAlignment="1">
      <alignment textRotation="0" horizontal="right" vertical="bottom" indent="0"/>
    </xf>
    <xf numFmtId="164" fontId="26" fillId="0" borderId="10" xfId="0" applyFont="1" applyNumberFormat="1" applyBorder="1" applyAlignment="1">
      <alignment textRotation="0" horizontal="left" vertical="bottom" indent="0"/>
    </xf>
    <xf numFmtId="164" fontId="27" fillId="0" borderId="0" xfId="0" applyFont="1" applyNumberFormat="1" applyAlignment="1">
      <alignment textRotation="0" horizontal="general" vertical="top" indent="0"/>
    </xf>
    <xf numFmtId="164" fontId="26" fillId="15" borderId="18" xfId="0" applyFont="1" applyNumberFormat="1" applyFill="1" applyBorder="1" applyAlignment="1">
      <alignment textRotation="0" horizontal="center" vertical="center" indent="0"/>
    </xf>
    <xf numFmtId="164" fontId="24" fillId="0" borderId="0" xfId="0" applyFont="1" applyNumberFormat="1" applyAlignment="1">
      <alignment textRotation="0" horizontal="right" vertical="bottom" indent="0"/>
    </xf>
    <xf numFmtId="164" fontId="18" fillId="0" borderId="0" xfId="0" applyFont="1" applyNumberFormat="1" applyAlignment="1">
      <alignment textRotation="0" horizontal="right" vertical="bottom" indent="0"/>
    </xf>
    <xf numFmtId="164" fontId="19" fillId="0" borderId="0" xfId="0" applyFont="1" applyNumberFormat="1" applyAlignment="1">
      <alignment textRotation="0" horizontal="right" vertical="bottom" indent="0"/>
    </xf>
    <xf numFmtId="164" fontId="19" fillId="0" borderId="0" xfId="0" applyFont="1" applyNumberFormat="1" applyAlignment="1">
      <alignment textRotation="0" horizontal="general" vertical="bottom" indent="0" wrapText="1"/>
    </xf>
    <xf numFmtId="164" fontId="26" fillId="0" borderId="10" xfId="0" applyFont="1" applyNumberFormat="1" applyBorder="1" applyAlignment="1">
      <alignment textRotation="0" horizontal="left" vertical="bottom" indent="0" wrapText="1"/>
    </xf>
    <xf numFmtId="164" fontId="33" fillId="0" borderId="0" xfId="0" applyFont="1" applyNumberFormat="1" applyAlignment="1">
      <alignment textRotation="0" horizontal="center" vertical="bottom" indent="0"/>
    </xf>
    <xf numFmtId="164" fontId="26" fillId="0" borderId="0" xfId="0" applyFont="1" applyNumberFormat="1" applyAlignment="1">
      <alignment textRotation="0" horizontal="left" vertical="center" indent="0" wrapText="1"/>
    </xf>
    <xf numFmtId="164" fontId="26" fillId="0" borderId="0" xfId="0" applyFont="1" applyNumberFormat="1" applyAlignment="1">
      <alignment textRotation="0" horizontal="center" vertical="bottom" indent="0" wrapText="1"/>
    </xf>
    <xf numFmtId="164" fontId="15" fillId="0" borderId="0" xfId="0" applyFont="1" applyNumberFormat="1" applyAlignment="1">
      <alignment textRotation="0" horizontal="left" vertical="bottom" indent="0"/>
    </xf>
    <xf numFmtId="164" fontId="34" fillId="0" borderId="0" xfId="0" applyFont="1" applyNumberFormat="1" applyAlignment="1">
      <alignment textRotation="0" horizontal="general" vertical="bottom" indent="0"/>
    </xf>
    <xf numFmtId="164" fontId="27" fillId="0" borderId="0" xfId="0" applyFont="1" applyNumberFormat="1" applyAlignment="1">
      <alignment textRotation="0" horizontal="right" vertical="center" indent="0"/>
    </xf>
    <xf numFmtId="164" fontId="26" fillId="0" borderId="10" xfId="0" applyFont="1" applyNumberFormat="1" applyBorder="1" applyAlignment="1">
      <alignment textRotation="0" horizontal="right" vertical="bottom" indent="0"/>
    </xf>
    <xf numFmtId="164" fontId="15" fillId="15" borderId="0" xfId="0" applyFont="1" applyNumberFormat="1" applyFill="1" applyAlignment="1">
      <alignment textRotation="0" horizontal="general" vertical="bottom" indent="0"/>
    </xf>
    <xf numFmtId="164" fontId="35" fillId="4" borderId="15" xfId="0" applyFont="1" applyNumberFormat="1" applyFill="1" applyBorder="1" applyAlignment="1">
      <alignment textRotation="0" horizontal="center" vertical="center" indent="0" wrapText="1"/>
    </xf>
    <xf numFmtId="164" fontId="35" fillId="4" borderId="25" xfId="0" applyFont="1" applyNumberFormat="1" applyFill="1" applyBorder="1" applyAlignment="1">
      <alignment textRotation="0" horizontal="center" vertical="center" indent="0" wrapText="1"/>
    </xf>
    <xf numFmtId="164" fontId="35" fillId="4" borderId="26" xfId="0" applyFont="1" applyNumberFormat="1" applyFill="1" applyBorder="1" applyAlignment="1">
      <alignment textRotation="0" horizontal="center" vertical="center" indent="0" wrapText="1"/>
    </xf>
    <xf numFmtId="164" fontId="35" fillId="4" borderId="27" xfId="0" applyFont="1" applyNumberFormat="1" applyFill="1" applyBorder="1" applyAlignment="1">
      <alignment textRotation="0" horizontal="center" vertical="center" indent="0" wrapText="1"/>
    </xf>
    <xf numFmtId="164" fontId="35" fillId="4" borderId="28" xfId="0" applyFont="1" applyNumberFormat="1" applyFill="1" applyBorder="1" applyAlignment="1">
      <alignment textRotation="0" horizontal="center" vertical="center" indent="0" wrapText="1"/>
    </xf>
    <xf numFmtId="164" fontId="29" fillId="4" borderId="29" xfId="0" applyFont="1" applyNumberFormat="1" applyFill="1" applyBorder="1" applyAlignment="1">
      <alignment textRotation="0" horizontal="center" vertical="center" indent="0" wrapText="1"/>
    </xf>
    <xf numFmtId="164" fontId="33" fillId="15" borderId="30" xfId="0" applyFont="1" applyNumberFormat="1" applyFill="1" applyBorder="1" applyAlignment="1">
      <alignment textRotation="0" horizontal="center" vertical="bottom" indent="0" wrapText="1"/>
    </xf>
    <xf numFmtId="164" fontId="33" fillId="15" borderId="31" xfId="0" applyFont="1" applyNumberFormat="1" applyFill="1" applyBorder="1" applyAlignment="1">
      <alignment textRotation="0" horizontal="center" vertical="bottom" indent="0" wrapText="1"/>
    </xf>
    <xf numFmtId="164" fontId="33" fillId="15" borderId="32" xfId="0" applyFont="1" applyNumberFormat="1" applyFill="1" applyBorder="1" applyAlignment="1">
      <alignment textRotation="0" horizontal="general" vertical="bottom" indent="0" wrapText="1"/>
    </xf>
    <xf numFmtId="164" fontId="33" fillId="15" borderId="33" xfId="0" applyFont="1" applyNumberFormat="1" applyFill="1" applyBorder="1" applyAlignment="1">
      <alignment textRotation="0" horizontal="general" vertical="bottom" indent="0" wrapText="1"/>
    </xf>
    <xf numFmtId="164" fontId="33" fillId="15" borderId="31" xfId="0" applyFont="1" applyNumberFormat="1" applyFill="1" applyBorder="1" applyAlignment="1">
      <alignment textRotation="0" horizontal="general" vertical="bottom" indent="0" wrapText="1"/>
    </xf>
    <xf numFmtId="164" fontId="33" fillId="15" borderId="33" xfId="0" applyFont="1" applyNumberFormat="1" applyFill="1" applyBorder="1" applyAlignment="1">
      <alignment textRotation="0" horizontal="center" vertical="bottom" indent="0" wrapText="1"/>
    </xf>
    <xf numFmtId="164" fontId="33" fillId="15" borderId="32" xfId="0" applyFont="1" applyNumberFormat="1" applyFill="1" applyBorder="1" applyAlignment="1">
      <alignment textRotation="0" horizontal="center" vertical="bottom" indent="0" wrapText="1"/>
    </xf>
    <xf numFmtId="164" fontId="33" fillId="15" borderId="0" xfId="0" applyFont="1" applyNumberFormat="1" applyFill="1" applyAlignment="1">
      <alignment textRotation="0" horizontal="center" vertical="bottom" indent="0" wrapText="1"/>
    </xf>
    <xf numFmtId="164" fontId="36" fillId="4" borderId="0" xfId="0" applyFont="1" applyNumberFormat="1" applyFill="1" applyAlignment="1">
      <alignment textRotation="0" horizontal="center" vertical="center" indent="0" wrapText="1"/>
    </xf>
    <xf numFmtId="164" fontId="22" fillId="0" borderId="0" xfId="0" applyFont="1" applyNumberFormat="1" applyAlignment="1">
      <alignment textRotation="0" horizontal="right" vertical="bottom" indent="0"/>
    </xf>
    <xf numFmtId="164" fontId="33" fillId="0" borderId="0" xfId="0" applyFont="1" applyNumberFormat="1" applyAlignment="1">
      <alignment textRotation="0" horizontal="center" vertical="center" indent="0" wrapText="1"/>
    </xf>
    <xf numFmtId="164" fontId="29" fillId="0" borderId="0" xfId="0" applyFont="1" applyNumberFormat="1" applyAlignment="1">
      <alignment textRotation="0" horizontal="left" vertical="bottom" indent="0"/>
    </xf>
    <xf numFmtId="164" fontId="33" fillId="0" borderId="0" xfId="0" applyFont="1" applyNumberFormat="1" applyAlignment="1">
      <alignment textRotation="0" horizontal="general" vertical="center" indent="0" wrapText="1"/>
    </xf>
    <xf numFmtId="164" fontId="27" fillId="0" borderId="0" xfId="0" applyFont="1" applyNumberFormat="1" applyAlignment="1">
      <alignment textRotation="0" horizontal="left" vertical="center" indent="0" wrapText="1"/>
    </xf>
    <xf numFmtId="164" fontId="21" fillId="4" borderId="14" xfId="0" applyFont="1" applyNumberFormat="1" applyFill="1" applyBorder="1" applyAlignment="1">
      <alignment textRotation="0" horizontal="center" vertical="center" indent="0" wrapText="1"/>
    </xf>
    <xf numFmtId="164" fontId="21" fillId="4" borderId="16" xfId="0" applyFont="1" applyNumberFormat="1" applyFill="1" applyBorder="1" applyAlignment="1">
      <alignment textRotation="0" horizontal="center" vertical="center" indent="0" wrapText="1"/>
    </xf>
    <xf numFmtId="164" fontId="21" fillId="4" borderId="7" xfId="0" applyFont="1" applyNumberFormat="1" applyFill="1" applyBorder="1" applyAlignment="1">
      <alignment textRotation="0" horizontal="center" vertical="center" indent="0" wrapText="1"/>
    </xf>
    <xf numFmtId="164" fontId="26" fillId="0" borderId="11" xfId="0" applyFont="1" applyNumberFormat="1" applyBorder="1" applyAlignment="1">
      <alignment textRotation="0" horizontal="general" vertical="bottom" indent="0"/>
    </xf>
    <xf numFmtId="164" fontId="26" fillId="0" borderId="23" xfId="0" applyFont="1" applyNumberFormat="1" applyBorder="1" applyAlignment="1">
      <alignment textRotation="0" horizontal="general" vertical="bottom" indent="0"/>
    </xf>
    <xf numFmtId="164" fontId="19" fillId="0" borderId="23" xfId="0" applyFont="1" applyNumberFormat="1" applyBorder="1" applyAlignment="1">
      <alignment textRotation="0" horizontal="center" vertical="center" indent="0" wrapText="1"/>
    </xf>
    <xf numFmtId="164" fontId="26" fillId="15" borderId="12" xfId="0" applyFont="1" applyNumberFormat="1" applyFill="1" applyBorder="1" applyAlignment="1">
      <alignment textRotation="0" horizontal="center" vertical="center" indent="0"/>
    </xf>
    <xf numFmtId="164" fontId="15" fillId="0" borderId="0" xfId="0" applyFont="1" applyNumberFormat="1" applyAlignment="1">
      <alignment textRotation="0" horizontal="general" vertical="center" indent="0" wrapText="1"/>
    </xf>
    <xf numFmtId="164" fontId="26" fillId="0" borderId="14" xfId="0" applyFont="1" applyNumberFormat="1" applyBorder="1" applyAlignment="1">
      <alignment textRotation="0" horizontal="general" vertical="bottom" indent="0"/>
    </xf>
    <xf numFmtId="164" fontId="26" fillId="0" borderId="16" xfId="0" applyFont="1" applyNumberFormat="1" applyBorder="1" applyAlignment="1">
      <alignment textRotation="0" horizontal="general" vertical="bottom" indent="0"/>
    </xf>
    <xf numFmtId="164" fontId="19" fillId="0" borderId="16" xfId="0" applyFont="1" applyNumberFormat="1" applyBorder="1" applyAlignment="1">
      <alignment textRotation="0" horizontal="center" vertical="center" indent="0" wrapText="1"/>
    </xf>
    <xf numFmtId="164" fontId="26" fillId="15" borderId="7" xfId="0" applyFont="1" applyNumberFormat="1" applyFill="1" applyBorder="1" applyAlignment="1">
      <alignment textRotation="0" horizontal="center" vertical="center" indent="0"/>
    </xf>
    <xf numFmtId="164" fontId="37" fillId="0" borderId="9" xfId="0" applyFont="1" applyNumberFormat="1" applyBorder="1" applyAlignment="1">
      <alignment textRotation="0" horizontal="center" vertical="center" indent="0" wrapText="1"/>
    </xf>
    <xf numFmtId="164" fontId="15" fillId="0" borderId="9" xfId="0" applyFont="1" applyNumberFormat="1" applyBorder="1" applyAlignment="1">
      <alignment textRotation="0" horizontal="general" vertical="center" indent="0" wrapText="1"/>
    </xf>
    <xf numFmtId="164" fontId="19" fillId="0" borderId="16" xfId="0" applyFont="1" applyNumberFormat="1" applyBorder="1" applyAlignment="1">
      <alignment textRotation="0" horizontal="general" vertical="bottom" indent="0"/>
    </xf>
    <xf numFmtId="164" fontId="29" fillId="0" borderId="0" xfId="0" applyFont="1" applyNumberFormat="1" applyAlignment="1">
      <alignment textRotation="0" horizontal="left" vertical="center" indent="0" wrapText="1"/>
    </xf>
    <xf numFmtId="164" fontId="19" fillId="0" borderId="0" xfId="0" applyFont="1" applyNumberFormat="1" applyAlignment="1">
      <alignment textRotation="0" horizontal="left" vertical="center" indent="0"/>
    </xf>
    <xf numFmtId="164" fontId="26" fillId="0" borderId="0" xfId="0" applyFont="1" applyNumberFormat="1" applyAlignment="1">
      <alignment textRotation="0" horizontal="center" vertical="center" indent="0" wrapText="1"/>
    </xf>
    <xf numFmtId="164" fontId="19" fillId="0" borderId="9" xfId="0" applyFont="1" applyNumberFormat="1" applyBorder="1" applyAlignment="1">
      <alignment textRotation="0" horizontal="general" vertical="bottom" indent="0"/>
    </xf>
    <xf numFmtId="164" fontId="19" fillId="0" borderId="9" xfId="0" applyFont="1" applyNumberFormat="1" applyBorder="1" applyAlignment="1">
      <alignment textRotation="0" horizontal="general" vertical="bottom" indent="0" wrapText="1"/>
    </xf>
    <xf numFmtId="164" fontId="30" fillId="0" borderId="0" xfId="0" applyFont="1" applyNumberFormat="1" applyAlignment="1">
      <alignment textRotation="0" horizontal="left" vertical="top" indent="0" wrapText="1"/>
    </xf>
    <xf numFmtId="164" fontId="26" fillId="0" borderId="0" xfId="0" applyFont="1" applyNumberFormat="1" applyAlignment="1">
      <alignment textRotation="0" horizontal="general" vertical="center" indent="0" wrapText="1"/>
    </xf>
    <xf numFmtId="164" fontId="26" fillId="0" borderId="33" xfId="0" applyFont="1" applyNumberFormat="1" applyBorder="1" applyAlignment="1">
      <alignment textRotation="0" horizontal="right" vertical="center" indent="0" wrapText="1"/>
    </xf>
    <xf numFmtId="164" fontId="26" fillId="15" borderId="2" xfId="0" applyFont="1" applyNumberFormat="1" applyFill="1" applyBorder="1" applyAlignment="1">
      <alignment textRotation="0" horizontal="center" vertical="center" indent="0" wrapText="1"/>
    </xf>
    <xf numFmtId="164" fontId="26" fillId="0" borderId="0" xfId="0" applyFont="1" applyNumberFormat="1" applyAlignment="1">
      <alignment textRotation="0" horizontal="right" vertical="center" indent="0" wrapText="1"/>
    </xf>
    <xf numFmtId="164" fontId="26" fillId="15" borderId="0" xfId="0" applyFont="1" applyNumberFormat="1" applyFill="1" applyAlignment="1">
      <alignment textRotation="0" horizontal="center" vertical="center" indent="0" wrapText="1"/>
    </xf>
    <xf numFmtId="164" fontId="19" fillId="15" borderId="0" xfId="0" applyFont="1" applyNumberFormat="1" applyFill="1" applyAlignment="1">
      <alignment textRotation="0" horizontal="center" vertical="center" indent="0" wrapText="1"/>
    </xf>
    <xf numFmtId="164" fontId="19" fillId="15" borderId="11" xfId="0" applyFont="1" applyNumberFormat="1" applyFill="1" applyBorder="1" applyAlignment="1">
      <alignment textRotation="0" horizontal="center" vertical="center" indent="0" wrapText="1"/>
    </xf>
    <xf numFmtId="164" fontId="19" fillId="0" borderId="0" xfId="0" applyFont="1" applyNumberFormat="1" applyAlignment="1">
      <alignment textRotation="0" horizontal="center" vertical="bottom" indent="0"/>
    </xf>
    <xf numFmtId="164" fontId="38" fillId="0" borderId="0" xfId="0" applyFont="1" applyNumberFormat="1" applyAlignment="1">
      <alignment textRotation="0" horizontal="general" vertical="bottom" indent="0"/>
    </xf>
    <xf numFmtId="164" fontId="15" fillId="0" borderId="10" xfId="0" applyFont="1" applyNumberFormat="1" applyBorder="1" applyAlignment="1">
      <alignment textRotation="0" horizontal="left" vertical="bottom" indent="0" wrapText="1"/>
    </xf>
    <xf numFmtId="164" fontId="15" fillId="0" borderId="0" xfId="0" applyFont="1" applyNumberFormat="1" applyAlignment="1">
      <alignment textRotation="0" horizontal="left" vertical="bottom" indent="0" wrapText="1"/>
    </xf>
    <xf numFmtId="164" fontId="15" fillId="15" borderId="17" xfId="0" applyFont="1" applyNumberFormat="1" applyFill="1" applyBorder="1" applyAlignment="1">
      <alignment textRotation="0" horizontal="general" vertical="bottom" indent="0"/>
    </xf>
    <xf numFmtId="164" fontId="19" fillId="15" borderId="18" xfId="0" applyFont="1" applyNumberFormat="1" applyFill="1" applyBorder="1" applyAlignment="1">
      <alignment textRotation="0" horizontal="general" vertical="bottom" indent="0"/>
    </xf>
    <xf numFmtId="164" fontId="30" fillId="0" borderId="0" xfId="0" applyFont="1" applyNumberFormat="1" applyAlignment="1">
      <alignment textRotation="0" horizontal="left" vertical="bottom" indent="0"/>
    </xf>
    <xf numFmtId="164" fontId="27" fillId="0" borderId="0" xfId="0" applyFont="1" applyNumberFormat="1" applyAlignment="1">
      <alignment textRotation="0" horizontal="general" vertical="bottom" indent="0"/>
    </xf>
    <xf numFmtId="164" fontId="21" fillId="0" borderId="0" xfId="0" applyFont="1" applyNumberFormat="1" applyAlignment="1">
      <alignment textRotation="0" horizontal="general" vertical="bottom" indent="0"/>
    </xf>
    <xf numFmtId="164" fontId="15" fillId="0" borderId="23" xfId="0" applyFont="1" applyNumberFormat="1" applyBorder="1" applyAlignment="1">
      <alignment textRotation="0" horizontal="center" vertical="center" indent="0" wrapText="1"/>
    </xf>
    <xf numFmtId="164" fontId="30" fillId="0" borderId="0" xfId="0" applyFont="1" applyNumberFormat="1" applyAlignment="1">
      <alignment textRotation="0" horizontal="left" vertical="bottom" indent="0" wrapText="1"/>
    </xf>
    <xf numFmtId="164" fontId="15" fillId="0" borderId="18" xfId="0" applyFont="1" applyNumberFormat="1" applyBorder="1" applyAlignment="1">
      <alignment textRotation="0" horizontal="center" vertical="center" indent="0"/>
    </xf>
    <xf numFmtId="164" fontId="39" fillId="0" borderId="18" xfId="0" applyFont="1" applyNumberFormat="1" applyBorder="1" applyAlignment="1">
      <alignment textRotation="0" horizontal="left" vertical="center" indent="0"/>
    </xf>
    <xf numFmtId="164" fontId="39" fillId="0" borderId="18" xfId="0" applyFont="1" applyNumberFormat="1" applyBorder="1" applyAlignment="1">
      <alignment textRotation="0" horizontal="left" vertical="center" indent="0" wrapText="1"/>
    </xf>
    <xf numFmtId="164" fontId="39" fillId="0" borderId="18" xfId="0" applyFont="1" applyNumberFormat="1" applyBorder="1" applyAlignment="1">
      <alignment textRotation="0" horizontal="general" vertical="center" indent="0"/>
    </xf>
    <xf numFmtId="164" fontId="39" fillId="15" borderId="18" xfId="0" applyFont="1" applyNumberFormat="1" applyFill="1" applyBorder="1" applyAlignment="1">
      <alignment textRotation="0" horizontal="center" vertical="center" indent="0"/>
    </xf>
    <xf numFmtId="164" fontId="18" fillId="4" borderId="18" xfId="0" applyFont="1" applyNumberFormat="1" applyFill="1" applyBorder="1" applyAlignment="1">
      <alignment textRotation="0" horizontal="center" vertical="center" indent="0" wrapText="1"/>
    </xf>
    <xf numFmtId="164" fontId="26" fillId="0" borderId="18" xfId="0" applyFont="1" applyNumberFormat="1" applyBorder="1" applyAlignment="1">
      <alignment textRotation="0" horizontal="left" vertical="center" indent="0"/>
    </xf>
    <xf numFmtId="164" fontId="26" fillId="0" borderId="18" xfId="0" applyFont="1" applyNumberFormat="1" applyBorder="1" applyAlignment="1">
      <alignment textRotation="0" horizontal="left" vertical="center" indent="0" wrapText="1"/>
    </xf>
    <xf numFmtId="164" fontId="40" fillId="0" borderId="0" xfId="0" applyFont="1" applyNumberFormat="1" applyAlignment="1">
      <alignment textRotation="0" horizontal="general" vertical="bottom" indent="0"/>
    </xf>
    <xf numFmtId="164" fontId="41" fillId="0" borderId="0" xfId="0" applyFont="1" applyNumberFormat="1" applyAlignment="1">
      <alignment textRotation="0" horizontal="left" vertical="bottom" indent="0" wrapText="1"/>
    </xf>
    <xf numFmtId="164" fontId="42" fillId="0" borderId="0" xfId="0" applyFont="1" applyNumberFormat="1" applyAlignment="1">
      <alignment textRotation="0" horizontal="general" vertical="bottom" indent="0"/>
    </xf>
    <xf numFmtId="164" fontId="43" fillId="0" borderId="10" xfId="0" applyFont="1" applyNumberFormat="1" applyBorder="1" applyAlignment="1">
      <alignment textRotation="0" horizontal="left" vertical="bottom" indent="0" wrapText="1"/>
    </xf>
    <xf numFmtId="164" fontId="27" fillId="0" borderId="10" xfId="0" applyFont="1" applyNumberFormat="1" applyBorder="1" applyAlignment="1">
      <alignment textRotation="0" horizontal="left" vertical="bottom" indent="0" wrapText="1"/>
    </xf>
    <xf numFmtId="164" fontId="43" fillId="0" borderId="0" xfId="0" applyFont="1" applyNumberFormat="1" applyAlignment="1">
      <alignment textRotation="0" horizontal="left" vertical="bottom" indent="0"/>
    </xf>
    <xf numFmtId="164" fontId="19" fillId="15" borderId="0" xfId="0" applyFont="1" applyNumberFormat="1" applyFill="1" applyAlignment="1">
      <alignment textRotation="0" horizontal="general" vertical="bottom" indent="0"/>
    </xf>
    <xf numFmtId="164" fontId="27" fillId="0" borderId="0" xfId="0" applyFont="1" applyNumberFormat="1" applyAlignment="1">
      <alignment textRotation="0" horizontal="left" vertical="center" indent="0"/>
    </xf>
    <xf numFmtId="164" fontId="15" fillId="0" borderId="0" xfId="0" applyFont="1" applyNumberFormat="1" applyAlignment="1">
      <alignment textRotation="0" horizontal="center" vertical="bottom" indent="0"/>
    </xf>
    <xf numFmtId="164" fontId="40" fillId="15" borderId="0" xfId="0" applyFont="1" applyNumberFormat="1" applyFill="1" applyAlignment="1">
      <alignment textRotation="0" horizontal="general" vertical="bottom" indent="0"/>
    </xf>
    <xf numFmtId="164" fontId="40" fillId="15" borderId="18" xfId="0" applyFont="1" applyNumberFormat="1" applyFill="1" applyBorder="1" applyAlignment="1">
      <alignment textRotation="0" horizontal="general" vertical="bottom" indent="0"/>
    </xf>
    <xf numFmtId="164" fontId="40" fillId="15" borderId="18" xfId="0" applyFont="1" applyNumberFormat="1" applyFill="1" applyBorder="1" applyAlignment="1">
      <alignment textRotation="0" horizontal="center" vertical="bottom" indent="0"/>
    </xf>
    <xf numFmtId="164" fontId="26" fillId="0" borderId="0" xfId="0" applyFont="1" applyNumberFormat="1" applyAlignment="1">
      <alignment textRotation="0" horizontal="center" vertical="center" indent="0"/>
    </xf>
    <xf numFmtId="164" fontId="27" fillId="0" borderId="0" xfId="0" applyFont="1" applyNumberFormat="1" applyAlignment="1">
      <alignment textRotation="0" horizontal="left" vertical="bottom" indent="0" wrapText="1"/>
    </xf>
    <xf numFmtId="164" fontId="27" fillId="0" borderId="0" xfId="0" applyFont="1" applyNumberFormat="1" applyAlignment="1">
      <alignment textRotation="0" horizontal="right" vertical="bottom" indent="0"/>
    </xf>
    <xf numFmtId="164" fontId="18" fillId="0" borderId="0" xfId="0" applyFont="1" applyNumberFormat="1" applyAlignment="1">
      <alignment textRotation="0" horizontal="center" vertical="center" indent="0" wrapText="1"/>
    </xf>
    <xf numFmtId="164" fontId="18" fillId="17" borderId="13" xfId="0" applyFont="1" applyNumberFormat="1" applyFill="1" applyBorder="1" applyAlignment="1">
      <alignment textRotation="0" horizontal="center" vertical="center" indent="0" wrapText="1"/>
    </xf>
    <xf numFmtId="164" fontId="18" fillId="4" borderId="24" xfId="0" applyFont="1" applyNumberFormat="1" applyFill="1" applyBorder="1" applyAlignment="1">
      <alignment textRotation="0" horizontal="center" vertical="center" indent="0" wrapText="1"/>
    </xf>
    <xf numFmtId="164" fontId="18" fillId="4" borderId="34" xfId="0" applyFont="1" applyNumberFormat="1" applyFill="1" applyBorder="1" applyAlignment="1">
      <alignment textRotation="0" horizontal="center" vertical="center" indent="0" wrapText="1"/>
    </xf>
    <xf numFmtId="164" fontId="18" fillId="4" borderId="0" xfId="0" applyFont="1" applyNumberFormat="1" applyFill="1" applyAlignment="1">
      <alignment textRotation="0" horizontal="center" vertical="center" indent="0" wrapText="1"/>
    </xf>
    <xf numFmtId="164" fontId="18" fillId="4" borderId="25" xfId="0" applyFont="1" applyNumberFormat="1" applyFill="1" applyBorder="1" applyAlignment="1">
      <alignment textRotation="0" horizontal="center" vertical="center" indent="0" wrapText="1"/>
    </xf>
    <xf numFmtId="164" fontId="18" fillId="4" borderId="26" xfId="0" applyFont="1" applyNumberFormat="1" applyFill="1" applyBorder="1" applyAlignment="1">
      <alignment textRotation="0" horizontal="center" vertical="center" indent="0" wrapText="1"/>
    </xf>
    <xf numFmtId="164" fontId="18" fillId="0" borderId="35" xfId="0" applyFont="1" applyNumberFormat="1" applyBorder="1" applyAlignment="1">
      <alignment textRotation="0" horizontal="left" vertical="bottom" indent="0"/>
    </xf>
    <xf numFmtId="164" fontId="26" fillId="15" borderId="36" xfId="0" applyFont="1" applyNumberFormat="1" applyFill="1" applyBorder="1" applyAlignment="1">
      <alignment textRotation="0" horizontal="general" vertical="bottom" indent="0"/>
    </xf>
    <xf numFmtId="164" fontId="26" fillId="15" borderId="37" xfId="0" applyFont="1" applyNumberFormat="1" applyFill="1" applyBorder="1" applyAlignment="1">
      <alignment textRotation="0" horizontal="general" vertical="bottom" indent="0"/>
    </xf>
    <xf numFmtId="164" fontId="26" fillId="15" borderId="38" xfId="0" applyFont="1" applyNumberFormat="1" applyFill="1" applyBorder="1" applyAlignment="1">
      <alignment textRotation="0" horizontal="general" vertical="bottom" indent="0"/>
    </xf>
    <xf numFmtId="164" fontId="37" fillId="0" borderId="0" xfId="0" applyFont="1" applyNumberFormat="1" applyAlignment="1">
      <alignment textRotation="0" horizontal="general" vertical="bottom" indent="0"/>
    </xf>
    <xf numFmtId="164" fontId="29" fillId="0" borderId="39" xfId="0" applyFont="1" applyNumberFormat="1" applyBorder="1" applyAlignment="1">
      <alignment textRotation="0" horizontal="left" vertical="top" indent="0" wrapText="1"/>
    </xf>
    <xf numFmtId="164" fontId="44" fillId="0" borderId="0" xfId="0" applyFont="1" applyNumberFormat="1" applyAlignment="1">
      <alignment textRotation="0" horizontal="general" vertical="bottom" indent="0"/>
    </xf>
    <xf numFmtId="164" fontId="18" fillId="0" borderId="39" xfId="0" applyFont="1" applyNumberFormat="1" applyBorder="1" applyAlignment="1">
      <alignment textRotation="0" horizontal="left" vertical="bottom" indent="0" wrapText="1"/>
    </xf>
    <xf numFmtId="164" fontId="18" fillId="0" borderId="39" xfId="0" applyFont="1" applyNumberFormat="1" applyBorder="1" applyAlignment="1">
      <alignment textRotation="0" horizontal="left" vertical="bottom" indent="0"/>
    </xf>
    <xf numFmtId="164" fontId="45" fillId="0" borderId="39" xfId="0" applyFont="1" applyNumberFormat="1" applyBorder="1" applyAlignment="1">
      <alignment textRotation="0" horizontal="center" vertical="center" indent="0"/>
    </xf>
    <xf numFmtId="164" fontId="29" fillId="0" borderId="40" xfId="0" applyFont="1" applyNumberFormat="1" applyBorder="1" applyAlignment="1">
      <alignment textRotation="0" horizontal="left" vertical="top" indent="0" wrapText="1"/>
    </xf>
    <xf numFmtId="164" fontId="5" fillId="0" borderId="0" xfId="0" applyFont="1" applyNumberFormat="1" applyAlignment="1">
      <alignment textRotation="0" horizontal="left" vertical="bottom" indent="0" wrapText="1"/>
    </xf>
    <xf numFmtId="164" fontId="32" fillId="0" borderId="0" xfId="0" applyFont="1" applyNumberFormat="1" applyAlignment="1">
      <alignment textRotation="0" horizontal="general" vertical="bottom" indent="0"/>
    </xf>
    <xf numFmtId="164" fontId="46" fillId="0" borderId="39" xfId="0" applyFont="1" applyNumberFormat="1" applyBorder="1" applyAlignment="1">
      <alignment textRotation="0" horizontal="left" vertical="top" indent="0" wrapText="1"/>
    </xf>
    <xf numFmtId="164" fontId="29" fillId="0" borderId="41" xfId="0" applyFont="1" applyNumberFormat="1" applyBorder="1" applyAlignment="1">
      <alignment textRotation="0" horizontal="left" vertical="top" indent="0" wrapText="1"/>
    </xf>
    <xf numFmtId="164" fontId="18" fillId="0" borderId="42" xfId="0" applyFont="1" applyNumberFormat="1" applyBorder="1" applyAlignment="1">
      <alignment textRotation="0" horizontal="left" vertical="bottom" indent="0" wrapText="1"/>
    </xf>
    <xf numFmtId="164" fontId="37" fillId="0" borderId="0" xfId="0" applyFont="1" applyNumberFormat="1" applyAlignment="1">
      <alignment textRotation="0" horizontal="left" vertical="top" indent="0" wrapText="1"/>
    </xf>
    <xf numFmtId="164" fontId="29" fillId="0" borderId="43" xfId="0" applyFont="1" applyNumberFormat="1" applyBorder="1" applyAlignment="1">
      <alignment textRotation="0" horizontal="left" vertical="top" indent="0" wrapText="1"/>
    </xf>
    <xf numFmtId="164" fontId="18" fillId="0" borderId="24" xfId="0" applyFont="1" applyNumberFormat="1" applyBorder="1" applyAlignment="1">
      <alignment textRotation="0" horizontal="left" vertical="bottom" indent="0" wrapText="1"/>
    </xf>
    <xf numFmtId="164" fontId="47" fillId="0" borderId="0" xfId="0" applyFont="1" applyNumberFormat="1" applyAlignment="1">
      <alignment textRotation="0" horizontal="left" vertical="top" indent="0" wrapText="1"/>
    </xf>
    <xf numFmtId="164" fontId="48" fillId="0" borderId="0" xfId="0" applyFont="1" applyNumberFormat="1" applyAlignment="1">
      <alignment textRotation="0" horizontal="general" vertical="bottom" indent="0"/>
    </xf>
    <xf numFmtId="164" fontId="18" fillId="17" borderId="17" xfId="0" applyFont="1" applyNumberFormat="1" applyFill="1" applyBorder="1" applyAlignment="1">
      <alignment textRotation="0" horizontal="center" vertical="center" indent="0" wrapText="1"/>
    </xf>
    <xf numFmtId="164" fontId="47" fillId="0" borderId="0" xfId="0" applyFont="1" applyNumberFormat="1" applyAlignment="1">
      <alignment textRotation="0" horizontal="general" vertical="bottom" indent="0"/>
    </xf>
    <xf numFmtId="164" fontId="49" fillId="0" borderId="39" xfId="0" applyFont="1" applyNumberFormat="1" applyBorder="1" applyAlignment="1">
      <alignment textRotation="0" horizontal="center" vertical="center" indent="0" wrapText="1"/>
    </xf>
    <xf numFmtId="164" fontId="18" fillId="0" borderId="40" xfId="0" applyFont="1" applyNumberFormat="1" applyBorder="1" applyAlignment="1">
      <alignment textRotation="0" horizontal="left" vertical="bottom" indent="0" wrapText="1"/>
    </xf>
    <xf numFmtId="164" fontId="29" fillId="0" borderId="0" xfId="0" applyFont="1" applyNumberFormat="1" applyAlignment="1">
      <alignment textRotation="0" horizontal="general" vertical="bottom" indent="0"/>
    </xf>
    <xf numFmtId="164" fontId="50" fillId="0" borderId="0" xfId="0" applyFont="1" applyNumberFormat="1" applyAlignment="1">
      <alignment textRotation="0" horizontal="general" vertical="bottom" indent="0"/>
    </xf>
    <xf numFmtId="164" fontId="40" fillId="0" borderId="0" xfId="0" applyFont="1" applyNumberFormat="1" applyAlignment="1">
      <alignment textRotation="0" horizontal="left" vertical="bottom" indent="0"/>
    </xf>
    <xf numFmtId="164" fontId="51" fillId="0" borderId="0" xfId="0" applyFont="1" applyNumberFormat="1" applyAlignment="1">
      <alignment textRotation="0" horizontal="general" vertical="bottom" indent="0"/>
    </xf>
    <xf numFmtId="164" fontId="18" fillId="0" borderId="0" xfId="0" applyFont="1" applyNumberFormat="1" applyAlignment="1">
      <alignment textRotation="0" horizontal="general" vertical="bottom" indent="0"/>
    </xf>
    <xf numFmtId="164" fontId="37" fillId="0" borderId="32" xfId="0" applyFont="1" applyNumberFormat="1" applyBorder="1" applyAlignment="1">
      <alignment textRotation="0" horizontal="center" vertical="center" indent="0" wrapText="1"/>
    </xf>
    <xf numFmtId="164" fontId="18" fillId="4" borderId="44" xfId="0" applyFont="1" applyNumberFormat="1" applyFill="1" applyBorder="1" applyAlignment="1">
      <alignment textRotation="0" horizontal="center" vertical="center" indent="0" wrapText="1"/>
    </xf>
    <xf numFmtId="164" fontId="18" fillId="4" borderId="29" xfId="0" applyFont="1" applyNumberFormat="1" applyFill="1" applyBorder="1" applyAlignment="1">
      <alignment textRotation="0" horizontal="center" vertical="center" indent="0" wrapText="1"/>
    </xf>
    <xf numFmtId="164" fontId="29" fillId="4" borderId="45" xfId="0" applyFont="1" applyNumberFormat="1" applyFill="1" applyBorder="1" applyAlignment="1">
      <alignment textRotation="0" horizontal="center" vertical="center" indent="0" wrapText="1"/>
    </xf>
    <xf numFmtId="164" fontId="29" fillId="4" borderId="46" xfId="0" applyFont="1" applyNumberFormat="1" applyFill="1" applyBorder="1" applyAlignment="1">
      <alignment textRotation="0" horizontal="center" vertical="center" indent="0" wrapText="1"/>
    </xf>
    <xf numFmtId="164" fontId="26" fillId="17" borderId="27" xfId="0" applyFont="1" applyNumberFormat="1" applyFill="1" applyBorder="1" applyAlignment="1">
      <alignment textRotation="0" horizontal="left" vertical="bottom" indent="0"/>
    </xf>
    <xf numFmtId="164" fontId="15" fillId="0" borderId="47" xfId="0" applyFont="1" applyNumberFormat="1" applyBorder="1" applyAlignment="1">
      <alignment textRotation="0" horizontal="general" vertical="bottom" indent="0"/>
    </xf>
    <xf numFmtId="164" fontId="15" fillId="15" borderId="28" xfId="0" applyFont="1" applyNumberFormat="1" applyFill="1" applyBorder="1" applyAlignment="1">
      <alignment textRotation="0" horizontal="center" vertical="bottom" indent="0"/>
    </xf>
    <xf numFmtId="164" fontId="40" fillId="0" borderId="48" xfId="0" applyFont="1" applyNumberFormat="1" applyBorder="1" applyAlignment="1">
      <alignment textRotation="0" horizontal="left" vertical="bottom" indent="0"/>
    </xf>
    <xf numFmtId="164" fontId="15" fillId="0" borderId="49" xfId="0" applyFont="1" applyNumberFormat="1" applyBorder="1" applyAlignment="1">
      <alignment textRotation="0" horizontal="center" vertical="bottom" indent="0"/>
    </xf>
    <xf numFmtId="164" fontId="26" fillId="17" borderId="48" xfId="0" applyFont="1" applyNumberFormat="1" applyFill="1" applyBorder="1" applyAlignment="1">
      <alignment textRotation="0" horizontal="left" vertical="bottom" indent="0" wrapText="1"/>
    </xf>
    <xf numFmtId="164" fontId="15" fillId="0" borderId="17" xfId="0" applyFont="1" applyNumberFormat="1" applyBorder="1" applyAlignment="1">
      <alignment textRotation="0" horizontal="general" vertical="bottom" indent="0"/>
    </xf>
    <xf numFmtId="164" fontId="15" fillId="15" borderId="29" xfId="0" applyFont="1" applyNumberFormat="1" applyFill="1" applyBorder="1" applyAlignment="1">
      <alignment textRotation="0" horizontal="center" vertical="bottom" indent="0"/>
    </xf>
    <xf numFmtId="164" fontId="15" fillId="15" borderId="50" xfId="0" applyFont="1" applyNumberFormat="1" applyFill="1" applyBorder="1" applyAlignment="1">
      <alignment textRotation="0" horizontal="center" vertical="bottom" indent="0"/>
    </xf>
    <xf numFmtId="164" fontId="15" fillId="0" borderId="51" xfId="0" applyFont="1" applyNumberFormat="1" applyBorder="1" applyAlignment="1">
      <alignment textRotation="0" horizontal="general" vertical="bottom" indent="0"/>
    </xf>
    <xf numFmtId="164" fontId="40" fillId="0" borderId="52" xfId="0" applyFont="1" applyNumberFormat="1" applyBorder="1" applyAlignment="1">
      <alignment textRotation="0" horizontal="left" vertical="bottom" indent="0"/>
    </xf>
    <xf numFmtId="164" fontId="19" fillId="15" borderId="53" xfId="0" applyFont="1" applyNumberFormat="1" applyFill="1" applyBorder="1" applyAlignment="1">
      <alignment textRotation="0" horizontal="general" vertical="bottom" indent="0"/>
    </xf>
    <xf numFmtId="164" fontId="15" fillId="0" borderId="54" xfId="0" applyFont="1" applyNumberFormat="1" applyBorder="1" applyAlignment="1">
      <alignment textRotation="0" horizontal="general" vertical="bottom" indent="0"/>
    </xf>
    <xf numFmtId="164" fontId="15" fillId="0" borderId="55" xfId="0" applyFont="1" applyNumberFormat="1" applyBorder="1" applyAlignment="1">
      <alignment textRotation="0" horizontal="general" vertical="bottom" indent="0"/>
    </xf>
    <xf numFmtId="164" fontId="34" fillId="0" borderId="0" xfId="0" applyFont="1" applyNumberFormat="1" applyAlignment="1">
      <alignment textRotation="0" horizontal="left" vertical="center" indent="0" wrapText="1"/>
    </xf>
    <xf numFmtId="164" fontId="27" fillId="0" borderId="0" xfId="0" applyFont="1" applyNumberFormat="1" applyAlignment="1">
      <alignment textRotation="0" horizontal="left" vertical="bottom" indent="0"/>
    </xf>
    <xf numFmtId="164" fontId="19" fillId="0" borderId="10" xfId="0" applyFont="1" applyNumberFormat="1" applyBorder="1" applyAlignment="1">
      <alignment textRotation="0" horizontal="left" vertical="bottom" indent="0"/>
    </xf>
    <xf numFmtId="164" fontId="36" fillId="4" borderId="56" xfId="0" applyFont="1" applyNumberFormat="1" applyFill="1" applyBorder="1" applyAlignment="1">
      <alignment textRotation="0" horizontal="center" vertical="center" indent="0"/>
    </xf>
    <xf numFmtId="164" fontId="52" fillId="0" borderId="0" xfId="0" applyFont="1" applyNumberFormat="1" applyAlignment="1">
      <alignment textRotation="0" horizontal="general" vertical="bottom" indent="0"/>
    </xf>
    <xf numFmtId="164" fontId="24" fillId="0" borderId="0" xfId="0" applyFont="1" applyNumberFormat="1" applyAlignment="1">
      <alignment textRotation="0" horizontal="general" vertical="bottom" indent="0"/>
    </xf>
    <xf numFmtId="164" fontId="19" fillId="0" borderId="0" xfId="0" applyFont="1" applyNumberFormat="1" applyAlignment="1">
      <alignment textRotation="0" horizontal="general" vertical="bottom" indent="0"/>
    </xf>
    <xf numFmtId="165" fontId="24" fillId="15" borderId="57" xfId="0" applyFont="1" applyNumberFormat="1" applyFill="1" applyBorder="1" applyAlignment="1">
      <alignment textRotation="0" horizontal="general" vertical="bottom" indent="0"/>
    </xf>
    <xf numFmtId="164" fontId="33" fillId="0" borderId="57" xfId="0" applyFont="1" applyNumberFormat="1" applyBorder="1" applyAlignment="1">
      <alignment textRotation="0" horizontal="right" vertical="bottom" indent="0"/>
    </xf>
    <xf numFmtId="165" fontId="24" fillId="15" borderId="58" xfId="0" applyFont="1" applyNumberFormat="1" applyFill="1" applyBorder="1" applyAlignment="1">
      <alignment textRotation="0" horizontal="general" vertical="bottom" indent="0"/>
    </xf>
    <xf numFmtId="164" fontId="33" fillId="0" borderId="59" xfId="0" applyFont="1" applyNumberFormat="1" applyBorder="1" applyAlignment="1">
      <alignment textRotation="0" horizontal="general" vertical="bottom" indent="0"/>
    </xf>
    <xf numFmtId="164" fontId="33" fillId="0" borderId="0" xfId="0" applyFont="1" applyNumberFormat="1" applyAlignment="1">
      <alignment textRotation="0" horizontal="right" vertical="bottom" indent="0"/>
    </xf>
    <xf numFmtId="164" fontId="33" fillId="0" borderId="32" xfId="0" applyFont="1" applyNumberFormat="1" applyBorder="1" applyAlignment="1">
      <alignment textRotation="0" horizontal="right" vertical="bottom" indent="0"/>
    </xf>
    <xf numFmtId="164" fontId="33" fillId="0" borderId="33" xfId="0" applyFont="1" applyNumberFormat="1" applyBorder="1" applyAlignment="1">
      <alignment textRotation="0" horizontal="center" vertical="bottom" indent="0"/>
    </xf>
    <xf numFmtId="165" fontId="24" fillId="15" borderId="60" xfId="0" applyFont="1" applyNumberFormat="1" applyFill="1" applyBorder="1" applyAlignment="1">
      <alignment textRotation="0" horizontal="general" vertical="bottom" indent="0"/>
    </xf>
    <xf numFmtId="165" fontId="24" fillId="0" borderId="60" xfId="0" applyFont="1" applyNumberFormat="1" applyBorder="1" applyAlignment="1">
      <alignment textRotation="0" horizontal="general" vertical="bottom" indent="0"/>
    </xf>
    <xf numFmtId="164" fontId="33" fillId="0" borderId="60" xfId="0" applyFont="1" applyNumberFormat="1" applyBorder="1" applyAlignment="1">
      <alignment textRotation="0" horizontal="right" vertical="bottom" indent="0"/>
    </xf>
    <xf numFmtId="165" fontId="24" fillId="15" borderId="61" xfId="0" applyFont="1" applyNumberFormat="1" applyFill="1" applyBorder="1" applyAlignment="1">
      <alignment textRotation="0" horizontal="general" vertical="bottom" indent="0"/>
    </xf>
    <xf numFmtId="164" fontId="26" fillId="0" borderId="0" xfId="0" applyFont="1" applyNumberFormat="1" applyAlignment="1">
      <alignment textRotation="0" horizontal="general" vertical="bottom" indent="0"/>
    </xf>
    <xf numFmtId="164" fontId="33" fillId="0" borderId="0" xfId="0" applyFont="1" applyNumberFormat="1" applyAlignment="1">
      <alignment textRotation="0" horizontal="left" vertical="bottom" indent="0"/>
    </xf>
    <xf numFmtId="164" fontId="26" fillId="15" borderId="0" xfId="0" applyFont="1" applyNumberFormat="1" applyFill="1" applyAlignment="1">
      <alignment textRotation="0" horizontal="center" vertical="bottom" indent="0"/>
    </xf>
    <xf numFmtId="165" fontId="24" fillId="15" borderId="0" xfId="0" applyFont="1" applyNumberFormat="1" applyFill="1" applyAlignment="1">
      <alignment textRotation="0" horizontal="general" vertical="bottom" indent="0"/>
    </xf>
    <xf numFmtId="164" fontId="33" fillId="0" borderId="0" xfId="0" applyFont="1" applyNumberFormat="1" applyAlignment="1">
      <alignment textRotation="0" horizontal="general" vertical="bottom" indent="0"/>
    </xf>
    <xf numFmtId="164" fontId="33" fillId="0" borderId="0" xfId="0" applyFont="1" applyNumberFormat="1" applyAlignment="1">
      <alignment textRotation="0" horizontal="general" vertical="top" indent="0"/>
    </xf>
    <xf numFmtId="164" fontId="53" fillId="0" borderId="0" xfId="0" applyFont="1" applyNumberFormat="1" applyAlignment="1">
      <alignment textRotation="0" horizontal="general" vertical="bottom" indent="0"/>
    </xf>
    <xf numFmtId="164" fontId="33" fillId="15" borderId="0" xfId="0" applyFont="1" applyNumberFormat="1" applyFill="1" applyAlignment="1">
      <alignment textRotation="0" horizontal="general" vertical="bottom" indent="0"/>
    </xf>
    <xf numFmtId="164" fontId="26" fillId="15" borderId="0" xfId="0" applyFont="1" applyNumberFormat="1" applyFill="1" applyAlignment="1">
      <alignment textRotation="0" horizontal="general" vertical="bottom" indent="0"/>
    </xf>
    <xf numFmtId="164" fontId="40" fillId="0" borderId="0" xfId="0" applyFont="1" applyNumberFormat="1" applyAlignment="1">
      <alignment textRotation="0" horizontal="right" vertical="bottom" indent="0"/>
    </xf>
    <xf numFmtId="164" fontId="26" fillId="0" borderId="0" xfId="0" applyFont="1" applyNumberFormat="1" applyAlignment="1">
      <alignment textRotation="0" horizontal="right" vertical="bottom" indent="0" wrapText="1"/>
    </xf>
    <xf numFmtId="165" fontId="24" fillId="15" borderId="0" xfId="0" applyFont="1" applyNumberFormat="1" applyFill="1" applyAlignment="1">
      <alignment textRotation="0" horizontal="center" vertical="bottom" indent="0"/>
    </xf>
    <xf numFmtId="164" fontId="26" fillId="0" borderId="0" xfId="0" applyFont="1" applyNumberFormat="1" applyAlignment="1">
      <alignment textRotation="0" horizontal="right" vertical="bottom" indent="0"/>
    </xf>
    <xf numFmtId="166" fontId="26" fillId="0" borderId="0" xfId="0" applyFont="1" applyNumberFormat="1" applyAlignment="1">
      <alignment textRotation="0" horizontal="general" vertical="top" indent="0"/>
    </xf>
    <xf numFmtId="164" fontId="33" fillId="0" borderId="0" xfId="0" applyFont="1" applyNumberFormat="1" applyAlignment="1">
      <alignment textRotation="0" horizontal="center" vertical="bottom" indent="0" wrapText="1"/>
    </xf>
    <xf numFmtId="164" fontId="33" fillId="0" borderId="0" xfId="0" applyFont="1" applyNumberFormat="1" applyAlignment="1">
      <alignment textRotation="90" horizontal="general" vertical="bottom" indent="0"/>
    </xf>
    <xf numFmtId="165" fontId="24" fillId="15" borderId="18" xfId="0" applyFont="1" applyNumberFormat="1" applyFill="1" applyBorder="1" applyAlignment="1">
      <alignment textRotation="0" horizontal="general" vertical="bottom" indent="0"/>
    </xf>
    <xf numFmtId="164" fontId="33" fillId="0" borderId="0" xfId="0" applyFont="1" applyNumberFormat="1" applyAlignment="1">
      <alignment textRotation="0" horizontal="general" vertical="center" indent="0"/>
    </xf>
    <xf numFmtId="164" fontId="15" fillId="0" borderId="0" xfId="0" applyFont="1" applyNumberFormat="1" applyAlignment="1">
      <alignment textRotation="0" horizontal="general" vertical="bottom" indent="0"/>
    </xf>
    <xf numFmtId="164" fontId="36" fillId="4" borderId="0" xfId="0" applyFont="1" applyNumberFormat="1" applyFill="1" applyAlignment="1">
      <alignment textRotation="0" horizontal="center" vertical="center" indent="0"/>
    </xf>
    <xf numFmtId="164" fontId="16" fillId="4" borderId="18" xfId="0" applyFont="1" applyNumberFormat="1" applyFill="1" applyBorder="1" applyAlignment="1">
      <alignment textRotation="0" horizontal="center" vertical="center" indent="0" wrapText="1"/>
    </xf>
    <xf numFmtId="169" fontId="7" fillId="12" borderId="62" xfId="0" applyFont="1" applyNumberFormat="1" applyFill="1" applyBorder="1" applyAlignment="1">
      <alignment textRotation="0" horizontal="general" vertical="center" indent="0"/>
    </xf>
    <xf numFmtId="164" fontId="54" fillId="0" borderId="0" xfId="0" applyFont="1" applyNumberFormat="1" applyAlignment="1">
      <alignment textRotation="0" horizontal="general" vertical="bottom" indent="0" wrapText="1"/>
    </xf>
    <xf numFmtId="164" fontId="55" fillId="0" borderId="0" xfId="0" applyFont="1" applyNumberFormat="1" applyAlignment="1">
      <alignment textRotation="0" horizontal="right" vertical="bottom" indent="0" wrapText="1"/>
    </xf>
    <xf numFmtId="164" fontId="14" fillId="0" borderId="0" xfId="0" applyFont="1" applyNumberFormat="1" applyAlignment="1">
      <alignment textRotation="0" horizontal="center" vertical="center" indent="0" wrapText="1"/>
    </xf>
    <xf numFmtId="164" fontId="48" fillId="0" borderId="0" xfId="0" applyFont="1" applyNumberFormat="1" applyAlignment="1">
      <alignment textRotation="0" horizontal="left" vertical="bottom" indent="0"/>
    </xf>
    <xf numFmtId="164" fontId="6" fillId="0" borderId="63" xfId="0" applyFont="1" applyNumberFormat="1" applyBorder="1" applyAlignment="1">
      <alignment textRotation="0" horizontal="right" vertical="bottom" indent="0"/>
    </xf>
    <xf numFmtId="164" fontId="5" fillId="0" borderId="0" xfId="0" applyFont="1" applyNumberFormat="1" applyAlignment="1">
      <alignment textRotation="0" horizontal="general" vertical="center" indent="0" wrapText="1"/>
    </xf>
    <xf numFmtId="164" fontId="6" fillId="0" borderId="0" xfId="0" applyFont="1" applyNumberFormat="1" applyAlignment="1">
      <alignment textRotation="0" horizontal="right" vertical="bottom" indent="0"/>
    </xf>
    <xf numFmtId="164" fontId="3" fillId="6" borderId="0" xfId="0" applyFont="1" applyNumberFormat="1" applyFill="1" applyAlignment="1">
      <alignment textRotation="0" horizontal="center" vertical="center" indent="0"/>
    </xf>
    <xf numFmtId="164" fontId="5" fillId="0" borderId="0" xfId="0" applyFont="1" applyNumberFormat="1" applyAlignment="1">
      <alignment textRotation="0" horizontal="general" vertical="bottom" indent="0" wrapText="1"/>
    </xf>
    <xf numFmtId="164" fontId="5" fillId="0" borderId="63" xfId="0" applyFont="1" applyNumberFormat="1" applyBorder="1" applyAlignment="1">
      <alignment textRotation="0" horizontal="right" vertical="center" indent="0" wrapText="1"/>
    </xf>
    <xf numFmtId="164" fontId="56" fillId="0" borderId="0" xfId="0" applyFont="1" applyNumberFormat="1" applyAlignment="1">
      <alignment textRotation="0" horizontal="general" vertical="bottom" indent="0"/>
    </xf>
    <xf numFmtId="164" fontId="55" fillId="6" borderId="62" xfId="0" applyFont="1" applyNumberFormat="1" applyFill="1" applyBorder="1" applyAlignment="1">
      <alignment textRotation="0" horizontal="center" vertical="bottom" indent="0"/>
    </xf>
    <xf numFmtId="164" fontId="45" fillId="6" borderId="0" xfId="0" applyFont="1" applyNumberFormat="1" applyFill="1" applyAlignment="1">
      <alignment textRotation="0" horizontal="center" vertical="bottom" indent="0"/>
    </xf>
    <xf numFmtId="174" fontId="44" fillId="0" borderId="0" xfId="0" applyFont="1" applyNumberFormat="1" applyAlignment="1">
      <alignment textRotation="0" horizontal="left" vertical="bottom" indent="0"/>
    </xf>
    <xf numFmtId="172" fontId="9" fillId="12" borderId="62" xfId="0" applyFont="1" applyNumberFormat="1" applyFill="1" applyBorder="1" applyAlignment="1">
      <alignment textRotation="0" horizontal="center" vertical="center" indent="0" wrapText="1"/>
    </xf>
    <xf numFmtId="164" fontId="54" fillId="0" borderId="0" xfId="0" applyFont="1" applyNumberFormat="1" applyAlignment="1">
      <alignment textRotation="0" horizontal="right" vertical="bottom" indent="0"/>
    </xf>
    <xf numFmtId="164" fontId="6" fillId="0" borderId="63" xfId="0" applyFont="1" applyNumberFormat="1" applyBorder="1" applyAlignment="1">
      <alignment textRotation="0" horizontal="right" vertical="center" indent="0"/>
    </xf>
    <xf numFmtId="169" fontId="55" fillId="6" borderId="62" xfId="0" applyFont="1" applyNumberFormat="1" applyFill="1" applyBorder="1" applyAlignment="1">
      <alignment textRotation="0" horizontal="center" vertical="bottom" indent="0"/>
    </xf>
    <xf numFmtId="164" fontId="5" fillId="0" borderId="0" xfId="0" applyFont="1" applyNumberFormat="1" applyAlignment="1">
      <alignment textRotation="0" horizontal="right" vertical="center" indent="0"/>
    </xf>
    <xf numFmtId="164" fontId="5" fillId="0" borderId="0" xfId="0" applyFont="1" applyNumberFormat="1" applyAlignment="1">
      <alignment textRotation="0" horizontal="center" vertical="center" indent="0"/>
    </xf>
    <xf numFmtId="164" fontId="45" fillId="0" borderId="0" xfId="0" applyFont="1" applyNumberFormat="1" applyAlignment="1">
      <alignment textRotation="0" horizontal="left" vertical="center" indent="0"/>
    </xf>
    <xf numFmtId="164" fontId="57" fillId="6" borderId="0" xfId="0" applyFont="1" applyNumberFormat="1" applyFill="1" applyAlignment="1">
      <alignment textRotation="0" horizontal="center" vertical="bottom" indent="0" wrapText="1"/>
    </xf>
    <xf numFmtId="164" fontId="58" fillId="0" borderId="0" xfId="0" applyFont="1" applyNumberFormat="1" applyAlignment="1">
      <alignment textRotation="0" horizontal="right" vertical="bottom" indent="0"/>
    </xf>
    <xf numFmtId="164" fontId="5" fillId="0" borderId="0" xfId="0" applyFont="1" applyNumberFormat="1" applyAlignment="1">
      <alignment textRotation="0" horizontal="center" vertical="bottom" indent="0" wrapText="1"/>
    </xf>
    <xf numFmtId="170" fontId="7" fillId="12" borderId="0" xfId="0" applyFont="1" applyNumberFormat="1" applyFill="1" applyAlignment="1">
      <alignment textRotation="0" horizontal="center" vertical="bottom" indent="0"/>
    </xf>
    <xf numFmtId="164" fontId="9" fillId="12" borderId="62" xfId="0" applyFont="1" applyNumberFormat="1" applyFill="1" applyBorder="1" applyAlignment="1">
      <alignment textRotation="0" horizontal="center" vertical="center" indent="0" wrapText="1"/>
    </xf>
    <xf numFmtId="164" fontId="45" fillId="0" borderId="0" xfId="0" applyFont="1" applyNumberFormat="1" applyAlignment="1">
      <alignment textRotation="0" horizontal="general" vertical="bottom" indent="0"/>
    </xf>
    <xf numFmtId="164" fontId="59" fillId="0" borderId="0" xfId="0" applyFont="1" applyNumberFormat="1" applyAlignment="1">
      <alignment textRotation="0" horizontal="right" vertical="center" indent="0"/>
    </xf>
    <xf numFmtId="164" fontId="60" fillId="0" borderId="0" xfId="0" applyFont="1" applyNumberFormat="1" applyAlignment="1">
      <alignment textRotation="0" horizontal="left" vertical="bottom" indent="0"/>
    </xf>
    <xf numFmtId="172" fontId="45" fillId="0" borderId="0" xfId="0" applyFont="1" applyNumberFormat="1" applyAlignment="1">
      <alignment textRotation="0" horizontal="center" vertical="bottom" indent="0"/>
    </xf>
    <xf numFmtId="164" fontId="5" fillId="0" borderId="0" xfId="0" applyFont="1" applyNumberFormat="1" applyAlignment="1">
      <alignment textRotation="0" horizontal="general" vertical="center" indent="0"/>
    </xf>
    <xf numFmtId="164" fontId="5" fillId="0" borderId="0" xfId="0" applyFont="1" applyNumberFormat="1" applyAlignment="1">
      <alignment textRotation="0" horizontal="center" vertical="center" indent="0" wrapText="1"/>
    </xf>
    <xf numFmtId="170" fontId="7" fillId="12" borderId="0" xfId="0" applyFont="1" applyNumberFormat="1" applyFill="1" applyAlignment="1">
      <alignment textRotation="0" horizontal="center" vertical="center" indent="0"/>
    </xf>
    <xf numFmtId="164" fontId="3" fillId="0" borderId="0" xfId="0" applyFont="1" applyNumberFormat="1" applyAlignment="1">
      <alignment textRotation="0" horizontal="left" vertical="center" indent="0" wrapText="1"/>
    </xf>
    <xf numFmtId="164" fontId="59" fillId="0" borderId="0" xfId="0" applyFont="1" applyNumberFormat="1" applyAlignment="1">
      <alignment textRotation="0" horizontal="general" vertical="center" indent="0"/>
    </xf>
    <xf numFmtId="181" fontId="9" fillId="12" borderId="64" xfId="0" applyFont="1" applyNumberFormat="1" applyFill="1" applyBorder="1" applyAlignment="1">
      <alignment textRotation="0" horizontal="center" vertical="center" indent="0" wrapText="1"/>
    </xf>
    <xf numFmtId="172" fontId="60" fillId="0" borderId="0" xfId="0" applyFont="1" applyNumberFormat="1" applyAlignment="1">
      <alignment textRotation="0" horizontal="general" vertical="bottom" indent="0"/>
    </xf>
    <xf numFmtId="164" fontId="6" fillId="0" borderId="0" xfId="0" applyFont="1" applyNumberFormat="1" applyAlignment="1">
      <alignment textRotation="0" horizontal="right" vertical="center" indent="0"/>
    </xf>
    <xf numFmtId="174" fontId="9" fillId="12" borderId="0" xfId="0" applyFont="1" applyNumberFormat="1" applyFill="1" applyAlignment="1">
      <alignment textRotation="0" horizontal="center" vertical="bottom" indent="0"/>
    </xf>
    <xf numFmtId="164" fontId="61" fillId="0" borderId="0" xfId="0" applyFont="1" applyNumberFormat="1" applyAlignment="1">
      <alignment textRotation="0" horizontal="general" vertical="bottom" indent="0"/>
    </xf>
    <xf numFmtId="164" fontId="6" fillId="0" borderId="0" xfId="0" applyFont="1" applyNumberFormat="1" applyAlignment="1">
      <alignment textRotation="0" horizontal="general" vertical="center" indent="0"/>
    </xf>
    <xf numFmtId="164" fontId="62" fillId="6" borderId="62" xfId="0" applyFont="1" applyNumberFormat="1" applyFill="1" applyBorder="1" applyAlignment="1">
      <alignment textRotation="0" horizontal="general" vertical="bottom" indent="0"/>
    </xf>
    <xf numFmtId="164" fontId="63" fillId="0" borderId="0" xfId="0" applyFont="1" applyNumberFormat="1" applyAlignment="1">
      <alignment textRotation="0" horizontal="general" vertical="bottom" indent="0"/>
    </xf>
    <xf numFmtId="164" fontId="13" fillId="0" borderId="0" xfId="0" applyFont="1" applyNumberFormat="1" applyAlignment="1">
      <alignment textRotation="0" horizontal="general" vertical="center" indent="0"/>
    </xf>
    <xf numFmtId="164" fontId="6" fillId="6" borderId="18" xfId="0" applyFont="1" applyNumberFormat="1" applyFill="1" applyBorder="1" applyAlignment="1">
      <alignment textRotation="0" horizontal="center" vertical="center" indent="0" wrapText="1"/>
    </xf>
    <xf numFmtId="164" fontId="7" fillId="10" borderId="65" xfId="0" applyFont="1" applyNumberFormat="1" applyFill="1" applyBorder="1" applyAlignment="1">
      <alignment textRotation="0" horizontal="center" vertical="center" indent="0"/>
    </xf>
    <xf numFmtId="164" fontId="7" fillId="10" borderId="17" xfId="0" applyFont="1" applyNumberFormat="1" applyFill="1" applyBorder="1" applyAlignment="1">
      <alignment textRotation="0" horizontal="center" vertical="center" indent="0"/>
    </xf>
    <xf numFmtId="164" fontId="7" fillId="10" borderId="31" xfId="0" applyFont="1" applyNumberFormat="1" applyFill="1" applyBorder="1" applyAlignment="1">
      <alignment textRotation="0" horizontal="center" vertical="center" indent="0"/>
    </xf>
    <xf numFmtId="164" fontId="6" fillId="6" borderId="0" xfId="0" applyFont="1" applyNumberFormat="1" applyFill="1" applyAlignment="1">
      <alignment textRotation="0" horizontal="center" vertical="center" indent="0" wrapText="1"/>
    </xf>
    <xf numFmtId="164" fontId="7" fillId="10" borderId="0" xfId="0" applyFont="1" applyNumberFormat="1" applyFill="1" applyAlignment="1">
      <alignment textRotation="0" horizontal="center" vertical="center" indent="0"/>
    </xf>
    <xf numFmtId="164" fontId="13" fillId="0" borderId="0" xfId="0" applyFont="1" applyNumberFormat="1" applyAlignment="1">
      <alignment textRotation="0" horizontal="center" vertical="center" indent="0" wrapText="1"/>
    </xf>
    <xf numFmtId="164" fontId="13" fillId="0" borderId="18" xfId="0" applyFont="1" applyNumberFormat="1" applyBorder="1" applyAlignment="1">
      <alignment textRotation="0" horizontal="center" vertical="center" indent="0" wrapText="1"/>
    </xf>
    <xf numFmtId="164" fontId="3" fillId="0" borderId="0" xfId="0" applyFont="1" applyNumberFormat="1" applyAlignment="1">
      <alignment textRotation="0" horizontal="right" vertical="center" indent="0"/>
    </xf>
    <xf numFmtId="164" fontId="64" fillId="6" borderId="0" xfId="0" applyFont="1" applyNumberFormat="1" applyFill="1" applyAlignment="1">
      <alignment textRotation="0" horizontal="center" vertical="center" indent="0" wrapText="1"/>
    </xf>
    <xf numFmtId="164" fontId="13" fillId="0" borderId="0" xfId="0" applyFont="1" applyNumberFormat="1" applyAlignment="1">
      <alignment textRotation="0" horizontal="center" vertical="center" indent="0"/>
    </xf>
    <xf numFmtId="164" fontId="5" fillId="6" borderId="66" xfId="0" applyFont="1" applyNumberFormat="1" applyFill="1" applyBorder="1" applyAlignment="1">
      <alignment textRotation="0" horizontal="center" vertical="center" indent="0" wrapText="1"/>
    </xf>
    <xf numFmtId="172" fontId="5" fillId="6" borderId="62" xfId="0" applyFont="1" applyNumberFormat="1" applyFill="1" applyBorder="1" applyAlignment="1">
      <alignment textRotation="0" horizontal="center" vertical="center" indent="0" wrapText="1"/>
    </xf>
    <xf numFmtId="172" fontId="9" fillId="12" borderId="0" xfId="0" applyFont="1" applyNumberFormat="1" applyFill="1" applyAlignment="1">
      <alignment textRotation="0" horizontal="general" vertical="center" indent="0"/>
    </xf>
    <xf numFmtId="174" fontId="9" fillId="12" borderId="64" xfId="0" applyFont="1" applyNumberFormat="1" applyFill="1" applyBorder="1" applyAlignment="1">
      <alignment textRotation="0" horizontal="general" vertical="center" indent="0" wrapText="1"/>
    </xf>
    <xf numFmtId="164" fontId="45" fillId="0" borderId="0" xfId="0" applyFont="1" applyNumberFormat="1" applyAlignment="1">
      <alignment textRotation="0" horizontal="center" vertical="center" indent="0" wrapText="1"/>
    </xf>
    <xf numFmtId="164" fontId="64" fillId="6" borderId="42" xfId="0" applyFont="1" applyNumberFormat="1" applyFill="1" applyBorder="1" applyAlignment="1">
      <alignment textRotation="0" horizontal="center" vertical="center" indent="0" wrapText="1"/>
    </xf>
    <xf numFmtId="164" fontId="5" fillId="6" borderId="33" xfId="0" applyFont="1" applyNumberFormat="1" applyFill="1" applyBorder="1" applyAlignment="1">
      <alignment textRotation="0" horizontal="center" vertical="center" indent="0" wrapText="1"/>
    </xf>
    <xf numFmtId="164" fontId="5" fillId="6" borderId="2" xfId="0" applyFont="1" applyNumberFormat="1" applyFill="1" applyBorder="1" applyAlignment="1">
      <alignment textRotation="0" horizontal="center" vertical="center" indent="0" wrapText="1"/>
    </xf>
    <xf numFmtId="164" fontId="9" fillId="6" borderId="2" xfId="0" applyFont="1" applyNumberFormat="1" applyFill="1" applyBorder="1" applyAlignment="1">
      <alignment textRotation="0" horizontal="center" vertical="center" indent="0" wrapText="1"/>
    </xf>
    <xf numFmtId="164" fontId="9" fillId="6" borderId="32" xfId="0" applyFont="1" applyNumberFormat="1" applyFill="1" applyBorder="1" applyAlignment="1">
      <alignment textRotation="0" horizontal="center" vertical="center" indent="0" wrapText="1"/>
    </xf>
    <xf numFmtId="164" fontId="3" fillId="0" borderId="31" xfId="0" applyFont="1" applyNumberFormat="1" applyBorder="1" applyAlignment="1">
      <alignment textRotation="0" horizontal="center" vertical="center" indent="0" wrapText="1"/>
    </xf>
    <xf numFmtId="164" fontId="3" fillId="0" borderId="31" xfId="0" applyFont="1" applyNumberFormat="1" applyBorder="1" applyAlignment="1">
      <alignment textRotation="0" horizontal="center" vertical="bottom" indent="0"/>
    </xf>
    <xf numFmtId="170" fontId="7" fillId="8" borderId="0" xfId="0" applyFont="1" applyNumberFormat="1" applyFill="1" applyAlignment="1">
      <alignment textRotation="0" horizontal="center" vertical="center" indent="0"/>
    </xf>
    <xf numFmtId="167" fontId="7" fillId="12" borderId="32" xfId="0" applyFont="1" applyNumberFormat="1" applyFill="1" applyBorder="1" applyAlignment="1">
      <alignment textRotation="0" horizontal="right" vertical="center" indent="0"/>
    </xf>
    <xf numFmtId="164" fontId="3" fillId="0" borderId="59" xfId="0" applyFont="1" applyNumberFormat="1" applyBorder="1" applyAlignment="1">
      <alignment textRotation="0" horizontal="center" vertical="center" indent="0" wrapText="1"/>
    </xf>
    <xf numFmtId="171" fontId="3" fillId="0" borderId="0" xfId="0" applyFont="1" applyNumberFormat="1" applyAlignment="1">
      <alignment textRotation="0" horizontal="center" vertical="center" indent="0"/>
    </xf>
    <xf numFmtId="169" fontId="3" fillId="0" borderId="0" xfId="0" applyFont="1" applyNumberFormat="1" applyAlignment="1">
      <alignment textRotation="0" horizontal="general" vertical="bottom" indent="0"/>
    </xf>
    <xf numFmtId="164" fontId="13" fillId="0" borderId="31" xfId="0" applyFont="1" applyNumberFormat="1" applyBorder="1" applyAlignment="1">
      <alignment textRotation="0" horizontal="center" vertical="bottom" indent="0"/>
    </xf>
    <xf numFmtId="164" fontId="3" fillId="6" borderId="0" xfId="0" applyFont="1" applyNumberFormat="1" applyFill="1" applyAlignment="1">
      <alignment textRotation="0" horizontal="center" vertical="bottom" indent="0"/>
    </xf>
    <xf numFmtId="164" fontId="3" fillId="6" borderId="60" xfId="0" applyFont="1" applyNumberFormat="1" applyFill="1" applyBorder="1" applyAlignment="1">
      <alignment textRotation="0" horizontal="center" vertical="bottom" indent="0"/>
    </xf>
    <xf numFmtId="164" fontId="5" fillId="6" borderId="60" xfId="0" applyFont="1" applyNumberFormat="1" applyFill="1" applyBorder="1" applyAlignment="1">
      <alignment textRotation="0" horizontal="center" vertical="center" indent="0"/>
    </xf>
    <xf numFmtId="167" fontId="9" fillId="12" borderId="0" xfId="0" applyFont="1" applyNumberFormat="1" applyFill="1" applyAlignment="1">
      <alignment textRotation="0" horizontal="right" vertical="bottom" indent="0"/>
    </xf>
    <xf numFmtId="171" fontId="5" fillId="0" borderId="0" xfId="0" applyFont="1" applyNumberFormat="1" applyAlignment="1">
      <alignment textRotation="0" horizontal="center" vertical="center" indent="0"/>
    </xf>
    <xf numFmtId="164" fontId="6" fillId="6" borderId="42" xfId="0" applyFont="1" applyNumberFormat="1" applyFill="1" applyBorder="1" applyAlignment="1">
      <alignment textRotation="0" horizontal="center" vertical="center" indent="0" wrapText="1"/>
    </xf>
    <xf numFmtId="164" fontId="45" fillId="0" borderId="0" xfId="0" applyFont="1" applyNumberFormat="1" applyAlignment="1">
      <alignment textRotation="0" horizontal="right" vertical="bottom" indent="0" wrapText="1"/>
    </xf>
    <xf numFmtId="172" fontId="9" fillId="6" borderId="65" xfId="0" applyFont="1" applyNumberFormat="1" applyFill="1" applyBorder="1" applyAlignment="1">
      <alignment textRotation="0" horizontal="center" vertical="center" indent="0"/>
    </xf>
    <xf numFmtId="164" fontId="9" fillId="6" borderId="65" xfId="0" applyFont="1" applyNumberFormat="1" applyFill="1" applyBorder="1" applyAlignment="1">
      <alignment textRotation="0" horizontal="center" vertical="center" indent="0" wrapText="1"/>
    </xf>
    <xf numFmtId="164" fontId="9" fillId="12" borderId="0" xfId="0" applyFont="1" applyNumberFormat="1" applyFill="1" applyAlignment="1">
      <alignment textRotation="0" horizontal="center" vertical="center" indent="0" wrapText="1"/>
    </xf>
    <xf numFmtId="167" fontId="9" fillId="12" borderId="0" xfId="0" applyFont="1" applyNumberFormat="1" applyFill="1" applyAlignment="1">
      <alignment textRotation="0" horizontal="center" vertical="center" indent="0" wrapText="1"/>
    </xf>
    <xf numFmtId="164" fontId="3" fillId="0" borderId="33" xfId="0" applyFont="1" applyNumberFormat="1" applyBorder="1" applyAlignment="1">
      <alignment textRotation="0" horizontal="center" vertical="center" indent="0" wrapText="1"/>
    </xf>
    <xf numFmtId="164" fontId="13" fillId="10" borderId="49" xfId="0" applyFont="1" applyNumberFormat="1" applyFill="1" applyBorder="1" applyAlignment="1">
      <alignment textRotation="0" horizontal="center" vertical="center" indent="0" wrapText="1"/>
    </xf>
    <xf numFmtId="172" fontId="7" fillId="12" borderId="0" xfId="0" applyFont="1" applyNumberFormat="1" applyFill="1" applyAlignment="1">
      <alignment textRotation="0" horizontal="center" vertical="bottom" indent="0"/>
    </xf>
    <xf numFmtId="164" fontId="65" fillId="0" borderId="0" xfId="0" applyFont="1" applyNumberFormat="1" applyAlignment="1">
      <alignment textRotation="0" horizontal="general" vertical="bottom" indent="0"/>
    </xf>
    <xf numFmtId="164" fontId="65" fillId="0" borderId="0" xfId="0" applyFont="1" applyNumberFormat="1" applyAlignment="1">
      <alignment textRotation="0" horizontal="center" vertical="bottom" indent="0"/>
    </xf>
    <xf numFmtId="164" fontId="66" fillId="0" borderId="0" xfId="0" applyFont="1" applyNumberFormat="1" applyAlignment="1">
      <alignment textRotation="0" horizontal="center" vertical="bottom" indent="0"/>
    </xf>
    <xf numFmtId="164" fontId="66" fillId="0" borderId="0" xfId="0" applyFont="1" applyNumberFormat="1" applyAlignment="1">
      <alignment textRotation="0" horizontal="general" vertical="bottom" indent="0"/>
    </xf>
    <xf numFmtId="170" fontId="9" fillId="12" borderId="64" xfId="0" applyFont="1" applyNumberFormat="1" applyFill="1" applyBorder="1" applyAlignment="1">
      <alignment textRotation="0" horizontal="center" vertical="bottom" indent="0"/>
    </xf>
    <xf numFmtId="164" fontId="7" fillId="6" borderId="33" xfId="0" applyFont="1" applyNumberFormat="1" applyFill="1" applyBorder="1" applyAlignment="1">
      <alignment textRotation="0" horizontal="general" vertical="bottom" indent="0"/>
    </xf>
    <xf numFmtId="164" fontId="7" fillId="6" borderId="60" xfId="0" applyFont="1" applyNumberFormat="1" applyFill="1" applyBorder="1" applyAlignment="1">
      <alignment textRotation="0" horizontal="general" vertical="bottom" indent="0"/>
    </xf>
    <xf numFmtId="164" fontId="3" fillId="6" borderId="60" xfId="0" applyFont="1" applyNumberFormat="1" applyFill="1" applyBorder="1" applyAlignment="1">
      <alignment textRotation="0" horizontal="general" vertical="bottom" indent="0"/>
    </xf>
    <xf numFmtId="164" fontId="14" fillId="6" borderId="60" xfId="0" applyFont="1" applyNumberFormat="1" applyFill="1" applyBorder="1" applyAlignment="1">
      <alignment textRotation="0" horizontal="general" vertical="bottom" indent="0"/>
    </xf>
    <xf numFmtId="164" fontId="5" fillId="6" borderId="60" xfId="0" applyFont="1" applyNumberFormat="1" applyFill="1" applyBorder="1" applyAlignment="1">
      <alignment textRotation="0" horizontal="right" vertical="bottom" indent="0"/>
    </xf>
    <xf numFmtId="167" fontId="9" fillId="12" borderId="61" xfId="0" applyFont="1" applyNumberFormat="1" applyFill="1" applyBorder="1" applyAlignment="1">
      <alignment textRotation="0" horizontal="right" vertical="center" indent="0"/>
    </xf>
    <xf numFmtId="171" fontId="3" fillId="0" borderId="0" xfId="0" applyFont="1" applyNumberFormat="1" applyAlignment="1">
      <alignment textRotation="0" horizontal="general" vertical="bottom" indent="0"/>
    </xf>
    <xf numFmtId="164" fontId="6" fillId="0" borderId="0" xfId="0" applyFont="1" applyNumberFormat="1" applyAlignment="1">
      <alignment textRotation="0" horizontal="left" vertical="bottom" indent="0" wrapText="1"/>
    </xf>
    <xf numFmtId="164" fontId="67" fillId="0" borderId="0" xfId="0" applyFont="1" applyNumberFormat="1" applyAlignment="1">
      <alignment textRotation="0" horizontal="general" vertical="bottom" indent="0"/>
    </xf>
    <xf numFmtId="164" fontId="68" fillId="0" borderId="0" xfId="0" applyFont="1" applyNumberFormat="1" applyAlignment="1">
      <alignment textRotation="0" horizontal="center" vertical="center" indent="0" wrapText="1"/>
    </xf>
    <xf numFmtId="164" fontId="6" fillId="6" borderId="62" xfId="0" applyFont="1" applyNumberFormat="1" applyFill="1" applyBorder="1" applyAlignment="1">
      <alignment textRotation="0" horizontal="center" vertical="bottom" indent="0"/>
    </xf>
    <xf numFmtId="164" fontId="6" fillId="0" borderId="63" xfId="0" applyFont="1" applyNumberFormat="1" applyBorder="1" applyAlignment="1">
      <alignment textRotation="0" horizontal="left" vertical="bottom" indent="0" wrapText="1"/>
    </xf>
    <xf numFmtId="164" fontId="13" fillId="0" borderId="0" xfId="0" applyFont="1" applyNumberFormat="1" applyAlignment="1">
      <alignment textRotation="0" horizontal="left" vertical="center" indent="0" wrapText="1"/>
    </xf>
    <xf numFmtId="164" fontId="57" fillId="0" borderId="0" xfId="0" applyFont="1" applyNumberFormat="1" applyAlignment="1">
      <alignment textRotation="0" horizontal="left" vertical="center" indent="0"/>
    </xf>
    <xf numFmtId="174" fontId="9" fillId="12" borderId="62" xfId="0" applyFont="1" applyNumberFormat="1" applyFill="1" applyBorder="1" applyAlignment="1">
      <alignment textRotation="0" horizontal="center" vertical="bottom" indent="0"/>
    </xf>
    <xf numFmtId="164" fontId="13" fillId="0" borderId="0" xfId="0" applyFont="1" applyNumberFormat="1" applyAlignment="1">
      <alignment textRotation="0" horizontal="left" vertical="center" indent="0"/>
    </xf>
    <xf numFmtId="164" fontId="6" fillId="6" borderId="0" xfId="0" applyFont="1" applyNumberFormat="1" applyFill="1" applyAlignment="1">
      <alignment textRotation="0" horizontal="center" vertical="bottom" indent="0"/>
    </xf>
    <xf numFmtId="174" fontId="69" fillId="0" borderId="0" xfId="0" applyFont="1" applyNumberFormat="1" applyAlignment="1">
      <alignment textRotation="0" horizontal="left" vertical="bottom" indent="0"/>
    </xf>
    <xf numFmtId="164" fontId="70" fillId="0" borderId="0" xfId="0" applyFont="1" applyNumberFormat="1" applyAlignment="1">
      <alignment textRotation="0" horizontal="left" vertical="top" indent="0"/>
    </xf>
    <xf numFmtId="164" fontId="13" fillId="0" borderId="33" xfId="0" applyFont="1" applyNumberFormat="1" applyBorder="1" applyAlignment="1">
      <alignment textRotation="0" horizontal="left" vertical="top" indent="0" wrapText="1"/>
    </xf>
    <xf numFmtId="164" fontId="6" fillId="0" borderId="0" xfId="0" applyFont="1" applyNumberFormat="1" applyAlignment="1">
      <alignment textRotation="0" horizontal="center" vertical="bottom" indent="0"/>
    </xf>
    <xf numFmtId="164" fontId="71" fillId="0" borderId="0" xfId="0" applyFont="1" applyNumberFormat="1" applyAlignment="1">
      <alignment textRotation="0" horizontal="general" vertical="bottom" indent="0"/>
    </xf>
    <xf numFmtId="164" fontId="3" fillId="6" borderId="0" xfId="0" applyFont="1" applyNumberFormat="1" applyFill="1" applyAlignment="1">
      <alignment textRotation="0" horizontal="center" vertical="bottom" indent="0" wrapText="1"/>
    </xf>
    <xf numFmtId="169" fontId="9" fillId="12" borderId="62" xfId="0" applyFont="1" applyNumberFormat="1" applyFill="1" applyBorder="1" applyAlignment="1">
      <alignment textRotation="0" horizontal="center" vertical="center" indent="0"/>
    </xf>
    <xf numFmtId="164" fontId="72" fillId="0" borderId="0" xfId="0" applyFont="1" applyNumberFormat="1" applyAlignment="1">
      <alignment textRotation="0" horizontal="left" vertical="center" indent="0"/>
    </xf>
    <xf numFmtId="164" fontId="72" fillId="0" borderId="0" xfId="0" applyFont="1" applyNumberFormat="1" applyAlignment="1">
      <alignment textRotation="0" horizontal="general" vertical="top" indent="0"/>
    </xf>
    <xf numFmtId="169" fontId="5" fillId="0" borderId="0" xfId="0" applyFont="1" applyNumberFormat="1" applyAlignment="1">
      <alignment textRotation="0" horizontal="general" vertical="center" indent="0"/>
    </xf>
    <xf numFmtId="169" fontId="5" fillId="0" borderId="0" xfId="0" applyFont="1" applyNumberFormat="1" applyAlignment="1">
      <alignment textRotation="0" horizontal="general" vertical="bottom" indent="0"/>
    </xf>
    <xf numFmtId="169" fontId="45" fillId="0" borderId="0" xfId="0" applyFont="1" applyNumberFormat="1" applyAlignment="1">
      <alignment textRotation="0" horizontal="left" vertical="bottom" indent="0"/>
    </xf>
    <xf numFmtId="169" fontId="33" fillId="0" borderId="0" xfId="0" applyFont="1" applyNumberFormat="1" applyAlignment="1">
      <alignment textRotation="0" horizontal="general" vertical="bottom" indent="0"/>
    </xf>
    <xf numFmtId="164" fontId="3" fillId="0" borderId="63" xfId="0" applyFont="1" applyNumberFormat="1" applyBorder="1" applyAlignment="1">
      <alignment textRotation="0" horizontal="right" vertical="bottom" indent="0"/>
    </xf>
    <xf numFmtId="164" fontId="11" fillId="0" borderId="0" xfId="0" applyFont="1" applyNumberFormat="1" applyAlignment="1">
      <alignment textRotation="0" horizontal="general" vertical="center" indent="0"/>
    </xf>
    <xf numFmtId="164" fontId="6" fillId="0" borderId="0" xfId="0" applyFont="1" applyNumberFormat="1" applyAlignment="1">
      <alignment textRotation="0" horizontal="center" vertical="center" indent="0" wrapText="1"/>
    </xf>
    <xf numFmtId="164" fontId="55" fillId="0" borderId="0" xfId="0" applyFont="1" applyNumberFormat="1" applyAlignment="1">
      <alignment textRotation="0" horizontal="right" vertical="bottom" indent="0"/>
    </xf>
    <xf numFmtId="164" fontId="55" fillId="0" borderId="0" xfId="0" applyFont="1" applyNumberFormat="1" applyAlignment="1">
      <alignment textRotation="0" horizontal="left" vertical="bottom" indent="0"/>
    </xf>
    <xf numFmtId="164" fontId="7" fillId="14" borderId="0" xfId="0" applyFont="1" applyNumberFormat="1" applyFill="1" applyAlignment="1">
      <alignment textRotation="0" horizontal="center" vertical="top" indent="0"/>
    </xf>
    <xf numFmtId="164" fontId="72" fillId="0" borderId="0" xfId="0" applyFont="1" applyNumberFormat="1" applyAlignment="1">
      <alignment textRotation="0" horizontal="left" vertical="top" indent="0" wrapText="1"/>
    </xf>
    <xf numFmtId="164" fontId="62" fillId="6" borderId="62" xfId="0" applyFont="1" applyNumberFormat="1" applyFill="1" applyBorder="1" applyAlignment="1">
      <alignment textRotation="0" horizontal="center" vertical="bottom" indent="0"/>
    </xf>
    <xf numFmtId="164" fontId="73" fillId="0" borderId="0" xfId="0" applyFont="1" applyNumberFormat="1" applyAlignment="1">
      <alignment textRotation="0" horizontal="left" vertical="bottom" indent="0"/>
    </xf>
    <xf numFmtId="164" fontId="3" fillId="0" borderId="63" xfId="0" applyFont="1" applyNumberFormat="1" applyBorder="1" applyAlignment="1">
      <alignment textRotation="0" horizontal="left" vertical="bottom" indent="0"/>
    </xf>
    <xf numFmtId="164" fontId="5" fillId="0" borderId="0" xfId="0" applyFont="1" applyNumberFormat="1" applyAlignment="1">
      <alignment textRotation="0" horizontal="right" vertical="bottom" indent="0" wrapText="1"/>
    </xf>
    <xf numFmtId="170" fontId="3" fillId="0" borderId="0" xfId="0" applyFont="1" applyNumberFormat="1" applyAlignment="1">
      <alignment textRotation="0" horizontal="general" vertical="bottom" indent="0"/>
    </xf>
    <xf numFmtId="164" fontId="64" fillId="6" borderId="67" xfId="0" applyFont="1" applyNumberFormat="1" applyFill="1" applyBorder="1" applyAlignment="1">
      <alignment textRotation="0" horizontal="center" vertical="center" indent="0" wrapText="1"/>
    </xf>
    <xf numFmtId="164" fontId="7" fillId="6" borderId="0" xfId="0" applyFont="1" applyNumberFormat="1" applyFill="1" applyAlignment="1">
      <alignment textRotation="0" horizontal="center" vertical="center" indent="0" wrapText="1"/>
    </xf>
    <xf numFmtId="164" fontId="7" fillId="6" borderId="61" xfId="0" applyFont="1" applyNumberFormat="1" applyFill="1" applyBorder="1" applyAlignment="1">
      <alignment textRotation="0" horizontal="center" vertical="center" indent="0" wrapText="1"/>
    </xf>
    <xf numFmtId="164" fontId="3" fillId="0" borderId="68" xfId="0" applyFont="1" applyNumberFormat="1" applyBorder="1" applyAlignment="1">
      <alignment textRotation="0" horizontal="center" vertical="center" indent="0" wrapText="1"/>
    </xf>
    <xf numFmtId="164" fontId="59" fillId="0" borderId="0" xfId="0" applyFont="1" applyNumberFormat="1" applyAlignment="1">
      <alignment textRotation="0" horizontal="left" vertical="top" indent="0"/>
    </xf>
    <xf numFmtId="164" fontId="74" fillId="0" borderId="63" xfId="0" applyFont="1" applyNumberFormat="1" applyBorder="1" applyAlignment="1">
      <alignment textRotation="0" horizontal="left" vertical="bottom" indent="0" wrapText="1"/>
    </xf>
    <xf numFmtId="164" fontId="75" fillId="0" borderId="0" xfId="0" applyFont="1" applyNumberFormat="1" applyAlignment="1">
      <alignment textRotation="0" horizontal="left" vertical="top" indent="0" wrapText="1"/>
    </xf>
    <xf numFmtId="164" fontId="2" fillId="0" borderId="0" xfId="0" applyFont="1" applyNumberFormat="1" applyAlignment="1">
      <alignment textRotation="0" horizontal="right" vertical="bottom" indent="0" wrapText="1"/>
    </xf>
    <xf numFmtId="164" fontId="75" fillId="0" borderId="0" xfId="0" applyFont="1" applyNumberFormat="1" applyAlignment="1">
      <alignment textRotation="0" horizontal="left" vertical="bottom" indent="0" wrapText="1"/>
    </xf>
    <xf numFmtId="164" fontId="76" fillId="0" borderId="0" xfId="0" applyFont="1" applyNumberFormat="1" applyAlignment="1">
      <alignment textRotation="0" horizontal="center" vertical="bottom" indent="0"/>
    </xf>
    <xf numFmtId="174" fontId="9" fillId="12" borderId="0" xfId="0" applyFont="1" applyNumberFormat="1" applyFill="1" applyAlignment="1">
      <alignment textRotation="0" horizontal="general" vertical="bottom" indent="0"/>
    </xf>
    <xf numFmtId="174" fontId="9" fillId="12" borderId="64" xfId="0" applyFont="1" applyNumberFormat="1" applyFill="1" applyBorder="1" applyAlignment="1">
      <alignment textRotation="0" horizontal="center" vertical="center" indent="0" wrapText="1"/>
    </xf>
    <xf numFmtId="164" fontId="77" fillId="0" borderId="0" xfId="0" applyFont="1" applyNumberFormat="1" applyAlignment="1">
      <alignment textRotation="0" horizontal="general" vertical="bottom" indent="0"/>
    </xf>
    <xf numFmtId="164" fontId="78" fillId="0" borderId="0" xfId="0" applyFont="1" applyNumberFormat="1" applyAlignment="1">
      <alignment textRotation="0" horizontal="general" vertical="bottom" indent="0"/>
    </xf>
    <xf numFmtId="172" fontId="9" fillId="12" borderId="62" xfId="0" applyFont="1" applyNumberFormat="1" applyFill="1" applyBorder="1" applyAlignment="1">
      <alignment textRotation="0" horizontal="center" vertical="bottom" indent="0" wrapText="1"/>
    </xf>
    <xf numFmtId="174" fontId="9" fillId="12" borderId="62" xfId="0" applyFont="1" applyNumberFormat="1" applyFill="1" applyBorder="1" applyAlignment="1">
      <alignment textRotation="0" horizontal="center" vertical="bottom" indent="0" wrapText="1"/>
    </xf>
    <xf numFmtId="164" fontId="72" fillId="0" borderId="0" xfId="0" applyFont="1" applyNumberFormat="1" applyAlignment="1">
      <alignment textRotation="0" horizontal="general" vertical="top" indent="0" wrapText="1"/>
    </xf>
    <xf numFmtId="164" fontId="6" fillId="0" borderId="0" xfId="0" applyFont="1" applyNumberFormat="1" applyAlignment="1">
      <alignment textRotation="0" horizontal="left" vertical="bottom" indent="0"/>
    </xf>
    <xf numFmtId="169" fontId="9" fillId="12" borderId="62" xfId="0" applyFont="1" applyNumberFormat="1" applyFill="1" applyBorder="1" applyAlignment="1">
      <alignment textRotation="0" horizontal="center" vertical="bottom" indent="0"/>
    </xf>
    <xf numFmtId="164" fontId="5" fillId="0" borderId="0" xfId="0" applyFont="1" applyNumberFormat="1" applyAlignment="1">
      <alignment textRotation="0" horizontal="left" vertical="center" indent="0"/>
    </xf>
    <xf numFmtId="164" fontId="79" fillId="0" borderId="0" xfId="0" applyFont="1" applyNumberFormat="1" applyAlignment="1">
      <alignment textRotation="0" horizontal="general" vertical="bottom" indent="0"/>
    </xf>
    <xf numFmtId="164" fontId="13" fillId="0" borderId="0" xfId="0" applyFont="1" applyNumberFormat="1" applyAlignment="1">
      <alignment textRotation="0" horizontal="general" vertical="center" indent="0" wrapText="1"/>
    </xf>
    <xf numFmtId="164" fontId="80" fillId="0" borderId="33" xfId="0" applyFont="1" applyNumberFormat="1" applyBorder="1" applyAlignment="1">
      <alignment textRotation="0" horizontal="right" vertical="center" indent="0" wrapText="1"/>
    </xf>
    <xf numFmtId="164" fontId="81" fillId="0" borderId="0" xfId="0" applyFont="1" applyNumberFormat="1" applyAlignment="1">
      <alignment textRotation="0" horizontal="center" vertical="center" indent="0" wrapText="1"/>
    </xf>
    <xf numFmtId="164" fontId="82" fillId="0" borderId="0" xfId="0" applyFont="1" applyNumberFormat="1" applyAlignment="1">
      <alignment textRotation="0" horizontal="general" vertical="center" indent="0" wrapText="1"/>
    </xf>
    <xf numFmtId="164" fontId="7" fillId="10" borderId="0" xfId="0" applyFont="1" applyNumberFormat="1" applyFill="1" applyAlignment="1">
      <alignment textRotation="0" horizontal="center" vertical="center" indent="0" wrapText="1"/>
    </xf>
    <xf numFmtId="164" fontId="82" fillId="0" borderId="1" xfId="0" applyFont="1" applyNumberFormat="1" applyBorder="1" applyAlignment="1">
      <alignment textRotation="0" horizontal="center" vertical="center" indent="0" wrapText="1"/>
    </xf>
    <xf numFmtId="164" fontId="82" fillId="0" borderId="0" xfId="0" applyFont="1" applyNumberFormat="1" applyAlignment="1">
      <alignment textRotation="0" horizontal="center" vertical="center" indent="0" wrapText="1"/>
    </xf>
    <xf numFmtId="164" fontId="82" fillId="6" borderId="0" xfId="0" applyFont="1" applyNumberFormat="1" applyFill="1" applyAlignment="1">
      <alignment textRotation="0" horizontal="center" vertical="center" indent="0" wrapText="1"/>
    </xf>
    <xf numFmtId="164" fontId="64" fillId="6" borderId="69" xfId="0" applyFont="1" applyNumberFormat="1" applyFill="1" applyBorder="1" applyAlignment="1">
      <alignment textRotation="0" horizontal="center" vertical="center" indent="0" wrapText="1"/>
    </xf>
    <xf numFmtId="164" fontId="64" fillId="6" borderId="70" xfId="0" applyFont="1" applyNumberFormat="1" applyFill="1" applyBorder="1" applyAlignment="1">
      <alignment textRotation="0" horizontal="center" vertical="center" indent="0" wrapText="1"/>
    </xf>
    <xf numFmtId="164" fontId="64" fillId="6" borderId="24" xfId="0" applyFont="1" applyNumberFormat="1" applyFill="1" applyBorder="1" applyAlignment="1">
      <alignment textRotation="0" horizontal="center" vertical="center" indent="0" wrapText="1"/>
    </xf>
    <xf numFmtId="164" fontId="78" fillId="0" borderId="0" xfId="0" applyFont="1" applyNumberFormat="1" applyAlignment="1">
      <alignment textRotation="0" horizontal="general" vertical="center" indent="0" wrapText="1"/>
    </xf>
    <xf numFmtId="164" fontId="55" fillId="6" borderId="0" xfId="0" applyFont="1" applyNumberFormat="1" applyFill="1" applyAlignment="1">
      <alignment textRotation="0" horizontal="center" vertical="center" indent="0" wrapText="1"/>
    </xf>
    <xf numFmtId="174" fontId="7" fillId="12" borderId="0" xfId="0" applyFont="1" applyNumberFormat="1" applyFill="1" applyAlignment="1">
      <alignment textRotation="0" horizontal="center" vertical="center" indent="0" wrapText="1"/>
    </xf>
    <xf numFmtId="164" fontId="3" fillId="10" borderId="0" xfId="0" applyFont="1" applyNumberFormat="1" applyFill="1" applyAlignment="1">
      <alignment textRotation="0" horizontal="center" vertical="center" indent="0" wrapText="1"/>
    </xf>
    <xf numFmtId="164" fontId="7" fillId="8" borderId="0" xfId="0" applyFont="1" applyNumberFormat="1" applyFill="1" applyAlignment="1">
      <alignment textRotation="0" horizontal="center" vertical="center" indent="0" wrapText="1"/>
    </xf>
    <xf numFmtId="164" fontId="45" fillId="5" borderId="57" xfId="0" applyFont="1" applyNumberFormat="1" applyFill="1" applyBorder="1" applyAlignment="1">
      <alignment textRotation="0" horizontal="center" vertical="center" indent="0" wrapText="1"/>
    </xf>
    <xf numFmtId="174" fontId="7" fillId="12" borderId="15" xfId="0" applyFont="1" applyNumberFormat="1" applyFill="1" applyBorder="1" applyAlignment="1">
      <alignment textRotation="0" horizontal="center" vertical="center" indent="0" wrapText="1"/>
    </xf>
    <xf numFmtId="164" fontId="83" fillId="0" borderId="0" xfId="0" applyFont="1" applyNumberFormat="1" applyAlignment="1">
      <alignment textRotation="0" horizontal="general" vertical="center" indent="0" wrapText="1"/>
    </xf>
    <xf numFmtId="164" fontId="45" fillId="5" borderId="59" xfId="0" applyFont="1" applyNumberFormat="1" applyFill="1" applyBorder="1" applyAlignment="1">
      <alignment textRotation="0" horizontal="center" vertical="center" indent="0" wrapText="1"/>
    </xf>
    <xf numFmtId="164" fontId="45" fillId="5" borderId="0" xfId="0" applyFont="1" applyNumberFormat="1" applyFill="1" applyAlignment="1">
      <alignment textRotation="0" horizontal="center" vertical="center" indent="0" wrapText="1"/>
    </xf>
    <xf numFmtId="174" fontId="7" fillId="12" borderId="30" xfId="0" applyFont="1" applyNumberFormat="1" applyFill="1" applyBorder="1" applyAlignment="1">
      <alignment textRotation="0" horizontal="center" vertical="center" indent="0" wrapText="1"/>
    </xf>
    <xf numFmtId="164" fontId="45" fillId="0" borderId="0" xfId="0" applyFont="1" applyNumberFormat="1" applyAlignment="1">
      <alignment textRotation="0" horizontal="general" vertical="center" indent="0" wrapText="1"/>
    </xf>
    <xf numFmtId="172" fontId="7" fillId="12" borderId="0" xfId="0" applyFont="1" applyNumberFormat="1" applyFill="1" applyAlignment="1">
      <alignment textRotation="0" horizontal="center" vertical="center" indent="0" wrapText="1"/>
    </xf>
    <xf numFmtId="164" fontId="55" fillId="6" borderId="31" xfId="0" applyFont="1" applyNumberFormat="1" applyFill="1" applyBorder="1" applyAlignment="1">
      <alignment textRotation="0" horizontal="center" vertical="center" indent="0" wrapText="1"/>
    </xf>
    <xf numFmtId="167" fontId="7" fillId="12" borderId="0" xfId="0" applyFont="1" applyNumberFormat="1" applyFill="1" applyAlignment="1">
      <alignment textRotation="0" horizontal="center" vertical="center" indent="0" wrapText="1"/>
    </xf>
    <xf numFmtId="164" fontId="45" fillId="5" borderId="65" xfId="0" applyFont="1" applyNumberFormat="1" applyFill="1" applyBorder="1" applyAlignment="1">
      <alignment textRotation="0" horizontal="center" vertical="center" indent="0" wrapText="1"/>
    </xf>
    <xf numFmtId="164" fontId="45" fillId="5" borderId="71" xfId="0" applyFont="1" applyNumberFormat="1" applyFill="1" applyBorder="1" applyAlignment="1">
      <alignment textRotation="0" horizontal="center" vertical="center" indent="0" wrapText="1"/>
    </xf>
    <xf numFmtId="164" fontId="3" fillId="10" borderId="31" xfId="0" applyFont="1" applyNumberFormat="1" applyFill="1" applyBorder="1" applyAlignment="1">
      <alignment textRotation="0" horizontal="center" vertical="center" indent="0" wrapText="1"/>
    </xf>
    <xf numFmtId="167" fontId="15" fillId="6" borderId="65" xfId="0" applyFont="1" applyNumberFormat="1" applyFill="1" applyBorder="1" applyAlignment="1">
      <alignment textRotation="0" horizontal="general" vertical="center" indent="0" wrapText="1"/>
    </xf>
    <xf numFmtId="167" fontId="15" fillId="6" borderId="0" xfId="0" applyFont="1" applyNumberFormat="1" applyFill="1" applyAlignment="1">
      <alignment textRotation="0" horizontal="general" vertical="center" indent="0" wrapText="1"/>
    </xf>
    <xf numFmtId="164" fontId="9" fillId="6" borderId="0" xfId="0" applyFont="1" applyNumberFormat="1" applyFill="1" applyAlignment="1">
      <alignment textRotation="0" horizontal="right" vertical="center" indent="0" wrapText="1"/>
    </xf>
    <xf numFmtId="174" fontId="9" fillId="12" borderId="0" xfId="0" applyFont="1" applyNumberFormat="1" applyFill="1" applyAlignment="1">
      <alignment textRotation="0" horizontal="center" vertical="center" indent="0" wrapText="1"/>
    </xf>
    <xf numFmtId="170" fontId="7" fillId="12" borderId="0" xfId="0" applyFont="1" applyNumberFormat="1" applyFill="1" applyAlignment="1">
      <alignment textRotation="0" horizontal="center" vertical="center" indent="0" wrapText="1"/>
    </xf>
    <xf numFmtId="164" fontId="45" fillId="6" borderId="0" xfId="0" applyFont="1" applyNumberFormat="1" applyFill="1" applyAlignment="1">
      <alignment textRotation="0" horizontal="center" vertical="center" indent="0" wrapText="1"/>
    </xf>
    <xf numFmtId="164" fontId="54" fillId="0" borderId="0" xfId="0" applyFont="1" applyNumberFormat="1" applyAlignment="1">
      <alignment textRotation="0" horizontal="general" vertical="center" indent="0" wrapText="1"/>
    </xf>
    <xf numFmtId="170" fontId="9" fillId="12" borderId="0" xfId="0" applyFont="1" applyNumberFormat="1" applyFill="1" applyAlignment="1">
      <alignment textRotation="0" horizontal="center" vertical="center" indent="0"/>
    </xf>
    <xf numFmtId="164" fontId="73" fillId="0" borderId="0" xfId="0" applyFont="1" applyNumberFormat="1" applyAlignment="1">
      <alignment textRotation="0" horizontal="general" vertical="bottom" indent="0"/>
    </xf>
    <xf numFmtId="164" fontId="84" fillId="0" borderId="0" xfId="0" applyFont="1" applyNumberFormat="1" applyAlignment="1">
      <alignment textRotation="0" horizontal="general" vertical="bottom" indent="0"/>
    </xf>
    <xf numFmtId="164" fontId="80" fillId="6" borderId="24" xfId="0" applyFont="1" applyNumberFormat="1" applyFill="1" applyBorder="1" applyAlignment="1">
      <alignment textRotation="0" horizontal="center" vertical="bottom" indent="0" wrapText="1"/>
    </xf>
    <xf numFmtId="164" fontId="71" fillId="0" borderId="0" xfId="0" applyFont="1" applyNumberFormat="1" applyAlignment="1">
      <alignment textRotation="0" horizontal="general" vertical="center" indent="0"/>
    </xf>
    <xf numFmtId="164" fontId="5" fillId="6" borderId="2" xfId="0" applyFont="1" applyNumberFormat="1" applyFill="1" applyBorder="1" applyAlignment="1">
      <alignment textRotation="0" horizontal="general" vertical="bottom" indent="0" wrapText="1"/>
    </xf>
    <xf numFmtId="174" fontId="7" fillId="12" borderId="2" xfId="0" applyFont="1" applyNumberFormat="1" applyFill="1" applyBorder="1" applyAlignment="1">
      <alignment textRotation="0" horizontal="center" vertical="center" indent="0" wrapText="1"/>
    </xf>
    <xf numFmtId="174" fontId="85" fillId="0" borderId="0" xfId="0" applyFont="1" applyNumberFormat="1" applyAlignment="1">
      <alignment textRotation="0" horizontal="left" vertical="bottom" indent="0"/>
    </xf>
    <xf numFmtId="164" fontId="5" fillId="6" borderId="0" xfId="0" applyFont="1" applyNumberFormat="1" applyFill="1" applyAlignment="1">
      <alignment textRotation="0" horizontal="general" vertical="bottom" indent="0" wrapText="1"/>
    </xf>
    <xf numFmtId="171" fontId="45" fillId="0" borderId="0" xfId="0" applyFont="1" applyNumberFormat="1" applyAlignment="1">
      <alignment textRotation="0" horizontal="left" vertical="bottom" indent="0"/>
    </xf>
    <xf numFmtId="164" fontId="9" fillId="12" borderId="62" xfId="0" applyFont="1" applyNumberFormat="1" applyFill="1" applyBorder="1" applyAlignment="1">
      <alignment textRotation="0" horizontal="center" vertical="center" indent="0"/>
    </xf>
    <xf numFmtId="164" fontId="9" fillId="12" borderId="0" xfId="0" applyFont="1" applyNumberFormat="1" applyFill="1" applyAlignment="1">
      <alignment textRotation="0" horizontal="center" vertical="center" indent="0"/>
    </xf>
    <xf numFmtId="164" fontId="6" fillId="0" borderId="0" xfId="0" applyFont="1" applyNumberFormat="1" applyAlignment="1">
      <alignment textRotation="0" horizontal="center" vertical="center" indent="0"/>
    </xf>
    <xf numFmtId="164" fontId="70" fillId="0" borderId="0" xfId="0" applyFont="1" applyNumberFormat="1" applyAlignment="1">
      <alignment textRotation="0" horizontal="left" vertical="bottom" indent="0" wrapText="1"/>
    </xf>
    <xf numFmtId="164" fontId="13" fillId="0" borderId="33" xfId="0" applyFont="1" applyNumberFormat="1" applyBorder="1" applyAlignment="1">
      <alignment textRotation="0" horizontal="right" vertical="center" indent="0"/>
    </xf>
    <xf numFmtId="164" fontId="80" fillId="6" borderId="24" xfId="0" applyFont="1" applyNumberFormat="1" applyFill="1" applyBorder="1" applyAlignment="1">
      <alignment textRotation="0" horizontal="center" vertical="bottom" indent="0"/>
    </xf>
    <xf numFmtId="164" fontId="5" fillId="6" borderId="0" xfId="0" applyFont="1" applyNumberFormat="1" applyFill="1" applyAlignment="1">
      <alignment textRotation="0" horizontal="center" vertical="bottom" indent="0"/>
    </xf>
    <xf numFmtId="164" fontId="3" fillId="0" borderId="63" xfId="0" applyFont="1" applyNumberFormat="1" applyBorder="1" applyAlignment="1">
      <alignment textRotation="0" horizontal="center" vertical="center" indent="0"/>
    </xf>
    <xf numFmtId="164" fontId="7" fillId="0" borderId="0" xfId="0" applyFont="1" applyNumberFormat="1" applyAlignment="1">
      <alignment textRotation="0" horizontal="general" vertical="bottom" indent="0" wrapText="1"/>
    </xf>
    <xf numFmtId="164" fontId="3" fillId="6" borderId="0" xfId="0" applyFont="1" applyNumberFormat="1" applyFill="1" applyAlignment="1">
      <alignment textRotation="0" horizontal="general" vertical="bottom" indent="0"/>
    </xf>
    <xf numFmtId="164" fontId="9" fillId="12" borderId="66" xfId="0" applyFont="1" applyNumberFormat="1" applyFill="1" applyBorder="1" applyAlignment="1">
      <alignment textRotation="0" horizontal="left" vertical="bottom" indent="0"/>
    </xf>
    <xf numFmtId="164" fontId="9" fillId="12" borderId="72" xfId="0" applyFont="1" applyNumberFormat="1" applyFill="1" applyBorder="1" applyAlignment="1">
      <alignment textRotation="0" horizontal="general" vertical="bottom" indent="0"/>
    </xf>
    <xf numFmtId="164" fontId="9" fillId="12" borderId="66" xfId="0" applyFont="1" applyNumberFormat="1" applyFill="1" applyBorder="1" applyAlignment="1">
      <alignment textRotation="0" horizontal="center" vertical="center" indent="0"/>
    </xf>
    <xf numFmtId="174" fontId="7" fillId="12" borderId="0" xfId="0" applyFont="1" applyNumberFormat="1" applyFill="1" applyAlignment="1">
      <alignment textRotation="0" horizontal="center" vertical="center" indent="0"/>
    </xf>
    <xf numFmtId="164" fontId="3" fillId="6" borderId="62" xfId="0" applyFont="1" applyNumberFormat="1" applyFill="1" applyBorder="1" applyAlignment="1">
      <alignment textRotation="0" horizontal="center" vertical="center" indent="0"/>
    </xf>
    <xf numFmtId="164" fontId="7" fillId="14" borderId="0" xfId="0" applyFont="1" applyNumberFormat="1" applyFill="1" applyAlignment="1">
      <alignment textRotation="0" horizontal="center" vertical="bottom" indent="0"/>
    </xf>
    <xf numFmtId="164" fontId="86" fillId="0" borderId="0" xfId="0" applyFont="1" applyNumberFormat="1" applyAlignment="1">
      <alignment textRotation="0" horizontal="left" vertical="center" indent="0"/>
    </xf>
    <xf numFmtId="164" fontId="86" fillId="0" borderId="0" xfId="0" applyFont="1" applyNumberFormat="1" applyAlignment="1">
      <alignment textRotation="0" horizontal="general" vertical="center" indent="0"/>
    </xf>
    <xf numFmtId="174" fontId="87" fillId="0" borderId="0" xfId="0" applyFont="1" applyNumberFormat="1" applyAlignment="1">
      <alignment textRotation="0" horizontal="right" vertical="center" indent="0"/>
    </xf>
    <xf numFmtId="164" fontId="88" fillId="0" borderId="0" xfId="0" applyFont="1" applyNumberFormat="1" applyAlignment="1">
      <alignment textRotation="0" horizontal="general" vertical="bottom" indent="0"/>
    </xf>
    <xf numFmtId="174" fontId="87" fillId="0" borderId="0" xfId="0" applyFont="1" applyNumberFormat="1" applyAlignment="1">
      <alignment textRotation="0" horizontal="general" vertical="center" indent="0"/>
    </xf>
    <xf numFmtId="164" fontId="86" fillId="0" borderId="0" xfId="0" applyFont="1" applyNumberFormat="1" applyAlignment="1">
      <alignment textRotation="0" horizontal="left" vertical="center" indent="0" wrapText="1"/>
    </xf>
    <xf numFmtId="164" fontId="89" fillId="0" borderId="0" xfId="0" applyFont="1" applyNumberFormat="1" applyAlignment="1">
      <alignment textRotation="0" horizontal="general" vertical="bottom" indent="0"/>
    </xf>
    <xf numFmtId="164" fontId="90" fillId="0" borderId="0" xfId="0" applyFont="1" applyNumberFormat="1" applyAlignment="1">
      <alignment textRotation="0" horizontal="general" vertical="bottom" indent="0"/>
    </xf>
    <xf numFmtId="164" fontId="3" fillId="6" borderId="62" xfId="0" applyFont="1" applyNumberFormat="1" applyFill="1" applyBorder="1" applyAlignment="1">
      <alignment textRotation="0" horizontal="general" vertical="bottom" indent="0"/>
    </xf>
    <xf numFmtId="164" fontId="72" fillId="0" borderId="0" xfId="0" applyFont="1" applyNumberFormat="1" applyAlignment="1">
      <alignment textRotation="0" horizontal="left" vertical="bottom" indent="0" wrapText="1"/>
    </xf>
    <xf numFmtId="164" fontId="14" fillId="0" borderId="0" xfId="0" applyFont="1" applyNumberFormat="1" applyAlignment="1">
      <alignment textRotation="0" horizontal="general" vertical="bottom" indent="0" wrapText="1"/>
    </xf>
    <xf numFmtId="164" fontId="3" fillId="0" borderId="0" xfId="0" applyFont="1" applyNumberFormat="1" applyAlignment="1">
      <alignment textRotation="0" horizontal="left" vertical="bottom" indent="0" wrapText="1"/>
    </xf>
    <xf numFmtId="164" fontId="5" fillId="0" borderId="63" xfId="0" applyFont="1" applyNumberFormat="1" applyBorder="1" applyAlignment="1">
      <alignment textRotation="0" horizontal="left" vertical="bottom" indent="0" wrapText="1"/>
    </xf>
    <xf numFmtId="164" fontId="91" fillId="0" borderId="0" xfId="0" applyFont="1" applyNumberFormat="1" applyAlignment="1">
      <alignment textRotation="0" horizontal="center" vertical="center" indent="0"/>
    </xf>
    <xf numFmtId="164" fontId="70" fillId="0" borderId="0" xfId="0" applyFont="1" applyNumberFormat="1" applyAlignment="1">
      <alignment textRotation="0" horizontal="left" vertical="top" indent="0" wrapText="1"/>
    </xf>
    <xf numFmtId="164" fontId="91" fillId="0" borderId="0" xfId="0" applyFont="1" applyNumberFormat="1" applyAlignment="1">
      <alignment textRotation="0" horizontal="left" vertical="center" indent="0"/>
    </xf>
    <xf numFmtId="164" fontId="69" fillId="0" borderId="0" xfId="0" applyFont="1" applyNumberFormat="1" applyAlignment="1">
      <alignment textRotation="0" horizontal="right" vertical="bottom" indent="0"/>
    </xf>
    <xf numFmtId="164" fontId="5" fillId="6" borderId="62" xfId="0" applyFont="1" applyNumberFormat="1" applyFill="1" applyBorder="1" applyAlignment="1">
      <alignment textRotation="0" horizontal="general" vertical="bottom" indent="0"/>
    </xf>
    <xf numFmtId="164" fontId="9" fillId="12" borderId="62" xfId="0" applyFont="1" applyNumberFormat="1" applyFill="1" applyBorder="1" applyAlignment="1">
      <alignment textRotation="0" horizontal="center" vertical="bottom" indent="0"/>
    </xf>
    <xf numFmtId="164" fontId="5" fillId="6" borderId="62" xfId="0" applyFont="1" applyNumberFormat="1" applyFill="1" applyBorder="1" applyAlignment="1">
      <alignment textRotation="0" horizontal="general" vertical="bottom" indent="0" wrapText="1"/>
    </xf>
    <xf numFmtId="164" fontId="3" fillId="0" borderId="0" xfId="0" applyFont="1" applyNumberFormat="1" applyAlignment="1">
      <alignment textRotation="0" horizontal="general" vertical="top" indent="0"/>
    </xf>
    <xf numFmtId="164" fontId="5" fillId="0" borderId="63" xfId="0" applyFont="1" applyNumberFormat="1" applyBorder="1" applyAlignment="1">
      <alignment textRotation="0" horizontal="left" vertical="bottom" indent="0"/>
    </xf>
    <xf numFmtId="164" fontId="3" fillId="0" borderId="59" xfId="0" applyFont="1" applyNumberFormat="1" applyBorder="1" applyAlignment="1">
      <alignment textRotation="0" horizontal="general" vertical="bottom" indent="0"/>
    </xf>
    <xf numFmtId="164" fontId="91" fillId="0" borderId="0" xfId="0" applyFont="1" applyNumberFormat="1" applyAlignment="1">
      <alignment textRotation="0" horizontal="left" vertical="bottom" indent="0"/>
    </xf>
    <xf numFmtId="164" fontId="92" fillId="0" borderId="0" xfId="0" applyFont="1" applyNumberFormat="1" applyAlignment="1">
      <alignment textRotation="0" horizontal="left" vertical="bottom" indent="0"/>
    </xf>
    <xf numFmtId="164" fontId="3" fillId="0" borderId="73" xfId="0" applyFont="1" applyNumberFormat="1" applyBorder="1" applyAlignment="1">
      <alignment textRotation="0" horizontal="general" vertical="center" indent="0"/>
    </xf>
    <xf numFmtId="164" fontId="13" fillId="0" borderId="0" xfId="0" applyFont="1" applyNumberFormat="1" applyAlignment="1">
      <alignment textRotation="0" horizontal="left" vertical="bottom" indent="0"/>
    </xf>
    <xf numFmtId="164" fontId="7" fillId="14" borderId="0" xfId="0" applyFont="1" applyNumberFormat="1" applyFill="1" applyAlignment="1">
      <alignment textRotation="0" horizontal="left" vertical="bottom" indent="0"/>
    </xf>
    <xf numFmtId="164" fontId="5" fillId="6" borderId="66" xfId="0" applyFont="1" applyNumberFormat="1" applyFill="1" applyBorder="1" applyAlignment="1">
      <alignment textRotation="0" horizontal="center" vertical="bottom" indent="0"/>
    </xf>
    <xf numFmtId="164" fontId="5" fillId="6" borderId="0" xfId="0" applyFont="1" applyNumberFormat="1" applyFill="1" applyAlignment="1">
      <alignment textRotation="0" horizontal="center" vertical="center" indent="0"/>
    </xf>
    <xf numFmtId="174" fontId="93" fillId="0" borderId="0" xfId="0" applyFont="1" applyNumberFormat="1" applyAlignment="1">
      <alignment textRotation="0" horizontal="left" vertical="bottom" indent="0"/>
    </xf>
    <xf numFmtId="164" fontId="5" fillId="6" borderId="74" xfId="0" applyFont="1" applyNumberFormat="1" applyFill="1" applyBorder="1" applyAlignment="1">
      <alignment textRotation="0" horizontal="center" vertical="center" indent="0"/>
    </xf>
    <xf numFmtId="174" fontId="93" fillId="0" borderId="0" xfId="0" applyFont="1" applyNumberFormat="1" applyAlignment="1">
      <alignment textRotation="0" horizontal="left" vertical="top" indent="0"/>
    </xf>
    <xf numFmtId="164" fontId="11" fillId="0" borderId="0" xfId="0" applyFont="1" applyNumberFormat="1" applyAlignment="1">
      <alignment textRotation="0" horizontal="center" vertical="center" indent="0"/>
    </xf>
    <xf numFmtId="174" fontId="9" fillId="12" borderId="64" xfId="0" applyFont="1" applyNumberFormat="1" applyFill="1" applyBorder="1" applyAlignment="1">
      <alignment textRotation="0" horizontal="center" vertical="center" indent="0"/>
    </xf>
    <xf numFmtId="164" fontId="3" fillId="0" borderId="66" xfId="0" applyFont="1" applyNumberFormat="1" applyBorder="1" applyAlignment="1">
      <alignment textRotation="0" horizontal="left" vertical="center" indent="0"/>
    </xf>
    <xf numFmtId="164" fontId="5" fillId="6" borderId="75" xfId="0" applyFont="1" applyNumberFormat="1" applyFill="1" applyBorder="1" applyAlignment="1">
      <alignment textRotation="0" horizontal="center" vertical="center" indent="0"/>
    </xf>
    <xf numFmtId="164" fontId="72" fillId="0" borderId="0" xfId="0" applyFont="1" applyNumberFormat="1" applyAlignment="1">
      <alignment textRotation="0" horizontal="left" vertical="bottom" indent="0"/>
    </xf>
    <xf numFmtId="164" fontId="5" fillId="0" borderId="63" xfId="0" applyFont="1" applyNumberFormat="1" applyBorder="1" applyAlignment="1">
      <alignment textRotation="0" horizontal="left" vertical="center" indent="0" wrapText="1"/>
    </xf>
    <xf numFmtId="164" fontId="72" fillId="0" borderId="0" xfId="0" applyFont="1" applyNumberFormat="1" applyAlignment="1">
      <alignment textRotation="0" horizontal="center" vertical="center" indent="0"/>
    </xf>
    <xf numFmtId="164" fontId="60" fillId="0" borderId="0" xfId="0" applyFont="1" applyNumberFormat="1" applyAlignment="1">
      <alignment textRotation="0" horizontal="right" vertical="bottom" indent="0"/>
    </xf>
    <xf numFmtId="164" fontId="78" fillId="0" borderId="0" xfId="0" applyFont="1" applyNumberFormat="1" applyAlignment="1">
      <alignment textRotation="0" horizontal="right" vertical="bottom" indent="0"/>
    </xf>
    <xf numFmtId="164" fontId="7" fillId="0" borderId="0" xfId="0" applyFont="1" applyNumberFormat="1" applyAlignment="1">
      <alignment textRotation="0" horizontal="right" vertical="bottom" indent="0"/>
    </xf>
    <xf numFmtId="164" fontId="94" fillId="0" borderId="0" xfId="0" applyFont="1" applyNumberFormat="1" applyAlignment="1">
      <alignment textRotation="0" horizontal="general" vertical="bottom" indent="0"/>
    </xf>
    <xf numFmtId="164" fontId="3" fillId="0" borderId="32" xfId="0" applyFont="1" applyNumberFormat="1" applyBorder="1" applyAlignment="1">
      <alignment textRotation="0" horizontal="right" vertical="bottom" indent="0"/>
    </xf>
    <xf numFmtId="164" fontId="95" fillId="0" borderId="0" xfId="0" applyFont="1" applyNumberFormat="1" applyAlignment="1">
      <alignment textRotation="0" horizontal="general" vertical="bottom" indent="0"/>
    </xf>
    <xf numFmtId="164" fontId="6" fillId="6" borderId="0" xfId="0" applyFont="1" applyNumberFormat="1" applyFill="1" applyAlignment="1">
      <alignment textRotation="0" horizontal="left" vertical="bottom" indent="0"/>
    </xf>
    <xf numFmtId="174" fontId="96" fillId="0" borderId="0" xfId="0" applyFont="1" applyNumberFormat="1" applyAlignment="1">
      <alignment textRotation="0" horizontal="left" vertical="center" indent="0"/>
    </xf>
    <xf numFmtId="164" fontId="3" fillId="6" borderId="0" xfId="0" applyFont="1" applyNumberFormat="1" applyFill="1" applyAlignment="1">
      <alignment textRotation="0" horizontal="left" vertical="bottom" indent="0" wrapText="1"/>
    </xf>
    <xf numFmtId="174" fontId="92" fillId="0" borderId="0" xfId="0" applyFont="1" applyNumberFormat="1" applyAlignment="1">
      <alignment textRotation="0" horizontal="left" vertical="center" indent="0"/>
    </xf>
    <xf numFmtId="164" fontId="3" fillId="6" borderId="0" xfId="0" applyFont="1" applyNumberFormat="1" applyFill="1" applyAlignment="1">
      <alignment textRotation="0" horizontal="left" vertical="center" indent="0"/>
    </xf>
    <xf numFmtId="174" fontId="9" fillId="12" borderId="62" xfId="0" applyFont="1" applyNumberFormat="1" applyFill="1" applyBorder="1" applyAlignment="1">
      <alignment textRotation="0" horizontal="center" vertical="center" indent="0" wrapText="1"/>
    </xf>
    <xf numFmtId="164" fontId="3" fillId="6" borderId="0" xfId="0" applyFont="1" applyNumberFormat="1" applyFill="1" applyAlignment="1">
      <alignment textRotation="0" horizontal="left" vertical="bottom" indent="0"/>
    </xf>
    <xf numFmtId="164" fontId="3" fillId="6" borderId="0" xfId="0" applyFont="1" applyNumberFormat="1" applyFill="1" applyAlignment="1">
      <alignment textRotation="0" horizontal="general" vertical="bottom" indent="0" wrapText="1"/>
    </xf>
    <xf numFmtId="164" fontId="7" fillId="0" borderId="0" xfId="0" applyFont="1" applyNumberFormat="1" applyAlignment="1">
      <alignment textRotation="0" horizontal="general" vertical="bottom" indent="0"/>
    </xf>
    <xf numFmtId="164" fontId="4" fillId="4" borderId="56" xfId="0" applyFont="1" applyNumberFormat="1" applyFill="1" applyBorder="1" applyAlignment="1">
      <alignment textRotation="0" horizontal="center" vertical="bottom" indent="0"/>
    </xf>
    <xf numFmtId="164" fontId="45" fillId="0" borderId="0" xfId="0" applyFont="1" applyNumberFormat="1" applyAlignment="1">
      <alignment textRotation="0" horizontal="right" vertical="center" indent="0"/>
    </xf>
    <xf numFmtId="164" fontId="9" fillId="6" borderId="76" xfId="0" applyFont="1" applyNumberFormat="1" applyFill="1" applyBorder="1" applyAlignment="1">
      <alignment textRotation="0" horizontal="center" vertical="center" indent="0" wrapText="1"/>
    </xf>
    <xf numFmtId="164" fontId="9" fillId="6" borderId="33" xfId="0" applyFont="1" applyNumberFormat="1" applyFill="1" applyBorder="1" applyAlignment="1">
      <alignment textRotation="0" horizontal="center" vertical="center" indent="0" wrapText="1"/>
    </xf>
    <xf numFmtId="164" fontId="9" fillId="6" borderId="52" xfId="0" applyFont="1" applyNumberFormat="1" applyFill="1" applyBorder="1" applyAlignment="1">
      <alignment textRotation="0" horizontal="center" vertical="center" indent="0" wrapText="1"/>
    </xf>
    <xf numFmtId="164" fontId="9" fillId="6" borderId="53" xfId="0" applyFont="1" applyNumberFormat="1" applyFill="1" applyBorder="1" applyAlignment="1">
      <alignment textRotation="0" horizontal="center" vertical="center" indent="0" wrapText="1"/>
    </xf>
    <xf numFmtId="164" fontId="9" fillId="6" borderId="54" xfId="0" applyFont="1" applyNumberFormat="1" applyFill="1" applyBorder="1" applyAlignment="1">
      <alignment textRotation="0" horizontal="center" vertical="center" indent="0" wrapText="1"/>
    </xf>
    <xf numFmtId="164" fontId="49" fillId="15" borderId="0" xfId="0" applyFont="1" applyNumberFormat="1" applyFill="1" applyAlignment="1">
      <alignment textRotation="0" horizontal="left" vertical="bottom" indent="0"/>
    </xf>
    <xf numFmtId="164" fontId="3" fillId="6" borderId="27" xfId="0" applyFont="1" applyNumberFormat="1" applyFill="1" applyBorder="1" applyAlignment="1">
      <alignment textRotation="0" horizontal="general" vertical="bottom" indent="0"/>
    </xf>
    <xf numFmtId="164" fontId="3" fillId="6" borderId="47" xfId="0" applyFont="1" applyNumberFormat="1" applyFill="1" applyBorder="1" applyAlignment="1">
      <alignment textRotation="0" horizontal="general" vertical="bottom" indent="0"/>
    </xf>
    <xf numFmtId="164" fontId="3" fillId="6" borderId="69" xfId="0" applyFont="1" applyNumberFormat="1" applyFill="1" applyBorder="1" applyAlignment="1">
      <alignment textRotation="0" horizontal="general" vertical="bottom" indent="0"/>
    </xf>
    <xf numFmtId="174" fontId="9" fillId="12" borderId="42" xfId="0" applyFont="1" applyNumberFormat="1" applyFill="1" applyBorder="1" applyAlignment="1">
      <alignment textRotation="0" horizontal="general" vertical="bottom" indent="0"/>
    </xf>
    <xf numFmtId="164" fontId="32" fillId="15" borderId="77" xfId="0" applyFont="1" applyNumberFormat="1" applyFill="1" applyBorder="1" applyAlignment="1">
      <alignment textRotation="0" horizontal="left" vertical="top" indent="0" wrapText="1"/>
    </xf>
    <xf numFmtId="164" fontId="32" fillId="15" borderId="48" xfId="0" applyFont="1" applyNumberFormat="1" applyFill="1" applyBorder="1" applyAlignment="1">
      <alignment textRotation="0" horizontal="general" vertical="top" indent="0" wrapText="1"/>
    </xf>
    <xf numFmtId="164" fontId="32" fillId="15" borderId="18" xfId="0" applyFont="1" applyNumberFormat="1" applyFill="1" applyBorder="1" applyAlignment="1">
      <alignment textRotation="0" horizontal="general" vertical="top" indent="0" wrapText="1"/>
    </xf>
    <xf numFmtId="164" fontId="32" fillId="15" borderId="14" xfId="0" applyFont="1" applyNumberFormat="1" applyFill="1" applyBorder="1" applyAlignment="1">
      <alignment textRotation="0" horizontal="general" vertical="top" indent="0" wrapText="1"/>
    </xf>
    <xf numFmtId="164" fontId="32" fillId="15" borderId="39" xfId="0" applyFont="1" applyNumberFormat="1" applyFill="1" applyBorder="1" applyAlignment="1">
      <alignment textRotation="0" horizontal="general" vertical="top" indent="0" wrapText="1"/>
    </xf>
    <xf numFmtId="164" fontId="49" fillId="15" borderId="77" xfId="0" applyFont="1" applyNumberFormat="1" applyFill="1" applyBorder="1" applyAlignment="1">
      <alignment textRotation="0" horizontal="left" vertical="bottom" indent="0"/>
    </xf>
    <xf numFmtId="164" fontId="3" fillId="6" borderId="48" xfId="0" applyFont="1" applyNumberFormat="1" applyFill="1" applyBorder="1" applyAlignment="1">
      <alignment textRotation="0" horizontal="general" vertical="bottom" indent="0"/>
    </xf>
    <xf numFmtId="164" fontId="3" fillId="6" borderId="18" xfId="0" applyFont="1" applyNumberFormat="1" applyFill="1" applyBorder="1" applyAlignment="1">
      <alignment textRotation="0" horizontal="general" vertical="bottom" indent="0"/>
    </xf>
    <xf numFmtId="164" fontId="3" fillId="6" borderId="14" xfId="0" applyFont="1" applyNumberFormat="1" applyFill="1" applyBorder="1" applyAlignment="1">
      <alignment textRotation="0" horizontal="general" vertical="bottom" indent="0"/>
    </xf>
    <xf numFmtId="174" fontId="9" fillId="12" borderId="39" xfId="0" applyFont="1" applyNumberFormat="1" applyFill="1" applyBorder="1" applyAlignment="1">
      <alignment textRotation="0" horizontal="general" vertical="bottom" indent="0"/>
    </xf>
    <xf numFmtId="164" fontId="32" fillId="15" borderId="48" xfId="0" applyFont="1" applyNumberFormat="1" applyFill="1" applyBorder="1" applyAlignment="1">
      <alignment textRotation="0" horizontal="left" vertical="top" indent="0" wrapText="1"/>
    </xf>
    <xf numFmtId="164" fontId="32" fillId="15" borderId="18" xfId="0" applyFont="1" applyNumberFormat="1" applyFill="1" applyBorder="1" applyAlignment="1">
      <alignment textRotation="0" horizontal="left" vertical="top" indent="0" wrapText="1"/>
    </xf>
    <xf numFmtId="164" fontId="32" fillId="15" borderId="14" xfId="0" applyFont="1" applyNumberFormat="1" applyFill="1" applyBorder="1" applyAlignment="1">
      <alignment textRotation="0" horizontal="left" vertical="top" indent="0" wrapText="1"/>
    </xf>
    <xf numFmtId="164" fontId="32" fillId="15" borderId="39" xfId="0" applyFont="1" applyNumberFormat="1" applyFill="1" applyBorder="1" applyAlignment="1">
      <alignment textRotation="0" horizontal="left" vertical="top" indent="0" wrapText="1"/>
    </xf>
    <xf numFmtId="164" fontId="32" fillId="0" borderId="59" xfId="0" applyFont="1" applyNumberFormat="1" applyBorder="1" applyAlignment="1">
      <alignment textRotation="0" horizontal="left" vertical="top" indent="0" wrapText="1"/>
    </xf>
    <xf numFmtId="164" fontId="32" fillId="0" borderId="0" xfId="0" applyFont="1" applyNumberFormat="1" applyAlignment="1">
      <alignment textRotation="0" horizontal="left" vertical="top" indent="0" wrapText="1"/>
    </xf>
    <xf numFmtId="164" fontId="32" fillId="0" borderId="48" xfId="0" applyFont="1" applyNumberFormat="1" applyBorder="1" applyAlignment="1">
      <alignment textRotation="0" horizontal="left" vertical="top" indent="0" wrapText="1"/>
    </xf>
    <xf numFmtId="164" fontId="45" fillId="0" borderId="18" xfId="0" applyFont="1" applyNumberFormat="1" applyBorder="1" applyAlignment="1">
      <alignment textRotation="0" horizontal="general" vertical="bottom" indent="0"/>
    </xf>
    <xf numFmtId="164" fontId="45" fillId="0" borderId="14" xfId="0" applyFont="1" applyNumberFormat="1" applyBorder="1" applyAlignment="1">
      <alignment textRotation="0" horizontal="right" vertical="center" indent="0"/>
    </xf>
    <xf numFmtId="164" fontId="3" fillId="0" borderId="39" xfId="0" applyFont="1" applyNumberFormat="1" applyBorder="1" applyAlignment="1">
      <alignment textRotation="0" horizontal="general" vertical="bottom" indent="0"/>
    </xf>
    <xf numFmtId="164" fontId="45" fillId="0" borderId="59" xfId="0" applyFont="1" applyNumberFormat="1" applyBorder="1" applyAlignment="1">
      <alignment textRotation="0" horizontal="general" vertical="bottom" indent="0"/>
    </xf>
    <xf numFmtId="164" fontId="45" fillId="0" borderId="48" xfId="0" applyFont="1" applyNumberFormat="1" applyBorder="1" applyAlignment="1">
      <alignment textRotation="0" horizontal="general" vertical="bottom" indent="0"/>
    </xf>
    <xf numFmtId="164" fontId="32" fillId="15" borderId="78" xfId="0" applyFont="1" applyNumberFormat="1" applyFill="1" applyBorder="1" applyAlignment="1">
      <alignment textRotation="0" horizontal="left" vertical="top" indent="0" wrapText="1"/>
    </xf>
    <xf numFmtId="164" fontId="32" fillId="15" borderId="52" xfId="0" applyFont="1" applyNumberFormat="1" applyFill="1" applyBorder="1" applyAlignment="1">
      <alignment textRotation="0" horizontal="left" vertical="top" indent="0" wrapText="1"/>
    </xf>
    <xf numFmtId="164" fontId="32" fillId="15" borderId="53" xfId="0" applyFont="1" applyNumberFormat="1" applyFill="1" applyBorder="1" applyAlignment="1">
      <alignment textRotation="0" horizontal="left" vertical="top" indent="0" wrapText="1"/>
    </xf>
    <xf numFmtId="164" fontId="32" fillId="15" borderId="54" xfId="0" applyFont="1" applyNumberFormat="1" applyFill="1" applyBorder="1" applyAlignment="1">
      <alignment textRotation="0" horizontal="left" vertical="top" indent="0" wrapText="1"/>
    </xf>
    <xf numFmtId="164" fontId="32" fillId="15" borderId="40" xfId="0" applyFont="1" applyNumberFormat="1" applyFill="1" applyBorder="1" applyAlignment="1">
      <alignment textRotation="0" horizontal="left" vertical="top" indent="0" wrapText="1"/>
    </xf>
    <xf numFmtId="164" fontId="45" fillId="0" borderId="33" xfId="0" applyFont="1" applyNumberFormat="1" applyBorder="1" applyAlignment="1">
      <alignment textRotation="0" horizontal="general" vertical="bottom" indent="0"/>
    </xf>
    <xf numFmtId="164" fontId="45" fillId="0" borderId="60" xfId="0" applyFont="1" applyNumberFormat="1" applyBorder="1" applyAlignment="1">
      <alignment textRotation="0" horizontal="general" vertical="bottom" indent="0"/>
    </xf>
    <xf numFmtId="164" fontId="45" fillId="0" borderId="79" xfId="0" applyFont="1" applyNumberFormat="1" applyBorder="1" applyAlignment="1">
      <alignment textRotation="0" horizontal="general" vertical="bottom" indent="0"/>
    </xf>
    <xf numFmtId="164" fontId="45" fillId="0" borderId="80" xfId="0" applyFont="1" applyNumberFormat="1" applyBorder="1" applyAlignment="1">
      <alignment textRotation="0" horizontal="general" vertical="bottom" indent="0"/>
    </xf>
    <xf numFmtId="164" fontId="45" fillId="0" borderId="81" xfId="0" applyFont="1" applyNumberFormat="1" applyBorder="1" applyAlignment="1">
      <alignment textRotation="0" horizontal="right" vertical="center" indent="0"/>
    </xf>
    <xf numFmtId="164" fontId="3" fillId="0" borderId="43" xfId="0" applyFont="1" applyNumberFormat="1" applyBorder="1" applyAlignment="1">
      <alignment textRotation="0" horizontal="general" vertical="bottom" indent="0"/>
    </xf>
    <xf numFmtId="164" fontId="49" fillId="15" borderId="59" xfId="0" applyFont="1" applyNumberFormat="1" applyFill="1" applyBorder="1" applyAlignment="1">
      <alignment textRotation="0" horizontal="left" vertical="bottom" indent="0"/>
    </xf>
    <xf numFmtId="174" fontId="9" fillId="12" borderId="82" xfId="0" applyFont="1" applyNumberFormat="1" applyFill="1" applyBorder="1" applyAlignment="1">
      <alignment textRotation="0" horizontal="general" vertical="bottom" indent="0"/>
    </xf>
    <xf numFmtId="164" fontId="97" fillId="15" borderId="33" xfId="0" applyFont="1" applyNumberFormat="1" applyFill="1" applyBorder="1" applyAlignment="1">
      <alignment textRotation="0" horizontal="left" vertical="top" indent="0" wrapText="1"/>
    </xf>
    <xf numFmtId="164" fontId="32" fillId="15" borderId="27" xfId="0" applyFont="1" applyNumberFormat="1" applyFill="1" applyBorder="1" applyAlignment="1">
      <alignment textRotation="0" horizontal="left" vertical="top" indent="0" wrapText="1"/>
    </xf>
    <xf numFmtId="164" fontId="32" fillId="15" borderId="47" xfId="0" applyFont="1" applyNumberFormat="1" applyFill="1" applyBorder="1" applyAlignment="1">
      <alignment textRotation="0" horizontal="left" vertical="top" indent="0" wrapText="1"/>
    </xf>
    <xf numFmtId="164" fontId="32" fillId="15" borderId="69" xfId="0" applyFont="1" applyNumberFormat="1" applyFill="1" applyBorder="1" applyAlignment="1">
      <alignment textRotation="0" horizontal="left" vertical="top" indent="0" wrapText="1"/>
    </xf>
    <xf numFmtId="164" fontId="32" fillId="15" borderId="42" xfId="0" applyFont="1" applyNumberFormat="1" applyFill="1" applyBorder="1" applyAlignment="1">
      <alignment textRotation="0" horizontal="left" vertical="top" indent="0" wrapText="1"/>
    </xf>
    <xf numFmtId="174" fontId="9" fillId="12" borderId="48" xfId="0" applyFont="1" applyNumberFormat="1" applyFill="1" applyBorder="1" applyAlignment="1">
      <alignment textRotation="0" horizontal="general" vertical="bottom" indent="0"/>
    </xf>
    <xf numFmtId="164" fontId="97" fillId="15" borderId="78" xfId="0" applyFont="1" applyNumberFormat="1" applyFill="1" applyBorder="1" applyAlignment="1">
      <alignment textRotation="0" horizontal="left" vertical="top" indent="0" wrapText="1"/>
    </xf>
    <xf numFmtId="164" fontId="45" fillId="0" borderId="82" xfId="0" applyFont="1" applyNumberFormat="1" applyBorder="1" applyAlignment="1">
      <alignment textRotation="0" horizontal="general" vertical="bottom" indent="0"/>
    </xf>
    <xf numFmtId="164" fontId="45" fillId="0" borderId="15" xfId="0" applyFont="1" applyNumberFormat="1" applyBorder="1" applyAlignment="1">
      <alignment textRotation="0" horizontal="general" vertical="bottom" indent="0"/>
    </xf>
    <xf numFmtId="164" fontId="45" fillId="0" borderId="9" xfId="0" applyFont="1" applyNumberFormat="1" applyBorder="1" applyAlignment="1">
      <alignment textRotation="0" horizontal="right" vertical="center" indent="0"/>
    </xf>
    <xf numFmtId="164" fontId="49" fillId="15" borderId="33" xfId="0" applyFont="1" applyNumberFormat="1" applyFill="1" applyBorder="1" applyAlignment="1">
      <alignment textRotation="0" horizontal="left" vertical="bottom" indent="0"/>
    </xf>
    <xf numFmtId="164" fontId="49" fillId="15" borderId="83" xfId="0" applyFont="1" applyNumberFormat="1" applyFill="1" applyBorder="1" applyAlignment="1">
      <alignment textRotation="0" horizontal="left" vertical="center" indent="0" wrapText="1"/>
    </xf>
    <xf numFmtId="164" fontId="3" fillId="6" borderId="44" xfId="0" applyFont="1" applyNumberFormat="1" applyFill="1" applyBorder="1" applyAlignment="1">
      <alignment textRotation="0" horizontal="general" vertical="bottom" indent="0"/>
    </xf>
    <xf numFmtId="164" fontId="3" fillId="6" borderId="17" xfId="0" applyFont="1" applyNumberFormat="1" applyFill="1" applyBorder="1" applyAlignment="1">
      <alignment textRotation="0" horizontal="general" vertical="bottom" indent="0"/>
    </xf>
    <xf numFmtId="164" fontId="3" fillId="6" borderId="11" xfId="0" applyFont="1" applyNumberFormat="1" applyFill="1" applyBorder="1" applyAlignment="1">
      <alignment textRotation="0" horizontal="general" vertical="bottom" indent="0"/>
    </xf>
    <xf numFmtId="174" fontId="9" fillId="12" borderId="35" xfId="0" applyFont="1" applyNumberFormat="1" applyFill="1" applyBorder="1" applyAlignment="1">
      <alignment textRotation="0" horizontal="general" vertical="bottom" indent="0"/>
    </xf>
    <xf numFmtId="164" fontId="32" fillId="15" borderId="84" xfId="0" applyFont="1" applyNumberFormat="1" applyFill="1" applyBorder="1" applyAlignment="1">
      <alignment textRotation="0" horizontal="left" vertical="top" indent="0" wrapText="1"/>
    </xf>
    <xf numFmtId="164" fontId="32" fillId="15" borderId="45" xfId="0" applyFont="1" applyNumberFormat="1" applyFill="1" applyBorder="1" applyAlignment="1">
      <alignment textRotation="0" horizontal="left" vertical="top" indent="0" wrapText="1"/>
    </xf>
    <xf numFmtId="164" fontId="32" fillId="15" borderId="13" xfId="0" applyFont="1" applyNumberFormat="1" applyFill="1" applyBorder="1" applyAlignment="1">
      <alignment textRotation="0" horizontal="left" vertical="top" indent="0" wrapText="1"/>
    </xf>
    <xf numFmtId="164" fontId="32" fillId="15" borderId="4" xfId="0" applyFont="1" applyNumberFormat="1" applyFill="1" applyBorder="1" applyAlignment="1">
      <alignment textRotation="0" horizontal="left" vertical="top" indent="0" wrapText="1"/>
    </xf>
    <xf numFmtId="164" fontId="32" fillId="15" borderId="41" xfId="0" applyFont="1" applyNumberFormat="1" applyFill="1" applyBorder="1" applyAlignment="1">
      <alignment textRotation="0" horizontal="left" vertical="top" indent="0" wrapText="1"/>
    </xf>
    <xf numFmtId="164" fontId="49" fillId="15" borderId="33" xfId="0" applyFont="1" applyNumberFormat="1" applyFill="1" applyBorder="1" applyAlignment="1">
      <alignment textRotation="0" horizontal="left" vertical="center" indent="0" wrapText="1"/>
    </xf>
    <xf numFmtId="164" fontId="49" fillId="15" borderId="77" xfId="0" applyFont="1" applyNumberFormat="1" applyFill="1" applyBorder="1" applyAlignment="1">
      <alignment textRotation="0" horizontal="left" vertical="center" indent="0" wrapText="1"/>
    </xf>
    <xf numFmtId="174" fontId="9" fillId="12" borderId="36" xfId="0" applyFont="1" applyNumberFormat="1" applyFill="1" applyBorder="1" applyAlignment="1">
      <alignment textRotation="0" horizontal="general" vertical="bottom" indent="0"/>
    </xf>
    <xf numFmtId="174" fontId="9" fillId="12" borderId="24" xfId="0" applyFont="1" applyNumberFormat="1" applyFill="1" applyBorder="1" applyAlignment="1">
      <alignment textRotation="0" horizontal="general" vertical="bottom" indent="0"/>
    </xf>
    <xf numFmtId="164" fontId="45" fillId="0" borderId="9" xfId="0" applyFont="1" applyNumberFormat="1" applyBorder="1" applyAlignment="1">
      <alignment textRotation="0" horizontal="general" vertical="bottom" indent="0"/>
    </xf>
    <xf numFmtId="164" fontId="49" fillId="15" borderId="83" xfId="0" applyFont="1" applyNumberFormat="1" applyFill="1" applyBorder="1" applyAlignment="1">
      <alignment textRotation="0" horizontal="left" vertical="center" indent="0"/>
    </xf>
    <xf numFmtId="164" fontId="49" fillId="15" borderId="76" xfId="0" applyFont="1" applyNumberFormat="1" applyFill="1" applyBorder="1" applyAlignment="1">
      <alignment textRotation="0" horizontal="left" vertical="center" indent="0"/>
    </xf>
    <xf numFmtId="164" fontId="3" fillId="6" borderId="36" xfId="0" applyFont="1" applyNumberFormat="1" applyFill="1" applyBorder="1" applyAlignment="1">
      <alignment textRotation="0" horizontal="general" vertical="bottom" indent="0"/>
    </xf>
    <xf numFmtId="164" fontId="3" fillId="6" borderId="37" xfId="0" applyFont="1" applyNumberFormat="1" applyFill="1" applyBorder="1" applyAlignment="1">
      <alignment textRotation="0" horizontal="general" vertical="bottom" indent="0"/>
    </xf>
    <xf numFmtId="164" fontId="3" fillId="6" borderId="85" xfId="0" applyFont="1" applyNumberFormat="1" applyFill="1" applyBorder="1" applyAlignment="1">
      <alignment textRotation="0" horizontal="general" vertical="bottom" indent="0"/>
    </xf>
    <xf numFmtId="164" fontId="9" fillId="6" borderId="0" xfId="0" applyFont="1" applyNumberFormat="1" applyFill="1" applyAlignment="1">
      <alignment textRotation="0" horizontal="center" vertical="center" indent="0" wrapText="1"/>
    </xf>
    <xf numFmtId="164" fontId="9" fillId="6" borderId="34" xfId="0" applyFont="1" applyNumberFormat="1" applyFill="1" applyBorder="1" applyAlignment="1">
      <alignment textRotation="0" horizontal="center" vertical="center" indent="0" wrapText="1"/>
    </xf>
    <xf numFmtId="164" fontId="9" fillId="6" borderId="45" xfId="0" applyFont="1" applyNumberFormat="1" applyFill="1" applyBorder="1" applyAlignment="1">
      <alignment textRotation="0" horizontal="center" vertical="center" indent="0" wrapText="1"/>
    </xf>
    <xf numFmtId="164" fontId="9" fillId="6" borderId="13" xfId="0" applyFont="1" applyNumberFormat="1" applyFill="1" applyBorder="1" applyAlignment="1">
      <alignment textRotation="0" horizontal="center" vertical="center" indent="0" wrapText="1"/>
    </xf>
    <xf numFmtId="164" fontId="9" fillId="6" borderId="4" xfId="0" applyFont="1" applyNumberFormat="1" applyFill="1" applyBorder="1" applyAlignment="1">
      <alignment textRotation="0" horizontal="center" vertical="center" indent="0" wrapText="1"/>
    </xf>
    <xf numFmtId="164" fontId="49" fillId="15" borderId="86" xfId="0" applyFont="1" applyNumberFormat="1" applyFill="1" applyBorder="1" applyAlignment="1">
      <alignment textRotation="0" horizontal="left" vertical="bottom" indent="0" wrapText="1"/>
    </xf>
    <xf numFmtId="164" fontId="49" fillId="15" borderId="83" xfId="0" applyFont="1" applyNumberFormat="1" applyFill="1" applyBorder="1" applyAlignment="1">
      <alignment textRotation="0" horizontal="left" vertical="bottom" indent="0"/>
    </xf>
    <xf numFmtId="164" fontId="49" fillId="15" borderId="76" xfId="0" applyFont="1" applyNumberFormat="1" applyFill="1" applyBorder="1" applyAlignment="1">
      <alignment textRotation="0" horizontal="left" vertical="center" indent="0" wrapText="1"/>
    </xf>
    <xf numFmtId="164" fontId="49" fillId="0" borderId="59" xfId="0" applyFont="1" applyNumberFormat="1" applyBorder="1" applyAlignment="1">
      <alignment textRotation="0" horizontal="left" vertical="center" indent="0" wrapText="1"/>
    </xf>
    <xf numFmtId="164" fontId="49" fillId="0" borderId="0" xfId="0" applyFont="1" applyNumberFormat="1" applyAlignment="1">
      <alignment textRotation="0" horizontal="left" vertical="center" indent="0" wrapText="1"/>
    </xf>
    <xf numFmtId="164" fontId="3" fillId="0" borderId="82" xfId="0" applyFont="1" applyNumberFormat="1" applyBorder="1" applyAlignment="1">
      <alignment textRotation="0" horizontal="general" vertical="bottom" indent="0"/>
    </xf>
    <xf numFmtId="164" fontId="3" fillId="0" borderId="15" xfId="0" applyFont="1" applyNumberFormat="1" applyBorder="1" applyAlignment="1">
      <alignment textRotation="0" horizontal="general" vertical="bottom" indent="0"/>
    </xf>
    <xf numFmtId="164" fontId="3" fillId="0" borderId="9" xfId="0" applyFont="1" applyNumberFormat="1" applyBorder="1" applyAlignment="1">
      <alignment textRotation="0" horizontal="general" vertical="bottom" indent="0"/>
    </xf>
    <xf numFmtId="164" fontId="49" fillId="15" borderId="78" xfId="0" applyFont="1" applyNumberFormat="1" applyFill="1" applyBorder="1" applyAlignment="1">
      <alignment textRotation="0" horizontal="left" vertical="center" indent="0" wrapText="1"/>
    </xf>
    <xf numFmtId="164" fontId="3" fillId="6" borderId="52" xfId="0" applyFont="1" applyNumberFormat="1" applyFill="1" applyBorder="1" applyAlignment="1">
      <alignment textRotation="0" horizontal="general" vertical="bottom" indent="0"/>
    </xf>
    <xf numFmtId="164" fontId="3" fillId="6" borderId="53" xfId="0" applyFont="1" applyNumberFormat="1" applyFill="1" applyBorder="1" applyAlignment="1">
      <alignment textRotation="0" horizontal="general" vertical="bottom" indent="0"/>
    </xf>
    <xf numFmtId="164" fontId="3" fillId="6" borderId="54" xfId="0" applyFont="1" applyNumberFormat="1" applyFill="1" applyBorder="1" applyAlignment="1">
      <alignment textRotation="0" horizontal="general" vertical="bottom" indent="0"/>
    </xf>
    <xf numFmtId="174" fontId="9" fillId="12" borderId="40" xfId="0" applyFont="1" applyNumberFormat="1" applyFill="1" applyBorder="1" applyAlignment="1">
      <alignment textRotation="0" horizontal="general" vertical="bottom" indent="0"/>
    </xf>
    <xf numFmtId="174" fontId="9" fillId="12" borderId="44" xfId="0" applyFont="1" applyNumberFormat="1" applyFill="1" applyBorder="1" applyAlignment="1">
      <alignment textRotation="0" horizontal="general" vertical="bottom" indent="0"/>
    </xf>
    <xf numFmtId="174" fontId="9" fillId="12" borderId="83" xfId="0" applyFont="1" applyNumberFormat="1" applyFill="1" applyBorder="1" applyAlignment="1">
      <alignment textRotation="0" horizontal="general" vertical="bottom" indent="0"/>
    </xf>
    <xf numFmtId="164" fontId="78" fillId="0" borderId="0" xfId="0" applyFont="1" applyNumberFormat="1" applyAlignment="1">
      <alignment textRotation="0" horizontal="left" vertical="bottom" indent="0"/>
    </xf>
    <xf numFmtId="174" fontId="9" fillId="12" borderId="0" xfId="0" applyFont="1" applyNumberFormat="1" applyFill="1" applyAlignment="1">
      <alignment textRotation="0" horizontal="left" vertical="bottom" indent="0"/>
    </xf>
    <xf numFmtId="172" fontId="3" fillId="6" borderId="0" xfId="0" applyFont="1" applyNumberFormat="1" applyFill="1" applyAlignment="1">
      <alignment textRotation="0" horizontal="general" vertical="bottom" indent="0"/>
    </xf>
    <xf numFmtId="164" fontId="7" fillId="0" borderId="0" xfId="0" applyFont="1" applyNumberFormat="1" applyAlignment="1">
      <alignment textRotation="0" horizontal="left" vertical="bottom" indent="0"/>
    </xf>
    <xf numFmtId="164" fontId="6" fillId="0" borderId="0" xfId="0" applyFont="1" applyNumberFormat="1" applyAlignment="1">
      <alignment textRotation="0" horizontal="left" vertical="center" indent="0" wrapText="1"/>
    </xf>
    <xf numFmtId="169" fontId="9" fillId="12" borderId="62" xfId="0" applyFont="1" applyNumberFormat="1" applyFill="1" applyBorder="1" applyAlignment="1">
      <alignment textRotation="0" horizontal="general" vertical="bottom" indent="0"/>
    </xf>
    <xf numFmtId="164" fontId="98" fillId="0" borderId="0" xfId="0" applyFont="1" applyNumberFormat="1" applyAlignment="1">
      <alignment textRotation="0" horizontal="left" vertical="center" indent="4"/>
    </xf>
    <xf numFmtId="164" fontId="6" fillId="0" borderId="0" xfId="0" applyFont="1" applyNumberFormat="1" applyAlignment="1">
      <alignment textRotation="0" horizontal="general" vertical="center" indent="0" wrapText="1"/>
    </xf>
    <xf numFmtId="181" fontId="6" fillId="0" borderId="0" xfId="0" applyFont="1" applyNumberFormat="1" applyAlignment="1">
      <alignment textRotation="0" horizontal="general" vertical="center" indent="0"/>
    </xf>
    <xf numFmtId="164" fontId="99" fillId="6" borderId="0" xfId="0" applyFont="1" applyNumberFormat="1" applyFill="1" applyAlignment="1">
      <alignment textRotation="0" horizontal="center" vertical="center" indent="0" wrapText="1"/>
    </xf>
    <xf numFmtId="164" fontId="99" fillId="6" borderId="58" xfId="0" applyFont="1" applyNumberFormat="1" applyFill="1" applyBorder="1" applyAlignment="1">
      <alignment textRotation="0" horizontal="center" vertical="center" indent="0" wrapText="1"/>
    </xf>
    <xf numFmtId="164" fontId="54" fillId="0" borderId="0" xfId="0" applyFont="1" applyNumberFormat="1" applyAlignment="1">
      <alignment textRotation="0" horizontal="left" vertical="center" indent="0" wrapText="1"/>
    </xf>
    <xf numFmtId="164" fontId="13" fillId="10" borderId="0" xfId="0" applyFont="1" applyNumberFormat="1" applyFill="1" applyAlignment="1">
      <alignment textRotation="0" horizontal="center" vertical="center" indent="0" wrapText="1"/>
    </xf>
    <xf numFmtId="164" fontId="13" fillId="10" borderId="60" xfId="0" applyFont="1" applyNumberFormat="1" applyFill="1" applyBorder="1" applyAlignment="1">
      <alignment textRotation="0" horizontal="center" vertical="center" indent="0" wrapText="1"/>
    </xf>
    <xf numFmtId="164" fontId="13" fillId="10" borderId="61" xfId="0" applyFont="1" applyNumberFormat="1" applyFill="1" applyBorder="1" applyAlignment="1">
      <alignment textRotation="0" horizontal="center" vertical="center" indent="0" wrapText="1"/>
    </xf>
    <xf numFmtId="164" fontId="5" fillId="6" borderId="0" xfId="0" applyFont="1" applyNumberFormat="1" applyFill="1" applyAlignment="1">
      <alignment textRotation="0" horizontal="general" vertical="bottom" indent="0"/>
    </xf>
    <xf numFmtId="164" fontId="6" fillId="6" borderId="57" xfId="0" applyFont="1" applyNumberFormat="1" applyFill="1" applyBorder="1" applyAlignment="1">
      <alignment textRotation="0" horizontal="general" vertical="bottom" indent="0"/>
    </xf>
    <xf numFmtId="174" fontId="7" fillId="12" borderId="0" xfId="0" applyFont="1" applyNumberFormat="1" applyFill="1" applyAlignment="1">
      <alignment textRotation="0" horizontal="general" vertical="bottom" indent="0"/>
    </xf>
    <xf numFmtId="169" fontId="7" fillId="12" borderId="0" xfId="0" applyFont="1" applyNumberFormat="1" applyFill="1" applyAlignment="1">
      <alignment textRotation="0" horizontal="general" vertical="bottom" indent="0"/>
    </xf>
    <xf numFmtId="164" fontId="3" fillId="6" borderId="58" xfId="0" applyFont="1" applyNumberFormat="1" applyFill="1" applyBorder="1" applyAlignment="1">
      <alignment textRotation="0" horizontal="general" vertical="bottom" indent="0"/>
    </xf>
    <xf numFmtId="164" fontId="54" fillId="0" borderId="0" xfId="0" applyFont="1" applyNumberFormat="1" applyAlignment="1">
      <alignment textRotation="0" horizontal="right" vertical="center" indent="0" wrapText="1"/>
    </xf>
    <xf numFmtId="164" fontId="72" fillId="6" borderId="59" xfId="0" applyFont="1" applyNumberFormat="1" applyFill="1" applyBorder="1" applyAlignment="1">
      <alignment textRotation="0" horizontal="general" vertical="bottom" indent="0"/>
    </xf>
    <xf numFmtId="164" fontId="6" fillId="6" borderId="0" xfId="0" applyFont="1" applyNumberFormat="1" applyFill="1" applyAlignment="1">
      <alignment textRotation="0" horizontal="general" vertical="bottom" indent="0"/>
    </xf>
    <xf numFmtId="164" fontId="7" fillId="15" borderId="32" xfId="0" applyFont="1" applyNumberFormat="1" applyFill="1" applyBorder="1" applyAlignment="1">
      <alignment textRotation="0" horizontal="general" vertical="bottom" indent="0"/>
    </xf>
    <xf numFmtId="164" fontId="7" fillId="15" borderId="57" xfId="0" applyFont="1" applyNumberFormat="1" applyFill="1" applyBorder="1" applyAlignment="1">
      <alignment textRotation="0" horizontal="general" vertical="bottom" indent="0"/>
    </xf>
    <xf numFmtId="164" fontId="72" fillId="6" borderId="0" xfId="0" applyFont="1" applyNumberFormat="1" applyFill="1" applyAlignment="1">
      <alignment textRotation="0" horizontal="general" vertical="bottom" indent="0"/>
    </xf>
    <xf numFmtId="164" fontId="5" fillId="6" borderId="87" xfId="0" applyFont="1" applyNumberFormat="1" applyFill="1" applyBorder="1" applyAlignment="1">
      <alignment textRotation="0" horizontal="left" vertical="bottom" indent="0" wrapText="1"/>
    </xf>
    <xf numFmtId="174" fontId="7" fillId="12" borderId="58" xfId="0" applyFont="1" applyNumberFormat="1" applyFill="1" applyBorder="1" applyAlignment="1">
      <alignment textRotation="0" horizontal="general" vertical="bottom" indent="0"/>
    </xf>
    <xf numFmtId="164" fontId="9" fillId="12" borderId="33" xfId="0" applyFont="1" applyNumberFormat="1" applyFill="1" applyBorder="1" applyAlignment="1">
      <alignment textRotation="0" horizontal="center" vertical="center" indent="0" wrapText="1"/>
    </xf>
    <xf numFmtId="169" fontId="9" fillId="12" borderId="88" xfId="0" applyFont="1" applyNumberFormat="1" applyFill="1" applyBorder="1" applyAlignment="1">
      <alignment textRotation="0" horizontal="center" vertical="center" indent="0" wrapText="1"/>
    </xf>
    <xf numFmtId="164" fontId="7" fillId="15" borderId="61" xfId="0" applyFont="1" applyNumberFormat="1" applyFill="1" applyBorder="1" applyAlignment="1">
      <alignment textRotation="0" horizontal="center" vertical="bottom" indent="0"/>
    </xf>
    <xf numFmtId="164" fontId="6" fillId="6" borderId="60" xfId="0" applyFont="1" applyNumberFormat="1" applyFill="1" applyBorder="1" applyAlignment="1">
      <alignment textRotation="0" horizontal="general" vertical="bottom" indent="0"/>
    </xf>
    <xf numFmtId="164" fontId="3" fillId="6" borderId="89" xfId="0" applyFont="1" applyNumberFormat="1" applyFill="1" applyBorder="1" applyAlignment="1">
      <alignment textRotation="0" horizontal="general" vertical="bottom" indent="0"/>
    </xf>
    <xf numFmtId="169" fontId="7" fillId="12" borderId="60" xfId="0" applyFont="1" applyNumberFormat="1" applyFill="1" applyBorder="1" applyAlignment="1">
      <alignment textRotation="0" horizontal="general" vertical="bottom" indent="0"/>
    </xf>
    <xf numFmtId="164" fontId="72" fillId="6" borderId="33" xfId="0" applyFont="1" applyNumberFormat="1" applyFill="1" applyBorder="1" applyAlignment="1">
      <alignment textRotation="0" horizontal="general" vertical="bottom" indent="0"/>
    </xf>
    <xf numFmtId="164" fontId="9" fillId="12" borderId="61" xfId="0" applyFont="1" applyNumberFormat="1" applyFill="1" applyBorder="1" applyAlignment="1">
      <alignment textRotation="0" horizontal="center" vertical="center" indent="0" wrapText="1"/>
    </xf>
    <xf numFmtId="174" fontId="9" fillId="12" borderId="90" xfId="0" applyFont="1" applyNumberFormat="1" applyFill="1" applyBorder="1" applyAlignment="1">
      <alignment textRotation="0" horizontal="center" vertical="center" indent="0" wrapText="1"/>
    </xf>
    <xf numFmtId="164" fontId="7" fillId="15" borderId="91" xfId="0" applyFont="1" applyNumberFormat="1" applyFill="1" applyBorder="1" applyAlignment="1">
      <alignment textRotation="0" horizontal="general" vertical="bottom" indent="0"/>
    </xf>
    <xf numFmtId="164" fontId="9" fillId="0" borderId="0" xfId="0" applyFont="1" applyNumberFormat="1" applyAlignment="1">
      <alignment textRotation="0" horizontal="center" vertical="center" indent="0" wrapText="1"/>
    </xf>
    <xf numFmtId="174" fontId="7" fillId="12" borderId="2" xfId="0" applyFont="1" applyNumberFormat="1" applyFill="1" applyBorder="1" applyAlignment="1">
      <alignment textRotation="0" horizontal="general" vertical="bottom" indent="0"/>
    </xf>
    <xf numFmtId="169" fontId="6" fillId="6" borderId="62" xfId="0" applyFont="1" applyNumberFormat="1" applyFill="1" applyBorder="1" applyAlignment="1">
      <alignment textRotation="0" horizontal="center" vertical="center" indent="0"/>
    </xf>
    <xf numFmtId="164" fontId="14" fillId="0" borderId="0" xfId="0" applyFont="1" applyNumberFormat="1" applyAlignment="1">
      <alignment textRotation="0" horizontal="left" vertical="center" indent="0" wrapText="1"/>
    </xf>
    <xf numFmtId="164" fontId="14" fillId="0" borderId="0" xfId="0" applyFont="1" applyNumberFormat="1" applyAlignment="1">
      <alignment textRotation="0" horizontal="center" vertical="bottom" indent="0"/>
    </xf>
    <xf numFmtId="183" fontId="13" fillId="0" borderId="0" xfId="0" applyFont="1" applyNumberFormat="1" applyAlignment="1">
      <alignment textRotation="0" horizontal="center" vertical="bottom" indent="0" wrapText="1"/>
    </xf>
    <xf numFmtId="183" fontId="13" fillId="0" borderId="0" xfId="0" applyFont="1" applyNumberFormat="1" applyAlignment="1">
      <alignment textRotation="0" horizontal="center" vertical="bottom" indent="0"/>
    </xf>
    <xf numFmtId="167" fontId="6" fillId="0" borderId="0" xfId="0" applyFont="1" applyNumberFormat="1" applyAlignment="1">
      <alignment textRotation="0" horizontal="center" vertical="bottom" indent="0"/>
    </xf>
    <xf numFmtId="169" fontId="9" fillId="12" borderId="66" xfId="0" applyFont="1" applyNumberFormat="1" applyFill="1" applyBorder="1" applyAlignment="1">
      <alignment textRotation="0" horizontal="right" vertical="bottom" indent="0"/>
    </xf>
    <xf numFmtId="169" fontId="9" fillId="12" borderId="64" xfId="0" applyFont="1" applyNumberFormat="1" applyFill="1" applyBorder="1" applyAlignment="1">
      <alignment textRotation="0" horizontal="center" vertical="bottom" indent="0"/>
    </xf>
    <xf numFmtId="183" fontId="6" fillId="6" borderId="62" xfId="0" applyFont="1" applyNumberFormat="1" applyFill="1" applyBorder="1" applyAlignment="1">
      <alignment textRotation="0" horizontal="right" vertical="center" indent="0"/>
    </xf>
    <xf numFmtId="164" fontId="5" fillId="0" borderId="18" xfId="0" applyFont="1" applyNumberFormat="1" applyBorder="1" applyAlignment="1">
      <alignment textRotation="0" horizontal="left" vertical="center" indent="0" wrapText="1"/>
    </xf>
    <xf numFmtId="170" fontId="9" fillId="12" borderId="62" xfId="0" applyFont="1" applyNumberFormat="1" applyFill="1" applyBorder="1" applyAlignment="1">
      <alignment textRotation="0" horizontal="left" vertical="bottom" indent="0"/>
    </xf>
    <xf numFmtId="164" fontId="6" fillId="6" borderId="62" xfId="0" applyFont="1" applyNumberFormat="1" applyFill="1" applyBorder="1" applyAlignment="1">
      <alignment textRotation="0" horizontal="center" vertical="center" indent="0"/>
    </xf>
    <xf numFmtId="164" fontId="13" fillId="0" borderId="0" xfId="0" applyFont="1" applyNumberFormat="1" applyAlignment="1">
      <alignment textRotation="0" horizontal="right" vertical="center" indent="0"/>
    </xf>
    <xf numFmtId="164" fontId="72" fillId="0" borderId="0" xfId="0" applyFont="1" applyNumberFormat="1" applyAlignment="1">
      <alignment textRotation="0" horizontal="general" vertical="bottom" indent="0"/>
    </xf>
    <xf numFmtId="164" fontId="100" fillId="0" borderId="0" xfId="0" applyFont="1" applyNumberFormat="1" applyAlignment="1">
      <alignment textRotation="0" horizontal="general" vertical="bottom" indent="0"/>
    </xf>
    <xf numFmtId="164" fontId="3" fillId="0" borderId="0" xfId="0" applyFont="1" applyNumberFormat="1" applyAlignment="1">
      <alignment textRotation="0" horizontal="center" vertical="bottom" indent="0" wrapText="1"/>
    </xf>
    <xf numFmtId="164" fontId="6" fillId="0" borderId="0" xfId="0" applyFont="1" applyNumberFormat="1" applyAlignment="1">
      <alignment textRotation="0" horizontal="center" vertical="bottom" indent="0" wrapText="1"/>
    </xf>
    <xf numFmtId="164" fontId="101" fillId="0" borderId="0" xfId="0" applyFont="1" applyNumberFormat="1" applyAlignment="1">
      <alignment textRotation="0" horizontal="general" vertical="bottom" indent="0"/>
    </xf>
    <xf numFmtId="164" fontId="69" fillId="0" borderId="0" xfId="0" applyFont="1" applyNumberFormat="1" applyAlignment="1">
      <alignment textRotation="0" horizontal="general" vertical="bottom" indent="0"/>
    </xf>
    <xf numFmtId="174" fontId="9" fillId="12" borderId="62" xfId="0" applyFont="1" applyNumberFormat="1" applyFill="1" applyBorder="1" applyAlignment="1">
      <alignment textRotation="0" horizontal="left" vertical="bottom" indent="0"/>
    </xf>
    <xf numFmtId="164" fontId="4" fillId="4" borderId="56" xfId="0" applyFont="1" applyNumberFormat="1" applyFill="1" applyBorder="1" applyAlignment="1">
      <alignment textRotation="0" horizontal="center" vertical="center" indent="0"/>
    </xf>
    <xf numFmtId="164" fontId="58" fillId="0" borderId="0" xfId="0" applyFont="1" applyNumberFormat="1" applyAlignment="1">
      <alignment textRotation="0" horizontal="general" vertical="bottom" indent="0"/>
    </xf>
    <xf numFmtId="164" fontId="60" fillId="0" borderId="0" xfId="0" applyFont="1" applyNumberFormat="1" applyAlignment="1">
      <alignment textRotation="0" horizontal="general" vertical="bottom" indent="0"/>
    </xf>
    <xf numFmtId="164" fontId="55" fillId="0" borderId="0" xfId="0" applyFont="1" applyNumberFormat="1" applyAlignment="1">
      <alignment textRotation="0" horizontal="general" vertical="bottom" indent="0"/>
    </xf>
    <xf numFmtId="164" fontId="45" fillId="0" borderId="0" xfId="0" applyFont="1" applyNumberFormat="1" applyAlignment="1">
      <alignment textRotation="0" horizontal="general" vertical="bottom" indent="0" wrapText="1"/>
    </xf>
    <xf numFmtId="164" fontId="102" fillId="0" borderId="0" xfId="0" applyFont="1" applyNumberFormat="1" applyAlignment="1">
      <alignment textRotation="0" horizontal="general" vertical="bottom" indent="0"/>
    </xf>
    <xf numFmtId="164" fontId="3" fillId="0" borderId="0" xfId="0" applyFont="1" applyNumberFormat="1" applyAlignment="1">
      <alignment textRotation="0" horizontal="center" vertical="center" indent="0"/>
    </xf>
    <xf numFmtId="164" fontId="103" fillId="0" borderId="0" xfId="0" applyFont="1" applyNumberFormat="1" applyAlignment="1">
      <alignment textRotation="0" horizontal="general" vertical="bottom" indent="0"/>
    </xf>
    <xf numFmtId="164" fontId="13" fillId="6" borderId="0" xfId="0" applyFont="1" applyNumberFormat="1" applyFill="1" applyAlignment="1">
      <alignment textRotation="0" horizontal="center" vertical="bottom" indent="0"/>
    </xf>
    <xf numFmtId="165" fontId="70" fillId="6" borderId="0" xfId="0" applyFont="1" applyNumberFormat="1" applyFill="1" applyAlignment="1">
      <alignment textRotation="0" horizontal="general" vertical="bottom" indent="0"/>
    </xf>
    <xf numFmtId="164" fontId="13" fillId="0" borderId="0" xfId="0" applyFont="1" applyNumberFormat="1" applyAlignment="1">
      <alignment textRotation="0" horizontal="center" vertical="bottom" indent="0"/>
    </xf>
    <xf numFmtId="164" fontId="70" fillId="0" borderId="0" xfId="0" applyFont="1" applyNumberFormat="1" applyAlignment="1">
      <alignment textRotation="0" horizontal="general" vertical="bottom" indent="0"/>
    </xf>
    <xf numFmtId="164" fontId="54" fillId="0" borderId="0" xfId="0" applyFont="1" applyNumberFormat="1" applyAlignment="1">
      <alignment textRotation="0" horizontal="general" vertical="bottom" indent="0"/>
    </xf>
    <xf numFmtId="166" fontId="7" fillId="14" borderId="0" xfId="0" applyFont="1" applyNumberFormat="1" applyFill="1" applyAlignment="1">
      <alignment textRotation="0" horizontal="left" vertical="top" indent="0" wrapText="1"/>
    </xf>
    <xf numFmtId="164" fontId="104" fillId="0" borderId="0" xfId="0" applyFont="1" applyNumberFormat="1" applyAlignment="1">
      <alignment textRotation="0" horizontal="general" vertical="bottom" indent="0"/>
    </xf>
    <xf numFmtId="164" fontId="5" fillId="0" borderId="0" xfId="0" applyFont="1" applyNumberFormat="1" applyAlignment="1">
      <alignment textRotation="0" horizontal="left" vertical="bottom" indent="0"/>
    </xf>
    <xf numFmtId="164" fontId="6" fillId="0" borderId="0" xfId="0" applyFont="1" applyNumberFormat="1" applyAlignment="1">
      <alignment textRotation="0" horizontal="general" vertical="bottom" indent="0"/>
    </xf>
    <xf numFmtId="164" fontId="104" fillId="0" borderId="0" xfId="0" applyFont="1" applyNumberFormat="1" applyAlignment="1">
      <alignment textRotation="0" horizontal="left" vertical="bottom" indent="0"/>
    </xf>
    <xf numFmtId="167" fontId="7" fillId="12" borderId="62" xfId="0" applyFont="1" applyNumberFormat="1" applyFill="1" applyBorder="1" applyAlignment="1">
      <alignment textRotation="0" horizontal="right" vertical="bottom" indent="0" wrapText="1"/>
    </xf>
    <xf numFmtId="164" fontId="105" fillId="0" borderId="0" xfId="0" applyFont="1" applyNumberFormat="1" applyAlignment="1">
      <alignment textRotation="0" horizontal="right" vertical="bottom" indent="0" wrapText="1"/>
    </xf>
    <xf numFmtId="164" fontId="72" fillId="6" borderId="0" xfId="0" applyFont="1" applyNumberFormat="1" applyFill="1" applyAlignment="1">
      <alignment textRotation="0" horizontal="general" vertical="center" indent="0"/>
    </xf>
    <xf numFmtId="164" fontId="72" fillId="0" borderId="0" xfId="0" applyFont="1" applyNumberFormat="1" applyAlignment="1">
      <alignment textRotation="0" horizontal="general" vertical="center" indent="0"/>
    </xf>
    <xf numFmtId="164" fontId="105" fillId="0" borderId="0" xfId="0" applyFont="1" applyNumberFormat="1" applyAlignment="1">
      <alignment textRotation="0" horizontal="right" vertical="bottom" indent="0"/>
    </xf>
    <xf numFmtId="164" fontId="105" fillId="0" borderId="0" xfId="0" applyFont="1" applyNumberFormat="1" applyAlignment="1">
      <alignment textRotation="0" horizontal="right" vertical="center" indent="0" wrapText="1"/>
    </xf>
    <xf numFmtId="164" fontId="7" fillId="14" borderId="0" xfId="0" applyFont="1" applyNumberFormat="1" applyFill="1" applyAlignment="1">
      <alignment textRotation="0" horizontal="general" vertical="bottom" indent="0" wrapText="1"/>
    </xf>
    <xf numFmtId="164" fontId="7" fillId="14" borderId="0" xfId="0" applyFont="1" applyNumberFormat="1" applyFill="1" applyAlignment="1">
      <alignment textRotation="0" horizontal="general" vertical="center" indent="0" wrapText="1"/>
    </xf>
    <xf numFmtId="166" fontId="3" fillId="0" borderId="0" xfId="0" applyFont="1" applyNumberFormat="1" applyAlignment="1">
      <alignment textRotation="0" horizontal="general" vertical="top" indent="0"/>
    </xf>
    <xf numFmtId="166" fontId="3" fillId="0" borderId="0" xfId="0" applyFont="1" applyNumberFormat="1" applyAlignment="1">
      <alignment textRotation="0" horizontal="general" vertical="top" indent="0" wrapText="1"/>
    </xf>
    <xf numFmtId="164" fontId="13" fillId="6" borderId="0" xfId="0" applyFont="1" applyNumberFormat="1" applyFill="1" applyAlignment="1">
      <alignment textRotation="0" horizontal="general" vertical="bottom" indent="0"/>
    </xf>
    <xf numFmtId="164" fontId="5" fillId="0" borderId="0" xfId="0" applyFont="1" applyNumberFormat="1" applyAlignment="1">
      <alignment textRotation="0" horizontal="right" vertical="bottom" indent="0"/>
    </xf>
    <xf numFmtId="164" fontId="5" fillId="0" borderId="0" xfId="0" applyFont="1" applyNumberFormat="1" applyAlignment="1">
      <alignment textRotation="0" horizontal="right" vertical="center" indent="0" wrapText="1"/>
    </xf>
    <xf numFmtId="164" fontId="106" fillId="0" borderId="0" xfId="0" applyFont="1" applyNumberFormat="1" applyAlignment="1">
      <alignment textRotation="0" horizontal="general" vertical="bottom" indent="0"/>
    </xf>
    <xf numFmtId="164" fontId="45" fillId="0" borderId="0" xfId="0" applyFont="1" applyNumberFormat="1" applyAlignment="1">
      <alignment textRotation="0" horizontal="general" vertical="top" indent="0" wrapText="1"/>
    </xf>
    <xf numFmtId="166" fontId="45" fillId="0" borderId="0" xfId="0" applyFont="1" applyNumberFormat="1" applyAlignment="1">
      <alignment textRotation="0" horizontal="general" vertical="bottom" indent="0"/>
    </xf>
    <xf numFmtId="164" fontId="9" fillId="6" borderId="92" xfId="0" applyFont="1" applyNumberFormat="1" applyFill="1" applyBorder="1" applyAlignment="1">
      <alignment textRotation="0" horizontal="center" vertical="center" indent="0" wrapText="1"/>
    </xf>
    <xf numFmtId="164" fontId="9" fillId="6" borderId="0" xfId="0" applyFont="1" applyNumberFormat="1" applyFill="1" applyAlignment="1">
      <alignment textRotation="0" horizontal="center" vertical="center" indent="0"/>
    </xf>
    <xf numFmtId="164" fontId="9" fillId="6" borderId="57" xfId="0" applyFont="1" applyNumberFormat="1" applyFill="1" applyBorder="1" applyAlignment="1">
      <alignment textRotation="0" horizontal="center" vertical="center" indent="0" wrapText="1"/>
    </xf>
    <xf numFmtId="164" fontId="9" fillId="6" borderId="59" xfId="0" applyFont="1" applyNumberFormat="1" applyFill="1" applyBorder="1" applyAlignment="1">
      <alignment textRotation="0" horizontal="center" vertical="center" indent="0" wrapText="1"/>
    </xf>
    <xf numFmtId="164" fontId="9" fillId="6" borderId="28" xfId="0" applyFont="1" applyNumberFormat="1" applyFill="1" applyBorder="1" applyAlignment="1">
      <alignment textRotation="0" horizontal="center" vertical="center" indent="0" wrapText="1"/>
    </xf>
    <xf numFmtId="164" fontId="9" fillId="6" borderId="18" xfId="0" applyFont="1" applyNumberFormat="1" applyFill="1" applyBorder="1" applyAlignment="1">
      <alignment textRotation="0" horizontal="center" vertical="center" indent="0" wrapText="1"/>
    </xf>
    <xf numFmtId="164" fontId="9" fillId="6" borderId="49" xfId="0" applyFont="1" applyNumberFormat="1" applyFill="1" applyBorder="1" applyAlignment="1">
      <alignment textRotation="0" horizontal="center" vertical="center" indent="0" wrapText="1"/>
    </xf>
    <xf numFmtId="164" fontId="9" fillId="6" borderId="11" xfId="0" applyFont="1" applyNumberFormat="1" applyFill="1" applyBorder="1" applyAlignment="1">
      <alignment textRotation="0" horizontal="left" vertical="center" indent="0"/>
    </xf>
    <xf numFmtId="164" fontId="7" fillId="6" borderId="0" xfId="0" applyFont="1" applyNumberFormat="1" applyFill="1" applyAlignment="1">
      <alignment textRotation="0" horizontal="general" vertical="center" indent="0"/>
    </xf>
    <xf numFmtId="164" fontId="7" fillId="10" borderId="31" xfId="0" applyFont="1" applyNumberFormat="1" applyFill="1" applyBorder="1" applyAlignment="1">
      <alignment textRotation="0" horizontal="center" vertical="bottom" indent="0"/>
    </xf>
    <xf numFmtId="164" fontId="9" fillId="10" borderId="2" xfId="0" applyFont="1" applyNumberFormat="1" applyFill="1" applyBorder="1" applyAlignment="1">
      <alignment textRotation="0" horizontal="general" vertical="center" indent="0" wrapText="1"/>
    </xf>
    <xf numFmtId="168" fontId="7" fillId="10" borderId="32" xfId="0" applyFont="1" applyNumberFormat="1" applyFill="1" applyBorder="1" applyAlignment="1">
      <alignment textRotation="0" horizontal="center" vertical="bottom" indent="0"/>
    </xf>
    <xf numFmtId="169" fontId="7" fillId="10" borderId="0" xfId="0" applyFont="1" applyNumberFormat="1" applyFill="1" applyAlignment="1">
      <alignment textRotation="0" horizontal="center" vertical="bottom" indent="0"/>
    </xf>
    <xf numFmtId="164" fontId="107" fillId="10" borderId="0" xfId="0" applyFont="1" applyNumberFormat="1" applyFill="1" applyAlignment="1">
      <alignment textRotation="0" horizontal="center" vertical="center" indent="0" wrapText="1"/>
    </xf>
    <xf numFmtId="167" fontId="9" fillId="12" borderId="0" xfId="0" applyFont="1" applyNumberFormat="1" applyFill="1" applyAlignment="1">
      <alignment textRotation="0" horizontal="center" vertical="bottom" indent="0" wrapText="1"/>
    </xf>
    <xf numFmtId="170" fontId="7" fillId="6" borderId="11" xfId="0" applyFont="1" applyNumberFormat="1" applyFill="1" applyBorder="1" applyAlignment="1">
      <alignment textRotation="0" horizontal="center" vertical="center" indent="0"/>
    </xf>
    <xf numFmtId="164" fontId="13" fillId="0" borderId="0" xfId="0" applyFont="1" applyNumberFormat="1" applyAlignment="1">
      <alignment textRotation="0" horizontal="left" vertical="top" indent="0" wrapText="1"/>
    </xf>
    <xf numFmtId="164" fontId="13" fillId="6" borderId="31" xfId="0" applyFont="1" applyNumberFormat="1" applyFill="1" applyBorder="1" applyAlignment="1">
      <alignment textRotation="0" horizontal="center" vertical="bottom" indent="0"/>
    </xf>
    <xf numFmtId="164" fontId="13" fillId="6" borderId="32" xfId="0" applyFont="1" applyNumberFormat="1" applyFill="1" applyBorder="1" applyAlignment="1">
      <alignment textRotation="0" horizontal="center" vertical="bottom" indent="0"/>
    </xf>
    <xf numFmtId="164" fontId="7" fillId="8" borderId="0" xfId="0" applyFont="1" applyNumberFormat="1" applyFill="1" applyAlignment="1">
      <alignment textRotation="0" horizontal="right" vertical="center" indent="0"/>
    </xf>
    <xf numFmtId="167" fontId="7" fillId="12" borderId="0" xfId="0" applyFont="1" applyNumberFormat="1" applyFill="1" applyAlignment="1">
      <alignment textRotation="0" horizontal="center" vertical="bottom" indent="0" wrapText="1"/>
    </xf>
    <xf numFmtId="172" fontId="7" fillId="14" borderId="11" xfId="0" applyFont="1" applyNumberFormat="1" applyFill="1" applyBorder="1" applyAlignment="1">
      <alignment textRotation="0" horizontal="center" vertical="center" indent="0"/>
    </xf>
    <xf numFmtId="164" fontId="13" fillId="0" borderId="0" xfId="0" applyFont="1" applyNumberFormat="1" applyAlignment="1">
      <alignment textRotation="0" horizontal="left" vertical="top" indent="0"/>
    </xf>
    <xf numFmtId="164" fontId="7" fillId="6" borderId="11" xfId="0" applyFont="1" applyNumberFormat="1" applyFill="1" applyBorder="1" applyAlignment="1">
      <alignment textRotation="0" horizontal="center" vertical="center" indent="0"/>
    </xf>
    <xf numFmtId="164" fontId="13" fillId="0" borderId="32" xfId="0" applyFont="1" applyNumberFormat="1" applyBorder="1" applyAlignment="1">
      <alignment textRotation="0" horizontal="left" vertical="top" indent="0"/>
    </xf>
    <xf numFmtId="164" fontId="7" fillId="6" borderId="0" xfId="0" applyFont="1" applyNumberFormat="1" applyFill="1" applyAlignment="1">
      <alignment textRotation="0" horizontal="center" vertical="center" indent="0"/>
    </xf>
    <xf numFmtId="164" fontId="7" fillId="6" borderId="31" xfId="0" applyFont="1" applyNumberFormat="1" applyFill="1" applyBorder="1" applyAlignment="1">
      <alignment textRotation="0" horizontal="center" vertical="center" indent="0" wrapText="1"/>
    </xf>
    <xf numFmtId="164" fontId="7" fillId="6" borderId="32" xfId="0" applyFont="1" applyNumberFormat="1" applyFill="1" applyBorder="1" applyAlignment="1">
      <alignment textRotation="0" horizontal="center" vertical="center" indent="0" wrapText="1"/>
    </xf>
    <xf numFmtId="164" fontId="7" fillId="6" borderId="0" xfId="0" applyFont="1" applyNumberFormat="1" applyFill="1" applyAlignment="1">
      <alignment textRotation="0" horizontal="center" vertical="bottom" indent="0"/>
    </xf>
    <xf numFmtId="164" fontId="7" fillId="6" borderId="31" xfId="0" applyFont="1" applyNumberFormat="1" applyFill="1" applyBorder="1" applyAlignment="1">
      <alignment textRotation="0" horizontal="center" vertical="bottom" indent="0"/>
    </xf>
    <xf numFmtId="164" fontId="7" fillId="6" borderId="32" xfId="0" applyFont="1" applyNumberFormat="1" applyFill="1" applyBorder="1" applyAlignment="1">
      <alignment textRotation="0" horizontal="center" vertical="bottom" indent="0"/>
    </xf>
    <xf numFmtId="172" fontId="7" fillId="14" borderId="0" xfId="0" applyFont="1" applyNumberFormat="1" applyFill="1" applyAlignment="1">
      <alignment textRotation="0" horizontal="general" vertical="center" indent="0"/>
    </xf>
    <xf numFmtId="164" fontId="7" fillId="6" borderId="0" xfId="0" applyFont="1" applyNumberFormat="1" applyFill="1" applyAlignment="1">
      <alignment textRotation="0" horizontal="left" vertical="bottom" indent="0"/>
    </xf>
    <xf numFmtId="170" fontId="7" fillId="6" borderId="0" xfId="0" applyFont="1" applyNumberFormat="1" applyFill="1" applyAlignment="1">
      <alignment textRotation="0" horizontal="center" vertical="center" indent="0"/>
    </xf>
    <xf numFmtId="164" fontId="7" fillId="14" borderId="11" xfId="0" applyFont="1" applyNumberFormat="1" applyFill="1" applyBorder="1" applyAlignment="1">
      <alignment textRotation="0" horizontal="general" vertical="center" indent="0" wrapText="1"/>
    </xf>
    <xf numFmtId="164" fontId="13" fillId="6" borderId="60" xfId="0" applyFont="1" applyNumberFormat="1" applyFill="1" applyBorder="1" applyAlignment="1">
      <alignment textRotation="0" horizontal="center" vertical="bottom" indent="0"/>
    </xf>
    <xf numFmtId="164" fontId="13" fillId="6" borderId="61" xfId="0" applyFont="1" applyNumberFormat="1" applyFill="1" applyBorder="1" applyAlignment="1">
      <alignment textRotation="0" horizontal="center" vertical="bottom" indent="0"/>
    </xf>
    <xf numFmtId="164" fontId="13" fillId="6" borderId="18" xfId="0" applyFont="1" applyNumberFormat="1" applyFill="1" applyBorder="1" applyAlignment="1">
      <alignment textRotation="0" horizontal="center" vertical="bottom" indent="0"/>
    </xf>
    <xf numFmtId="169" fontId="13" fillId="0" borderId="0" xfId="0" applyFont="1" applyNumberFormat="1" applyAlignment="1">
      <alignment textRotation="0" horizontal="center" vertical="center" indent="0"/>
    </xf>
    <xf numFmtId="170" fontId="13" fillId="0" borderId="0" xfId="0" applyFont="1" applyNumberFormat="1" applyAlignment="1">
      <alignment textRotation="0" horizontal="right" vertical="center" indent="0"/>
    </xf>
    <xf numFmtId="167" fontId="13" fillId="0" borderId="0" xfId="0" applyFont="1" applyNumberFormat="1" applyAlignment="1">
      <alignment textRotation="0" horizontal="center" vertical="bottom" indent="0" wrapText="1"/>
    </xf>
    <xf numFmtId="164" fontId="45" fillId="0" borderId="0" xfId="0" applyFont="1" applyNumberFormat="1" applyAlignment="1">
      <alignment textRotation="0" horizontal="left" vertical="bottom" indent="0"/>
    </xf>
    <xf numFmtId="168" fontId="6" fillId="0" borderId="0" xfId="0" applyFont="1" applyNumberFormat="1" applyAlignment="1">
      <alignment textRotation="0" horizontal="center" vertical="bottom" indent="0"/>
    </xf>
    <xf numFmtId="169" fontId="6" fillId="0" borderId="0" xfId="0" applyFont="1" applyNumberFormat="1" applyAlignment="1">
      <alignment textRotation="0" horizontal="center" vertical="bottom" indent="0"/>
    </xf>
    <xf numFmtId="167" fontId="6" fillId="0" borderId="0" xfId="0" applyFont="1" applyNumberFormat="1" applyAlignment="1">
      <alignment textRotation="0" horizontal="right" vertical="bottom" indent="0"/>
    </xf>
    <xf numFmtId="164" fontId="108" fillId="0" borderId="0" xfId="0" applyFont="1" applyNumberFormat="1" applyAlignment="1">
      <alignment textRotation="0" horizontal="center" vertical="bottom" indent="0" wrapText="1"/>
    </xf>
    <xf numFmtId="164" fontId="108" fillId="0" borderId="0" xfId="0" applyFont="1" applyNumberFormat="1" applyAlignment="1">
      <alignment textRotation="0" horizontal="general" vertical="bottom" indent="0"/>
    </xf>
    <xf numFmtId="164" fontId="45" fillId="0" borderId="0" xfId="0" applyFont="1" applyNumberFormat="1" applyAlignment="1">
      <alignment textRotation="0" horizontal="left" vertical="top" indent="0" wrapText="1"/>
    </xf>
    <xf numFmtId="164" fontId="45" fillId="0" borderId="0" xfId="0" applyFont="1" applyNumberFormat="1" applyAlignment="1">
      <alignment textRotation="0" horizontal="center" vertical="top" indent="0" wrapText="1"/>
    </xf>
    <xf numFmtId="164" fontId="6" fillId="0" borderId="0" xfId="0" applyFont="1" applyNumberFormat="1" applyAlignment="1">
      <alignment textRotation="0" horizontal="right" vertical="top" indent="0"/>
    </xf>
    <xf numFmtId="164" fontId="45" fillId="0" borderId="0" xfId="0" applyFont="1" applyNumberFormat="1" applyAlignment="1">
      <alignment textRotation="0" horizontal="center" vertical="bottom" indent="0"/>
    </xf>
    <xf numFmtId="164" fontId="109" fillId="0" borderId="0" xfId="0" applyFont="1" applyNumberFormat="1" applyAlignment="1">
      <alignment textRotation="0" horizontal="left" vertical="bottom" indent="0" wrapText="1"/>
    </xf>
    <xf numFmtId="164" fontId="55" fillId="6" borderId="92" xfId="0" applyFont="1" applyNumberFormat="1" applyFill="1" applyBorder="1" applyAlignment="1">
      <alignment textRotation="0" horizontal="general" vertical="bottom" indent="0"/>
    </xf>
    <xf numFmtId="164" fontId="55" fillId="6" borderId="0" xfId="0" applyFont="1" applyNumberFormat="1" applyFill="1" applyAlignment="1">
      <alignment textRotation="0" horizontal="general" vertical="bottom" indent="0"/>
    </xf>
    <xf numFmtId="164" fontId="80" fillId="6" borderId="0" xfId="0" applyFont="1" applyNumberFormat="1" applyFill="1" applyAlignment="1">
      <alignment textRotation="0" horizontal="left" vertical="bottom" indent="0"/>
    </xf>
    <xf numFmtId="164" fontId="45" fillId="6" borderId="0" xfId="0" applyFont="1" applyNumberFormat="1" applyFill="1" applyAlignment="1">
      <alignment textRotation="0" horizontal="general" vertical="bottom" indent="0"/>
    </xf>
    <xf numFmtId="164" fontId="45" fillId="6" borderId="68" xfId="0" applyFont="1" applyNumberFormat="1" applyFill="1" applyBorder="1" applyAlignment="1">
      <alignment textRotation="0" horizontal="center" vertical="bottom" indent="0"/>
    </xf>
    <xf numFmtId="164" fontId="55" fillId="0" borderId="0" xfId="0" applyFont="1" applyNumberFormat="1" applyAlignment="1">
      <alignment textRotation="0" horizontal="center" vertical="bottom" indent="0"/>
    </xf>
    <xf numFmtId="164" fontId="13" fillId="0" borderId="0" xfId="0" applyFont="1" applyNumberFormat="1" applyAlignment="1">
      <alignment textRotation="0" horizontal="right" vertical="bottom" indent="0"/>
    </xf>
    <xf numFmtId="164" fontId="83" fillId="0" borderId="0" xfId="0" applyFont="1" applyNumberFormat="1" applyAlignment="1">
      <alignment textRotation="0" horizontal="left" vertical="bottom" indent="0"/>
    </xf>
    <xf numFmtId="164" fontId="109" fillId="0" borderId="0" xfId="0" applyFont="1" applyNumberFormat="1" applyAlignment="1">
      <alignment textRotation="0" horizontal="right" vertical="bottom" indent="0" wrapText="1"/>
    </xf>
    <xf numFmtId="164" fontId="45" fillId="0" borderId="0" xfId="0" applyFont="1" applyNumberFormat="1" applyAlignment="1">
      <alignment textRotation="0" horizontal="center" vertical="bottom" indent="0" wrapText="1"/>
    </xf>
    <xf numFmtId="164" fontId="45" fillId="0" borderId="56" xfId="0" applyFont="1" applyNumberFormat="1" applyBorder="1" applyAlignment="1">
      <alignment textRotation="0" horizontal="general" vertical="bottom" indent="0"/>
    </xf>
    <xf numFmtId="172" fontId="45" fillId="0" borderId="0" xfId="0" applyFont="1" applyNumberFormat="1" applyAlignment="1">
      <alignment textRotation="0" horizontal="general" vertical="bottom" indent="0"/>
    </xf>
    <xf numFmtId="164" fontId="6" fillId="6" borderId="0" xfId="0" applyFont="1" applyNumberFormat="1" applyFill="1" applyAlignment="1">
      <alignment textRotation="0" horizontal="general" vertical="center" indent="0" wrapText="1"/>
    </xf>
    <xf numFmtId="164" fontId="6" fillId="6" borderId="0" xfId="0" applyFont="1" applyNumberFormat="1" applyFill="1" applyAlignment="1">
      <alignment textRotation="0" horizontal="center" vertical="center" indent="0"/>
    </xf>
    <xf numFmtId="164" fontId="31" fillId="6" borderId="0" xfId="0" applyFont="1" applyNumberFormat="1" applyFill="1" applyAlignment="1">
      <alignment textRotation="0" horizontal="center" vertical="center" indent="0" wrapText="1"/>
    </xf>
    <xf numFmtId="164" fontId="6" fillId="6" borderId="68" xfId="0" applyFont="1" applyNumberFormat="1" applyFill="1" applyBorder="1" applyAlignment="1">
      <alignment textRotation="0" horizontal="center" vertical="center" indent="0"/>
    </xf>
    <xf numFmtId="164" fontId="6" fillId="6" borderId="58" xfId="0" applyFont="1" applyNumberFormat="1" applyFill="1" applyBorder="1" applyAlignment="1">
      <alignment textRotation="0" horizontal="center" vertical="center" indent="0"/>
    </xf>
    <xf numFmtId="164" fontId="6" fillId="0" borderId="31" xfId="0" applyFont="1" applyNumberFormat="1" applyBorder="1" applyAlignment="1">
      <alignment textRotation="0" horizontal="center" vertical="center" indent="0" wrapText="1"/>
    </xf>
    <xf numFmtId="164" fontId="6" fillId="10" borderId="0" xfId="0" applyFont="1" applyNumberFormat="1" applyFill="1" applyAlignment="1">
      <alignment textRotation="0" horizontal="center" vertical="center" indent="0" wrapText="1"/>
    </xf>
    <xf numFmtId="164" fontId="13" fillId="10" borderId="32" xfId="0" applyFont="1" applyNumberFormat="1" applyFill="1" applyBorder="1" applyAlignment="1">
      <alignment textRotation="0" horizontal="center" vertical="center" indent="0" wrapText="1"/>
    </xf>
    <xf numFmtId="164" fontId="9" fillId="6" borderId="31" xfId="0" applyFont="1" applyNumberFormat="1" applyFill="1" applyBorder="1" applyAlignment="1">
      <alignment textRotation="0" horizontal="left" vertical="center" indent="0"/>
    </xf>
    <xf numFmtId="164" fontId="7" fillId="6" borderId="0" xfId="0" applyFont="1" applyNumberFormat="1" applyFill="1" applyAlignment="1">
      <alignment textRotation="0" horizontal="left" vertical="center" indent="0"/>
    </xf>
    <xf numFmtId="164" fontId="7" fillId="6" borderId="32" xfId="0" applyFont="1" applyNumberFormat="1" applyFill="1" applyBorder="1" applyAlignment="1">
      <alignment textRotation="0" horizontal="left" vertical="center" indent="0"/>
    </xf>
    <xf numFmtId="164" fontId="7" fillId="6" borderId="32" xfId="0" applyFont="1" applyNumberFormat="1" applyFill="1" applyBorder="1" applyAlignment="1">
      <alignment textRotation="0" horizontal="center" vertical="center" indent="0"/>
    </xf>
    <xf numFmtId="164" fontId="13" fillId="0" borderId="31" xfId="0" applyFont="1" applyNumberFormat="1" applyBorder="1" applyAlignment="1">
      <alignment textRotation="0" horizontal="general" vertical="bottom" indent="0"/>
    </xf>
    <xf numFmtId="164" fontId="13" fillId="14" borderId="32" xfId="0" applyFont="1" applyNumberFormat="1" applyFill="1" applyBorder="1" applyAlignment="1">
      <alignment textRotation="0" horizontal="center" vertical="bottom" indent="0"/>
    </xf>
    <xf numFmtId="164" fontId="70" fillId="6" borderId="0" xfId="0" applyFont="1" applyNumberFormat="1" applyFill="1" applyAlignment="1">
      <alignment textRotation="0" horizontal="center" vertical="bottom" indent="0"/>
    </xf>
    <xf numFmtId="164" fontId="9" fillId="6" borderId="59" xfId="0" applyFont="1" applyNumberFormat="1" applyFill="1" applyBorder="1" applyAlignment="1">
      <alignment textRotation="0" horizontal="left" vertical="center" indent="0"/>
    </xf>
    <xf numFmtId="164" fontId="19" fillId="0" borderId="33" xfId="0" applyFont="1" applyNumberFormat="1" applyBorder="1" applyAlignment="1">
      <alignment textRotation="0" horizontal="left" vertical="top" indent="0"/>
    </xf>
    <xf numFmtId="164" fontId="13" fillId="14" borderId="58" xfId="0" applyFont="1" applyNumberFormat="1" applyFill="1" applyBorder="1" applyAlignment="1">
      <alignment textRotation="0" horizontal="center" vertical="bottom" indent="0"/>
    </xf>
    <xf numFmtId="164" fontId="19" fillId="0" borderId="77" xfId="0" applyFont="1" applyNumberFormat="1" applyBorder="1" applyAlignment="1">
      <alignment textRotation="0" horizontal="left" vertical="top" indent="0"/>
    </xf>
    <xf numFmtId="164" fontId="13" fillId="0" borderId="59" xfId="0" applyFont="1" applyNumberFormat="1" applyBorder="1" applyAlignment="1">
      <alignment textRotation="0" horizontal="general" vertical="bottom" indent="0"/>
    </xf>
    <xf numFmtId="164" fontId="13" fillId="6" borderId="60" xfId="0" applyFont="1" applyNumberFormat="1" applyFill="1" applyBorder="1" applyAlignment="1">
      <alignment textRotation="0" horizontal="general" vertical="bottom" indent="0"/>
    </xf>
    <xf numFmtId="170" fontId="7" fillId="12" borderId="60" xfId="0" applyFont="1" applyNumberFormat="1" applyFill="1" applyBorder="1" applyAlignment="1">
      <alignment textRotation="0" horizontal="center" vertical="bottom" indent="0"/>
    </xf>
    <xf numFmtId="164" fontId="13" fillId="14" borderId="61" xfId="0" applyFont="1" applyNumberFormat="1" applyFill="1" applyBorder="1" applyAlignment="1">
      <alignment textRotation="0" horizontal="center" vertical="bottom" indent="0"/>
    </xf>
    <xf numFmtId="164" fontId="13" fillId="0" borderId="56" xfId="0" applyFont="1" applyNumberFormat="1" applyBorder="1" applyAlignment="1">
      <alignment textRotation="0" horizontal="general" vertical="bottom" indent="0"/>
    </xf>
    <xf numFmtId="172" fontId="6" fillId="0" borderId="0" xfId="0" applyFont="1" applyNumberFormat="1" applyAlignment="1">
      <alignment textRotation="0" horizontal="center" vertical="bottom" indent="0"/>
    </xf>
    <xf numFmtId="168" fontId="13" fillId="0" borderId="0" xfId="0" applyFont="1" applyNumberFormat="1" applyAlignment="1">
      <alignment textRotation="0" horizontal="general" vertical="bottom" indent="0"/>
    </xf>
    <xf numFmtId="173" fontId="13" fillId="0" borderId="0" xfId="0" applyFont="1" applyNumberFormat="1" applyAlignment="1">
      <alignment textRotation="0" horizontal="general" vertical="bottom" indent="0"/>
    </xf>
    <xf numFmtId="164" fontId="110" fillId="0" borderId="0" xfId="0" applyFont="1" applyNumberFormat="1" applyAlignment="1">
      <alignment textRotation="0" horizontal="right" vertical="bottom" indent="0"/>
    </xf>
    <xf numFmtId="168" fontId="13" fillId="0" borderId="0" xfId="0" applyFont="1" applyNumberFormat="1" applyAlignment="1">
      <alignment textRotation="0" horizontal="left" vertical="center" indent="0"/>
    </xf>
    <xf numFmtId="164" fontId="111" fillId="0" borderId="0" xfId="0" applyFont="1" applyNumberFormat="1" applyAlignment="1">
      <alignment textRotation="0" horizontal="center" vertical="top" indent="0"/>
    </xf>
    <xf numFmtId="164" fontId="2" fillId="0" borderId="0" xfId="0" applyFont="1" applyNumberFormat="1" applyAlignment="1">
      <alignment textRotation="0" horizontal="general" vertical="bottom" indent="0"/>
    </xf>
    <xf numFmtId="164" fontId="13" fillId="0" borderId="0" xfId="0" applyFont="1" applyNumberFormat="1" applyAlignment="1">
      <alignment textRotation="0" horizontal="general" vertical="bottom" indent="0" wrapText="1"/>
    </xf>
    <xf numFmtId="168" fontId="13" fillId="0" borderId="0" xfId="0" applyFont="1" applyNumberFormat="1" applyAlignment="1">
      <alignment textRotation="0" horizontal="general" vertical="bottom" indent="0" wrapText="1"/>
    </xf>
    <xf numFmtId="175" fontId="13" fillId="0" borderId="0" xfId="0" applyFont="1" applyNumberFormat="1" applyAlignment="1">
      <alignment textRotation="0" horizontal="general" vertical="bottom" indent="0"/>
    </xf>
    <xf numFmtId="172" fontId="31" fillId="6" borderId="0" xfId="0" applyFont="1" applyNumberFormat="1" applyFill="1" applyAlignment="1">
      <alignment textRotation="0" horizontal="center" vertical="center" indent="0" wrapText="1"/>
    </xf>
    <xf numFmtId="164" fontId="6" fillId="6" borderId="0" xfId="0" applyFont="1" applyNumberFormat="1" applyFill="1" applyAlignment="1">
      <alignment textRotation="0" horizontal="center" vertical="bottom" indent="0" wrapText="1"/>
    </xf>
    <xf numFmtId="164" fontId="6" fillId="10" borderId="31" xfId="0" applyFont="1" applyNumberFormat="1" applyFill="1" applyBorder="1" applyAlignment="1">
      <alignment textRotation="0" horizontal="center" vertical="center" indent="0" wrapText="1"/>
    </xf>
    <xf numFmtId="164" fontId="13" fillId="0" borderId="31" xfId="0" applyFont="1" applyNumberFormat="1" applyBorder="1" applyAlignment="1">
      <alignment textRotation="0" horizontal="left" vertical="bottom" indent="0"/>
    </xf>
    <xf numFmtId="172" fontId="7" fillId="12" borderId="0" xfId="0" applyFont="1" applyNumberFormat="1" applyFill="1" applyAlignment="1">
      <alignment textRotation="0" horizontal="right" vertical="bottom" indent="0"/>
    </xf>
    <xf numFmtId="172" fontId="13" fillId="0" borderId="0" xfId="0" applyFont="1" applyNumberFormat="1" applyAlignment="1">
      <alignment textRotation="0" horizontal="right" vertical="bottom" indent="0"/>
    </xf>
    <xf numFmtId="164" fontId="7" fillId="10" borderId="32" xfId="0" applyFont="1" applyNumberFormat="1" applyFill="1" applyBorder="1" applyAlignment="1">
      <alignment textRotation="0" horizontal="left" vertical="center" indent="0"/>
    </xf>
    <xf numFmtId="172" fontId="45" fillId="6" borderId="0" xfId="0" applyFont="1" applyNumberFormat="1" applyFill="1" applyAlignment="1">
      <alignment textRotation="0" horizontal="center" vertical="bottom" indent="0"/>
    </xf>
    <xf numFmtId="164" fontId="13" fillId="0" borderId="31" xfId="0" applyFont="1" applyNumberFormat="1" applyBorder="1" applyAlignment="1">
      <alignment textRotation="0" horizontal="right" vertical="bottom" indent="0"/>
    </xf>
    <xf numFmtId="172" fontId="13" fillId="6" borderId="0" xfId="0" applyFont="1" applyNumberFormat="1" applyFill="1" applyAlignment="1">
      <alignment textRotation="0" horizontal="center" vertical="center" indent="0"/>
    </xf>
    <xf numFmtId="172" fontId="13" fillId="6" borderId="0" xfId="0" applyFont="1" applyNumberFormat="1" applyFill="1" applyAlignment="1">
      <alignment textRotation="0" horizontal="center" vertical="bottom" indent="0"/>
    </xf>
    <xf numFmtId="172" fontId="45" fillId="6" borderId="60" xfId="0" applyFont="1" applyNumberFormat="1" applyFill="1" applyBorder="1" applyAlignment="1">
      <alignment textRotation="0" horizontal="center" vertical="bottom" indent="0"/>
    </xf>
    <xf numFmtId="164" fontId="83" fillId="0" borderId="0" xfId="0" applyFont="1" applyNumberFormat="1" applyAlignment="1">
      <alignment textRotation="0" horizontal="general" vertical="bottom" indent="0"/>
    </xf>
    <xf numFmtId="164" fontId="3" fillId="6" borderId="0" xfId="0" applyFont="1" applyNumberFormat="1" applyFill="1" applyAlignment="1">
      <alignment textRotation="0" horizontal="center" vertical="center" indent="0" wrapText="1"/>
    </xf>
    <xf numFmtId="168" fontId="13" fillId="0" borderId="0" xfId="0" applyFont="1" applyNumberFormat="1" applyAlignment="1">
      <alignment textRotation="0" horizontal="left" vertical="bottom" indent="0"/>
    </xf>
    <xf numFmtId="172" fontId="13" fillId="6" borderId="0" xfId="0" applyFont="1" applyNumberFormat="1" applyFill="1" applyAlignment="1">
      <alignment textRotation="0" horizontal="right" vertical="bottom" indent="0"/>
    </xf>
    <xf numFmtId="164" fontId="13" fillId="0" borderId="60" xfId="0" applyFont="1" applyNumberFormat="1" applyBorder="1" applyAlignment="1">
      <alignment textRotation="0" horizontal="left" vertical="bottom" indent="0"/>
    </xf>
    <xf numFmtId="172" fontId="13" fillId="6" borderId="60" xfId="0" applyFont="1" applyNumberFormat="1" applyFill="1" applyBorder="1" applyAlignment="1">
      <alignment textRotation="0" horizontal="center" vertical="bottom" indent="0"/>
    </xf>
    <xf numFmtId="164" fontId="14" fillId="0" borderId="0" xfId="0" applyFont="1" applyNumberFormat="1" applyAlignment="1">
      <alignment textRotation="0" horizontal="left" vertical="bottom" indent="0"/>
    </xf>
    <xf numFmtId="172" fontId="13" fillId="0" borderId="0" xfId="0" applyFont="1" applyNumberFormat="1" applyAlignment="1">
      <alignment textRotation="0" horizontal="center" vertical="bottom" indent="0"/>
    </xf>
    <xf numFmtId="164" fontId="108" fillId="0" borderId="0" xfId="0" applyFont="1" applyNumberFormat="1" applyAlignment="1">
      <alignment textRotation="0" horizontal="center" vertical="bottom" indent="0"/>
    </xf>
    <xf numFmtId="164" fontId="108" fillId="0" borderId="0" xfId="0" applyFont="1" applyNumberFormat="1" applyAlignment="1">
      <alignment textRotation="0" horizontal="left" vertical="bottom" indent="0"/>
    </xf>
    <xf numFmtId="167" fontId="45" fillId="0" borderId="0" xfId="0" applyFont="1" applyNumberFormat="1" applyAlignment="1">
      <alignment textRotation="0" horizontal="general" vertical="bottom" indent="0"/>
    </xf>
    <xf numFmtId="168" fontId="6" fillId="0" borderId="0" xfId="0" applyFont="1" applyNumberFormat="1" applyAlignment="1">
      <alignment textRotation="0" horizontal="center" vertical="center" indent="0"/>
    </xf>
    <xf numFmtId="167" fontId="60" fillId="0" borderId="0" xfId="0" applyFont="1" applyNumberFormat="1" applyAlignment="1">
      <alignment textRotation="0" horizontal="general" vertical="bottom" indent="0" wrapText="1"/>
    </xf>
    <xf numFmtId="176" fontId="45" fillId="0" borderId="0" xfId="0" applyFont="1" applyNumberFormat="1" applyAlignment="1">
      <alignment textRotation="0" horizontal="general" vertical="bottom" indent="0"/>
    </xf>
    <xf numFmtId="164" fontId="109" fillId="0" borderId="0" xfId="0" applyFont="1" applyNumberFormat="1" applyAlignment="1">
      <alignment textRotation="0" horizontal="left" vertical="bottom" indent="0"/>
    </xf>
    <xf numFmtId="164" fontId="49" fillId="6" borderId="67" xfId="0" applyFont="1" applyNumberFormat="1" applyFill="1" applyBorder="1" applyAlignment="1">
      <alignment textRotation="0" horizontal="center" vertical="bottom" indent="0"/>
    </xf>
    <xf numFmtId="164" fontId="108" fillId="0" borderId="56" xfId="0" applyFont="1" applyNumberFormat="1" applyBorder="1" applyAlignment="1">
      <alignment textRotation="0" horizontal="general" vertical="bottom" indent="0" wrapText="1"/>
    </xf>
    <xf numFmtId="164" fontId="31" fillId="6" borderId="11" xfId="0" applyFont="1" applyNumberFormat="1" applyFill="1" applyBorder="1" applyAlignment="1">
      <alignment textRotation="0" horizontal="center" vertical="center" indent="0" wrapText="1"/>
    </xf>
    <xf numFmtId="164" fontId="108" fillId="0" borderId="34" xfId="0" applyFont="1" applyNumberFormat="1" applyBorder="1" applyAlignment="1">
      <alignment textRotation="0" horizontal="general" vertical="bottom" indent="0" wrapText="1"/>
    </xf>
    <xf numFmtId="169" fontId="13" fillId="10" borderId="0" xfId="0" applyFont="1" applyNumberFormat="1" applyFill="1" applyAlignment="1">
      <alignment textRotation="0" horizontal="center" vertical="center" indent="0" wrapText="1"/>
    </xf>
    <xf numFmtId="164" fontId="13" fillId="10" borderId="11" xfId="0" applyFont="1" applyNumberFormat="1" applyFill="1" applyBorder="1" applyAlignment="1">
      <alignment textRotation="0" horizontal="center" vertical="center" indent="0" wrapText="1"/>
    </xf>
    <xf numFmtId="164" fontId="9" fillId="6" borderId="30" xfId="0" applyFont="1" applyNumberFormat="1" applyFill="1" applyBorder="1" applyAlignment="1">
      <alignment textRotation="0" horizontal="left" vertical="center" indent="0" wrapText="1"/>
    </xf>
    <xf numFmtId="164" fontId="7" fillId="10" borderId="0" xfId="0" applyFont="1" applyNumberFormat="1" applyFill="1" applyAlignment="1">
      <alignment textRotation="0" horizontal="left" vertical="center" indent="0"/>
    </xf>
    <xf numFmtId="164" fontId="7" fillId="10" borderId="11" xfId="0" applyFont="1" applyNumberFormat="1" applyFill="1" applyBorder="1" applyAlignment="1">
      <alignment textRotation="0" horizontal="left" vertical="center" indent="0"/>
    </xf>
    <xf numFmtId="169" fontId="7" fillId="15" borderId="0" xfId="0" applyFont="1" applyNumberFormat="1" applyFill="1" applyAlignment="1">
      <alignment textRotation="0" horizontal="center" vertical="bottom" indent="0"/>
    </xf>
    <xf numFmtId="174" fontId="7" fillId="12" borderId="0" xfId="0" applyFont="1" applyNumberFormat="1" applyFill="1" applyAlignment="1">
      <alignment textRotation="0" horizontal="center" vertical="bottom" indent="0"/>
    </xf>
    <xf numFmtId="164" fontId="13" fillId="6" borderId="11" xfId="0" applyFont="1" applyNumberFormat="1" applyFill="1" applyBorder="1" applyAlignment="1">
      <alignment textRotation="0" horizontal="center" vertical="bottom" indent="0"/>
    </xf>
    <xf numFmtId="164" fontId="7" fillId="15" borderId="31" xfId="0" applyFont="1" applyNumberFormat="1" applyFill="1" applyBorder="1" applyAlignment="1">
      <alignment textRotation="0" horizontal="general" vertical="bottom" indent="0"/>
    </xf>
    <xf numFmtId="164" fontId="13" fillId="5" borderId="0" xfId="0" applyFont="1" applyNumberFormat="1" applyFill="1" applyAlignment="1">
      <alignment textRotation="0" horizontal="general" vertical="bottom" indent="0"/>
    </xf>
    <xf numFmtId="169" fontId="13" fillId="6" borderId="0" xfId="0" applyFont="1" applyNumberFormat="1" applyFill="1" applyAlignment="1">
      <alignment textRotation="0" horizontal="center" vertical="bottom" indent="0"/>
    </xf>
    <xf numFmtId="164" fontId="9" fillId="6" borderId="30" xfId="0" applyFont="1" applyNumberFormat="1" applyFill="1" applyBorder="1" applyAlignment="1">
      <alignment textRotation="0" horizontal="left" vertical="center" indent="0"/>
    </xf>
    <xf numFmtId="164" fontId="7" fillId="10" borderId="11" xfId="0" applyFont="1" applyNumberFormat="1" applyFill="1" applyBorder="1" applyAlignment="1">
      <alignment textRotation="0" horizontal="center" vertical="bottom" indent="0"/>
    </xf>
    <xf numFmtId="164" fontId="7" fillId="10" borderId="31" xfId="0" applyFont="1" applyNumberFormat="1" applyFill="1" applyBorder="1" applyAlignment="1">
      <alignment textRotation="0" horizontal="left" vertical="center" indent="0"/>
    </xf>
    <xf numFmtId="164" fontId="112" fillId="10" borderId="0" xfId="0" applyFont="1" applyNumberFormat="1" applyFill="1" applyAlignment="1">
      <alignment textRotation="0" horizontal="left" vertical="center" indent="0"/>
    </xf>
    <xf numFmtId="164" fontId="7" fillId="15" borderId="0" xfId="0" applyFont="1" applyNumberFormat="1" applyFill="1" applyAlignment="1">
      <alignment textRotation="0" horizontal="center" vertical="bottom" indent="0"/>
    </xf>
    <xf numFmtId="169" fontId="7" fillId="8" borderId="0" xfId="0" applyFont="1" applyNumberFormat="1" applyFill="1" applyAlignment="1">
      <alignment textRotation="0" horizontal="center" vertical="bottom" indent="0"/>
    </xf>
    <xf numFmtId="172" fontId="7" fillId="12" borderId="11" xfId="0" applyFont="1" applyNumberFormat="1" applyFill="1" applyBorder="1" applyAlignment="1">
      <alignment textRotation="0" horizontal="center" vertical="bottom" indent="0"/>
    </xf>
    <xf numFmtId="177" fontId="45" fillId="0" borderId="0" xfId="0" applyFont="1" applyNumberFormat="1" applyAlignment="1">
      <alignment textRotation="0" horizontal="center" vertical="bottom" indent="0"/>
    </xf>
    <xf numFmtId="164" fontId="7" fillId="15" borderId="0" xfId="0" applyFont="1" applyNumberFormat="1" applyFill="1" applyAlignment="1">
      <alignment textRotation="0" horizontal="general" vertical="top" indent="0"/>
    </xf>
    <xf numFmtId="164" fontId="80" fillId="6" borderId="0" xfId="0" applyFont="1" applyNumberFormat="1" applyFill="1" applyAlignment="1">
      <alignment textRotation="0" horizontal="left" vertical="center" indent="0"/>
    </xf>
    <xf numFmtId="164" fontId="80" fillId="6" borderId="11" xfId="0" applyFont="1" applyNumberFormat="1" applyFill="1" applyBorder="1" applyAlignment="1">
      <alignment textRotation="0" horizontal="center" vertical="center" indent="0"/>
    </xf>
    <xf numFmtId="164" fontId="9" fillId="6" borderId="0" xfId="0" applyFont="1" applyNumberFormat="1" applyFill="1" applyAlignment="1">
      <alignment textRotation="0" horizontal="left" vertical="center" indent="0"/>
    </xf>
    <xf numFmtId="164" fontId="80" fillId="6" borderId="18" xfId="0" applyFont="1" applyNumberFormat="1" applyFill="1" applyBorder="1" applyAlignment="1">
      <alignment textRotation="0" horizontal="left" vertical="center" indent="0"/>
    </xf>
    <xf numFmtId="164" fontId="7" fillId="15" borderId="44" xfId="0" applyFont="1" applyNumberFormat="1" applyFill="1" applyBorder="1" applyAlignment="1">
      <alignment textRotation="0" horizontal="general" vertical="bottom" indent="0"/>
    </xf>
    <xf numFmtId="164" fontId="80" fillId="6" borderId="0" xfId="0" applyFont="1" applyNumberFormat="1" applyFill="1" applyAlignment="1">
      <alignment textRotation="0" horizontal="center" vertical="center" indent="0"/>
    </xf>
    <xf numFmtId="164" fontId="14" fillId="0" borderId="56" xfId="0" applyFont="1" applyNumberFormat="1" applyBorder="1" applyAlignment="1">
      <alignment textRotation="0" horizontal="general" vertical="bottom" indent="0"/>
    </xf>
    <xf numFmtId="169" fontId="14" fillId="0" borderId="0" xfId="0" applyFont="1" applyNumberFormat="1" applyAlignment="1">
      <alignment textRotation="0" horizontal="center" vertical="bottom" indent="0"/>
    </xf>
    <xf numFmtId="164" fontId="113" fillId="0" borderId="0" xfId="0" applyFont="1" applyNumberFormat="1" applyAlignment="1">
      <alignment textRotation="0" horizontal="general" vertical="bottom" indent="0"/>
    </xf>
    <xf numFmtId="172" fontId="113" fillId="0" borderId="0" xfId="0" applyFont="1" applyNumberFormat="1" applyAlignment="1">
      <alignment textRotation="0" horizontal="general" vertical="bottom" indent="0"/>
    </xf>
    <xf numFmtId="178" fontId="108" fillId="0" borderId="0" xfId="0" applyFont="1" applyNumberFormat="1" applyAlignment="1">
      <alignment textRotation="0" horizontal="general" vertical="bottom" indent="0"/>
    </xf>
    <xf numFmtId="167" fontId="113" fillId="0" borderId="0" xfId="0" applyFont="1" applyNumberFormat="1" applyAlignment="1">
      <alignment textRotation="0" horizontal="general" vertical="bottom" indent="0"/>
    </xf>
    <xf numFmtId="172" fontId="7" fillId="12" borderId="0" xfId="0" applyFont="1" applyNumberFormat="1" applyFill="1" applyAlignment="1">
      <alignment textRotation="0" horizontal="center" vertical="center" indent="0"/>
    </xf>
    <xf numFmtId="167" fontId="108" fillId="0" borderId="0" xfId="0" applyFont="1" applyNumberFormat="1" applyAlignment="1">
      <alignment textRotation="0" horizontal="right" vertical="bottom" indent="0"/>
    </xf>
    <xf numFmtId="177" fontId="109" fillId="0" borderId="0" xfId="0" applyFont="1" applyNumberFormat="1" applyAlignment="1">
      <alignment textRotation="0" horizontal="center" vertical="bottom" indent="0"/>
    </xf>
    <xf numFmtId="164" fontId="13" fillId="0" borderId="0" xfId="0" applyFont="1" applyNumberFormat="1" applyAlignment="1">
      <alignment textRotation="0" horizontal="general" vertical="top" indent="0" wrapText="1"/>
    </xf>
    <xf numFmtId="164" fontId="49" fillId="6" borderId="0" xfId="0" applyFont="1" applyNumberFormat="1" applyFill="1" applyAlignment="1">
      <alignment textRotation="0" horizontal="center" vertical="bottom" indent="0"/>
    </xf>
    <xf numFmtId="164" fontId="13" fillId="0" borderId="56" xfId="0" applyFont="1" applyNumberFormat="1" applyBorder="1" applyAlignment="1">
      <alignment textRotation="0" horizontal="general" vertical="bottom" indent="0" wrapText="1"/>
    </xf>
    <xf numFmtId="164" fontId="31" fillId="6" borderId="92" xfId="0" applyFont="1" applyNumberFormat="1" applyFill="1" applyBorder="1" applyAlignment="1">
      <alignment textRotation="0" horizontal="center" vertical="center" indent="0" wrapText="1"/>
    </xf>
    <xf numFmtId="164" fontId="31" fillId="6" borderId="58" xfId="0" applyFont="1" applyNumberFormat="1" applyFill="1" applyBorder="1" applyAlignment="1">
      <alignment textRotation="0" horizontal="center" vertical="center" indent="0" wrapText="1"/>
    </xf>
    <xf numFmtId="164" fontId="31" fillId="6" borderId="59" xfId="0" applyFont="1" applyNumberFormat="1" applyFill="1" applyBorder="1" applyAlignment="1">
      <alignment textRotation="0" horizontal="center" vertical="center" indent="0" wrapText="1"/>
    </xf>
    <xf numFmtId="164" fontId="31" fillId="6" borderId="68" xfId="0" applyFont="1" applyNumberFormat="1" applyFill="1" applyBorder="1" applyAlignment="1">
      <alignment textRotation="0" horizontal="center" vertical="center" indent="0" wrapText="1"/>
    </xf>
    <xf numFmtId="164" fontId="3" fillId="10" borderId="11" xfId="0" applyFont="1" applyNumberFormat="1" applyFill="1" applyBorder="1" applyAlignment="1">
      <alignment textRotation="0" horizontal="center" vertical="center" indent="0" wrapText="1"/>
    </xf>
    <xf numFmtId="164" fontId="13" fillId="10" borderId="31" xfId="0" applyFont="1" applyNumberFormat="1" applyFill="1" applyBorder="1" applyAlignment="1">
      <alignment textRotation="0" horizontal="center" vertical="center" indent="0" wrapText="1"/>
    </xf>
    <xf numFmtId="174" fontId="9" fillId="12" borderId="0" xfId="0" applyFont="1" applyNumberFormat="1" applyFill="1" applyAlignment="1">
      <alignment textRotation="0" horizontal="right" vertical="center" indent="0"/>
    </xf>
    <xf numFmtId="174" fontId="9" fillId="12" borderId="31" xfId="0" applyFont="1" applyNumberFormat="1" applyFill="1" applyBorder="1" applyAlignment="1">
      <alignment textRotation="0" horizontal="right" vertical="center" indent="0"/>
    </xf>
    <xf numFmtId="164" fontId="7" fillId="10" borderId="32" xfId="0" applyFont="1" applyNumberFormat="1" applyFill="1" applyBorder="1" applyAlignment="1">
      <alignment textRotation="0" horizontal="center" vertical="center" indent="0"/>
    </xf>
    <xf numFmtId="174" fontId="7" fillId="10" borderId="0" xfId="0" applyFont="1" applyNumberFormat="1" applyFill="1" applyAlignment="1">
      <alignment textRotation="0" horizontal="right" vertical="center" indent="0"/>
    </xf>
    <xf numFmtId="164" fontId="13" fillId="6" borderId="11" xfId="0" applyFont="1" applyNumberFormat="1" applyFill="1" applyBorder="1" applyAlignment="1">
      <alignment textRotation="0" horizontal="general" vertical="bottom" indent="0"/>
    </xf>
    <xf numFmtId="164" fontId="7" fillId="14" borderId="32" xfId="0" applyFont="1" applyNumberFormat="1" applyFill="1" applyBorder="1" applyAlignment="1">
      <alignment textRotation="0" horizontal="center" vertical="bottom" indent="0"/>
    </xf>
    <xf numFmtId="170" fontId="13" fillId="6" borderId="31" xfId="0" applyFont="1" applyNumberFormat="1" applyFill="1" applyBorder="1" applyAlignment="1">
      <alignment textRotation="0" horizontal="center" vertical="bottom" indent="0"/>
    </xf>
    <xf numFmtId="170" fontId="13" fillId="6" borderId="0" xfId="0" applyFont="1" applyNumberFormat="1" applyFill="1" applyAlignment="1">
      <alignment textRotation="0" horizontal="center" vertical="bottom" indent="0"/>
    </xf>
    <xf numFmtId="164" fontId="9" fillId="6" borderId="0" xfId="0" applyFont="1" applyNumberFormat="1" applyFill="1" applyAlignment="1">
      <alignment textRotation="0" horizontal="general" vertical="bottom" indent="0"/>
    </xf>
    <xf numFmtId="164" fontId="7" fillId="10" borderId="11" xfId="0" applyFont="1" applyNumberFormat="1" applyFill="1" applyBorder="1" applyAlignment="1">
      <alignment textRotation="0" horizontal="general" vertical="bottom" indent="0"/>
    </xf>
    <xf numFmtId="164" fontId="7" fillId="10" borderId="0" xfId="0" applyFont="1" applyNumberFormat="1" applyFill="1" applyAlignment="1">
      <alignment textRotation="0" horizontal="center" vertical="bottom" indent="0"/>
    </xf>
    <xf numFmtId="174" fontId="9" fillId="12" borderId="0" xfId="0" applyFont="1" applyNumberFormat="1" applyFill="1" applyAlignment="1">
      <alignment textRotation="0" horizontal="right" vertical="bottom" indent="0"/>
    </xf>
    <xf numFmtId="164" fontId="7" fillId="10" borderId="31" xfId="0" applyFont="1" applyNumberFormat="1" applyFill="1" applyBorder="1" applyAlignment="1">
      <alignment textRotation="0" horizontal="right" vertical="bottom" indent="0"/>
    </xf>
    <xf numFmtId="164" fontId="7" fillId="10" borderId="0" xfId="0" applyFont="1" applyNumberFormat="1" applyFill="1" applyAlignment="1">
      <alignment textRotation="0" horizontal="right" vertical="bottom" indent="0"/>
    </xf>
    <xf numFmtId="164" fontId="9" fillId="6" borderId="0" xfId="0" applyFont="1" applyNumberFormat="1" applyFill="1" applyAlignment="1">
      <alignment textRotation="0" horizontal="general" vertical="center" indent="0"/>
    </xf>
    <xf numFmtId="164" fontId="7" fillId="10" borderId="32" xfId="0" applyFont="1" applyNumberFormat="1" applyFill="1" applyBorder="1" applyAlignment="1">
      <alignment textRotation="0" horizontal="center" vertical="bottom" indent="0"/>
    </xf>
    <xf numFmtId="164" fontId="7" fillId="10" borderId="0" xfId="0" applyFont="1" applyNumberFormat="1" applyFill="1" applyAlignment="1">
      <alignment textRotation="0" horizontal="general" vertical="bottom" indent="0"/>
    </xf>
    <xf numFmtId="164" fontId="7" fillId="10" borderId="0" xfId="0" applyFont="1" applyNumberFormat="1" applyFill="1" applyAlignment="1">
      <alignment textRotation="0" horizontal="center" vertical="bottom" indent="0" wrapText="1"/>
    </xf>
    <xf numFmtId="179" fontId="13" fillId="6" borderId="0" xfId="0" applyFont="1" applyNumberFormat="1" applyFill="1" applyAlignment="1">
      <alignment textRotation="0" horizontal="center" vertical="bottom" indent="0"/>
    </xf>
    <xf numFmtId="164" fontId="6" fillId="6" borderId="32" xfId="0" applyFont="1" applyNumberFormat="1" applyFill="1" applyBorder="1" applyAlignment="1">
      <alignment textRotation="0" horizontal="general" vertical="bottom" indent="0"/>
    </xf>
    <xf numFmtId="164" fontId="7" fillId="15" borderId="18" xfId="0" applyFont="1" applyNumberFormat="1" applyFill="1" applyBorder="1" applyAlignment="1">
      <alignment textRotation="0" horizontal="center" vertical="bottom" indent="0"/>
    </xf>
    <xf numFmtId="167" fontId="6" fillId="0" borderId="0" xfId="0" applyFont="1" applyNumberFormat="1" applyAlignment="1">
      <alignment textRotation="0" horizontal="general" vertical="bottom" indent="0"/>
    </xf>
    <xf numFmtId="164" fontId="7" fillId="12" borderId="0" xfId="0" applyFont="1" applyNumberFormat="1" applyFill="1" applyAlignment="1">
      <alignment textRotation="0" horizontal="general" vertical="bottom" indent="0"/>
    </xf>
    <xf numFmtId="167" fontId="66" fillId="0" borderId="0" xfId="0" applyFont="1" applyNumberFormat="1" applyAlignment="1">
      <alignment textRotation="0" horizontal="left" vertical="center" indent="0"/>
    </xf>
    <xf numFmtId="172" fontId="6" fillId="0" borderId="0" xfId="0" applyFont="1" applyNumberFormat="1" applyAlignment="1">
      <alignment textRotation="0" horizontal="general" vertical="bottom" indent="0"/>
    </xf>
    <xf numFmtId="164" fontId="9" fillId="6" borderId="34" xfId="0" applyFont="1" applyNumberFormat="1" applyFill="1" applyBorder="1" applyAlignment="1">
      <alignment textRotation="0" horizontal="center" vertical="center" indent="0"/>
    </xf>
    <xf numFmtId="164" fontId="9" fillId="6" borderId="58" xfId="0" applyFont="1" applyNumberFormat="1" applyFill="1" applyBorder="1" applyAlignment="1">
      <alignment textRotation="0" horizontal="left" vertical="center" indent="0" wrapText="1"/>
    </xf>
    <xf numFmtId="164" fontId="9" fillId="6" borderId="58" xfId="0" applyFont="1" applyNumberFormat="1" applyFill="1" applyBorder="1" applyAlignment="1">
      <alignment textRotation="0" horizontal="center" vertical="center" indent="0" wrapText="1"/>
    </xf>
    <xf numFmtId="164" fontId="13" fillId="5" borderId="31" xfId="0" applyFont="1" applyNumberFormat="1" applyFill="1" applyBorder="1" applyAlignment="1">
      <alignment textRotation="0" horizontal="center" vertical="bottom" indent="0"/>
    </xf>
    <xf numFmtId="164" fontId="5" fillId="6" borderId="0" xfId="0" applyFont="1" applyNumberFormat="1" applyFill="1" applyAlignment="1">
      <alignment textRotation="0" horizontal="center" vertical="center" indent="0" wrapText="1"/>
    </xf>
    <xf numFmtId="164" fontId="5" fillId="6" borderId="0" xfId="0" applyFont="1" applyNumberFormat="1" applyFill="1" applyAlignment="1">
      <alignment textRotation="0" horizontal="general" vertical="center" indent="0" wrapText="1"/>
    </xf>
    <xf numFmtId="164" fontId="7" fillId="14" borderId="32" xfId="0" applyFont="1" applyNumberFormat="1" applyFill="1" applyBorder="1" applyAlignment="1">
      <alignment textRotation="0" horizontal="center" vertical="bottom" indent="0" wrapText="1"/>
    </xf>
    <xf numFmtId="174" fontId="69" fillId="0" borderId="0" xfId="0" applyFont="1" applyNumberFormat="1" applyAlignment="1">
      <alignment textRotation="0" horizontal="right" vertical="bottom" indent="0"/>
    </xf>
    <xf numFmtId="164" fontId="13" fillId="5" borderId="0" xfId="0" applyFont="1" applyNumberFormat="1" applyFill="1" applyAlignment="1">
      <alignment textRotation="0" horizontal="center" vertical="bottom" indent="0"/>
    </xf>
    <xf numFmtId="164" fontId="5" fillId="6" borderId="60" xfId="0" applyFont="1" applyNumberFormat="1" applyFill="1" applyBorder="1" applyAlignment="1">
      <alignment textRotation="0" horizontal="center" vertical="center" indent="0" wrapText="1"/>
    </xf>
    <xf numFmtId="164" fontId="5" fillId="6" borderId="60" xfId="0" applyFont="1" applyNumberFormat="1" applyFill="1" applyBorder="1" applyAlignment="1">
      <alignment textRotation="0" horizontal="general" vertical="center" indent="0" wrapText="1"/>
    </xf>
    <xf numFmtId="164" fontId="7" fillId="14" borderId="61" xfId="0" applyFont="1" applyNumberFormat="1" applyFill="1" applyBorder="1" applyAlignment="1">
      <alignment textRotation="0" horizontal="center" vertical="bottom" indent="0" wrapText="1"/>
    </xf>
    <xf numFmtId="164" fontId="114" fillId="0" borderId="0" xfId="0" applyFont="1" applyNumberFormat="1" applyAlignment="1">
      <alignment textRotation="0" horizontal="general" vertical="bottom" indent="0"/>
    </xf>
    <xf numFmtId="164" fontId="78" fillId="0" borderId="0" xfId="0" applyFont="1" applyNumberFormat="1" applyAlignment="1">
      <alignment textRotation="0" horizontal="general" vertical="center" indent="0"/>
    </xf>
    <xf numFmtId="164" fontId="78" fillId="0" borderId="0" xfId="0" applyFont="1" applyNumberFormat="1" applyAlignment="1">
      <alignment textRotation="0" horizontal="center" vertical="center" indent="0"/>
    </xf>
    <xf numFmtId="164" fontId="107" fillId="0" borderId="0" xfId="0" applyFont="1" applyNumberFormat="1" applyAlignment="1">
      <alignment textRotation="0" horizontal="general" vertical="bottom" indent="0"/>
    </xf>
    <xf numFmtId="164" fontId="6" fillId="0" borderId="87" xfId="0" applyFont="1" applyNumberFormat="1" applyBorder="1" applyAlignment="1">
      <alignment textRotation="0" horizontal="left" vertical="center" indent="0" wrapText="1"/>
    </xf>
    <xf numFmtId="164" fontId="31" fillId="6" borderId="57" xfId="0" applyFont="1" applyNumberFormat="1" applyFill="1" applyBorder="1" applyAlignment="1">
      <alignment textRotation="0" horizontal="center" vertical="center" indent="0" wrapText="1"/>
    </xf>
    <xf numFmtId="164" fontId="13" fillId="0" borderId="31" xfId="0" applyFont="1" applyNumberFormat="1" applyBorder="1" applyAlignment="1">
      <alignment textRotation="0" horizontal="left" vertical="center" indent="0" wrapText="1"/>
    </xf>
    <xf numFmtId="164" fontId="115" fillId="10" borderId="0" xfId="0" applyFont="1" applyNumberFormat="1" applyFill="1" applyAlignment="1">
      <alignment textRotation="0" horizontal="center" vertical="center" indent="0" wrapText="1"/>
    </xf>
    <xf numFmtId="164" fontId="45" fillId="0" borderId="58" xfId="0" applyFont="1" applyNumberFormat="1" applyBorder="1" applyAlignment="1">
      <alignment textRotation="0" horizontal="general" vertical="bottom" indent="0" wrapText="1"/>
    </xf>
    <xf numFmtId="174" fontId="7" fillId="12" borderId="32" xfId="0" applyFont="1" applyNumberFormat="1" applyFill="1" applyBorder="1" applyAlignment="1">
      <alignment textRotation="0" horizontal="center" vertical="center" indent="0" wrapText="1"/>
    </xf>
    <xf numFmtId="164" fontId="45" fillId="0" borderId="58" xfId="0" applyFont="1" applyNumberFormat="1" applyBorder="1" applyAlignment="1">
      <alignment textRotation="0" horizontal="general" vertical="bottom" indent="0"/>
    </xf>
    <xf numFmtId="164" fontId="83" fillId="0" borderId="58" xfId="0" applyFont="1" applyNumberFormat="1" applyBorder="1" applyAlignment="1">
      <alignment textRotation="0" horizontal="general" vertical="bottom" indent="0"/>
    </xf>
    <xf numFmtId="164" fontId="115" fillId="0" borderId="0" xfId="0" applyFont="1" applyNumberFormat="1" applyAlignment="1">
      <alignment textRotation="0" horizontal="general" vertical="bottom" indent="0"/>
    </xf>
    <xf numFmtId="174" fontId="7" fillId="12" borderId="60" xfId="0" applyFont="1" applyNumberFormat="1" applyFill="1" applyBorder="1" applyAlignment="1">
      <alignment textRotation="0" horizontal="center" vertical="center" indent="0" wrapText="1"/>
    </xf>
    <xf numFmtId="167" fontId="7" fillId="8" borderId="60" xfId="0" applyFont="1" applyNumberFormat="1" applyFill="1" applyBorder="1" applyAlignment="1">
      <alignment textRotation="0" horizontal="right" vertical="center" indent="0"/>
    </xf>
    <xf numFmtId="174" fontId="7" fillId="12" borderId="61" xfId="0" applyFont="1" applyNumberFormat="1" applyFill="1" applyBorder="1" applyAlignment="1">
      <alignment textRotation="0" horizontal="center" vertical="center" indent="0" wrapText="1"/>
    </xf>
    <xf numFmtId="164" fontId="14" fillId="0" borderId="0" xfId="0" applyFont="1" applyNumberFormat="1" applyAlignment="1">
      <alignment textRotation="0" horizontal="center" vertical="center" indent="0"/>
    </xf>
    <xf numFmtId="164" fontId="13" fillId="10" borderId="0" xfId="0" applyFont="1" applyNumberFormat="1" applyFill="1" applyAlignment="1">
      <alignment textRotation="0" horizontal="center" vertical="center" indent="0"/>
    </xf>
    <xf numFmtId="164" fontId="5" fillId="0" borderId="0" xfId="0" applyFont="1" applyNumberFormat="1" applyAlignment="1">
      <alignment textRotation="0" horizontal="center" vertical="bottom" indent="0"/>
    </xf>
    <xf numFmtId="164" fontId="45" fillId="0" borderId="0" xfId="0" applyFont="1" applyNumberFormat="1" applyAlignment="1">
      <alignment textRotation="0" horizontal="right" vertical="center" indent="0" wrapText="1"/>
    </xf>
    <xf numFmtId="164" fontId="78" fillId="0" borderId="0" xfId="0" applyFont="1" applyNumberFormat="1" applyAlignment="1">
      <alignment textRotation="0" horizontal="left" vertical="center" indent="0" wrapText="1"/>
    </xf>
    <xf numFmtId="164" fontId="45" fillId="0" borderId="0" xfId="0" applyFont="1" applyNumberFormat="1" applyAlignment="1">
      <alignment textRotation="0" horizontal="left" vertical="center" indent="0" wrapText="1"/>
    </xf>
    <xf numFmtId="164" fontId="48" fillId="15" borderId="0" xfId="0" applyFont="1" applyNumberFormat="1" applyFill="1" applyAlignment="1">
      <alignment textRotation="0" horizontal="left" vertical="bottom" indent="0"/>
    </xf>
    <xf numFmtId="164" fontId="45" fillId="15" borderId="0" xfId="0" applyFont="1" applyNumberFormat="1" applyFill="1" applyAlignment="1">
      <alignment textRotation="0" horizontal="right" vertical="bottom" indent="0"/>
    </xf>
    <xf numFmtId="164" fontId="45" fillId="15" borderId="0" xfId="0" applyFont="1" applyNumberFormat="1" applyFill="1" applyAlignment="1">
      <alignment textRotation="0" horizontal="left" vertical="bottom" indent="0"/>
    </xf>
    <xf numFmtId="164" fontId="9" fillId="6" borderId="24" xfId="0" applyFont="1" applyNumberFormat="1" applyFill="1" applyBorder="1" applyAlignment="1">
      <alignment textRotation="0" horizontal="center" vertical="center" indent="0" wrapText="1"/>
    </xf>
    <xf numFmtId="164" fontId="3" fillId="0" borderId="32" xfId="0" applyFont="1" applyNumberFormat="1" applyBorder="1" applyAlignment="1">
      <alignment textRotation="0" horizontal="general" vertical="bottom" indent="0"/>
    </xf>
    <xf numFmtId="164" fontId="45" fillId="0" borderId="0" xfId="0" applyFont="1" applyNumberFormat="1" applyAlignment="1">
      <alignment textRotation="0" horizontal="right" vertical="bottom" indent="0"/>
    </xf>
    <xf numFmtId="164" fontId="9" fillId="6" borderId="42" xfId="0" applyFont="1" applyNumberFormat="1" applyFill="1" applyBorder="1" applyAlignment="1">
      <alignment textRotation="0" horizontal="center" vertical="center" indent="0" wrapText="1"/>
    </xf>
    <xf numFmtId="164" fontId="6" fillId="0" borderId="32" xfId="0" applyFont="1" applyNumberFormat="1" applyBorder="1" applyAlignment="1">
      <alignment textRotation="0" horizontal="general" vertical="bottom" indent="0"/>
    </xf>
    <xf numFmtId="164" fontId="7" fillId="10" borderId="45" xfId="0" applyFont="1" applyNumberFormat="1" applyFill="1" applyBorder="1" applyAlignment="1">
      <alignment textRotation="0" horizontal="center" vertical="center" indent="0" wrapText="1"/>
    </xf>
    <xf numFmtId="164" fontId="7" fillId="10" borderId="13" xfId="0" applyFont="1" applyNumberFormat="1" applyFill="1" applyBorder="1" applyAlignment="1">
      <alignment textRotation="0" horizontal="center" vertical="center" indent="0" wrapText="1"/>
    </xf>
    <xf numFmtId="180" fontId="7" fillId="10" borderId="46" xfId="0" applyFont="1" applyNumberFormat="1" applyFill="1" applyBorder="1" applyAlignment="1">
      <alignment textRotation="0" horizontal="center" vertical="center" indent="0" wrapText="1"/>
    </xf>
    <xf numFmtId="164" fontId="7" fillId="10" borderId="15" xfId="0" applyFont="1" applyNumberFormat="1" applyFill="1" applyBorder="1" applyAlignment="1">
      <alignment textRotation="0" horizontal="center" vertical="center" indent="0"/>
    </xf>
    <xf numFmtId="164" fontId="3" fillId="0" borderId="93" xfId="0" applyFont="1" applyNumberFormat="1" applyBorder="1" applyAlignment="1">
      <alignment textRotation="0" horizontal="center" vertical="center" indent="0"/>
    </xf>
    <xf numFmtId="164" fontId="3" fillId="0" borderId="47" xfId="0" applyFont="1" applyNumberFormat="1" applyBorder="1" applyAlignment="1">
      <alignment textRotation="0" horizontal="center" vertical="center" indent="0" wrapText="1"/>
    </xf>
    <xf numFmtId="164" fontId="7" fillId="15" borderId="28" xfId="0" applyFont="1" applyNumberFormat="1" applyFill="1" applyBorder="1" applyAlignment="1">
      <alignment textRotation="0" horizontal="general" vertical="center" indent="0" wrapText="1"/>
    </xf>
    <xf numFmtId="164" fontId="7" fillId="6" borderId="32" xfId="0" applyFont="1" applyNumberFormat="1" applyFill="1" applyBorder="1" applyAlignment="1">
      <alignment textRotation="0" horizontal="general" vertical="center" indent="0"/>
    </xf>
    <xf numFmtId="164" fontId="3" fillId="0" borderId="18" xfId="0" applyFont="1" applyNumberFormat="1" applyBorder="1" applyAlignment="1">
      <alignment textRotation="0" horizontal="center" vertical="center" indent="0" wrapText="1"/>
    </xf>
    <xf numFmtId="164" fontId="3" fillId="0" borderId="49" xfId="0" applyFont="1" applyNumberFormat="1" applyBorder="1" applyAlignment="1">
      <alignment textRotation="0" horizontal="center" vertical="center" indent="0" wrapText="1"/>
    </xf>
    <xf numFmtId="164" fontId="1" fillId="0" borderId="18" xfId="0" applyFont="1" applyNumberFormat="1" applyBorder="1" applyAlignment="1">
      <alignment textRotation="0" horizontal="center" vertical="center" indent="0" wrapText="1"/>
    </xf>
    <xf numFmtId="174" fontId="7" fillId="12" borderId="14" xfId="0" applyFont="1" applyNumberFormat="1" applyFill="1" applyBorder="1" applyAlignment="1">
      <alignment textRotation="0" horizontal="center" vertical="center" indent="0"/>
    </xf>
    <xf numFmtId="164" fontId="3" fillId="0" borderId="53" xfId="0" applyFont="1" applyNumberFormat="1" applyBorder="1" applyAlignment="1">
      <alignment textRotation="0" horizontal="center" vertical="center" indent="0" wrapText="1"/>
    </xf>
    <xf numFmtId="164" fontId="5" fillId="6" borderId="64" xfId="0" applyFont="1" applyNumberFormat="1" applyFill="1" applyBorder="1" applyAlignment="1">
      <alignment textRotation="0" horizontal="center" vertical="center" indent="0" wrapText="1"/>
    </xf>
    <xf numFmtId="164" fontId="5" fillId="6" borderId="62" xfId="0" applyFont="1" applyNumberFormat="1" applyFill="1" applyBorder="1" applyAlignment="1">
      <alignment textRotation="0" horizontal="center" vertical="center" indent="0" wrapText="1"/>
    </xf>
    <xf numFmtId="164" fontId="9" fillId="6" borderId="24" xfId="0" applyFont="1" applyNumberFormat="1" applyFill="1" applyBorder="1" applyAlignment="1">
      <alignment textRotation="0" horizontal="center" vertical="center" indent="0"/>
    </xf>
    <xf numFmtId="164" fontId="5" fillId="0" borderId="63" xfId="0" applyFont="1" applyNumberFormat="1" applyBorder="1" applyAlignment="1">
      <alignment textRotation="0" horizontal="right" vertical="bottom" indent="0"/>
    </xf>
    <xf numFmtId="164" fontId="5" fillId="6" borderId="62" xfId="0" applyFont="1" applyNumberFormat="1" applyFill="1" applyBorder="1" applyAlignment="1">
      <alignment textRotation="0" horizontal="center" vertical="bottom" indent="0"/>
    </xf>
    <xf numFmtId="164" fontId="85" fillId="0" borderId="0" xfId="0" applyFont="1" applyNumberFormat="1" applyAlignment="1">
      <alignment textRotation="0" horizontal="general" vertical="top" indent="0"/>
    </xf>
    <xf numFmtId="164" fontId="2" fillId="0" borderId="0" xfId="0" applyFont="1" applyNumberFormat="1" applyAlignment="1">
      <alignment textRotation="0" horizontal="right" vertical="center" indent="0"/>
    </xf>
    <xf numFmtId="164" fontId="9" fillId="12" borderId="66" xfId="0" applyFont="1" applyNumberFormat="1" applyFill="1" applyBorder="1" applyAlignment="1">
      <alignment textRotation="0" horizontal="center" vertical="center" indent="0" wrapText="1"/>
    </xf>
    <xf numFmtId="169" fontId="9" fillId="12" borderId="64" xfId="0" applyFont="1" applyNumberFormat="1" applyFill="1" applyBorder="1" applyAlignment="1">
      <alignment textRotation="0" horizontal="center" vertical="center" indent="0" wrapText="1"/>
    </xf>
    <xf numFmtId="164" fontId="48" fillId="0" borderId="0" xfId="0" applyFont="1" applyNumberFormat="1" applyAlignment="1">
      <alignment textRotation="0" horizontal="center" vertical="bottom" indent="0"/>
    </xf>
    <xf numFmtId="164" fontId="116" fillId="0" borderId="0" xfId="0" applyFont="1" applyNumberFormat="1" applyAlignment="1">
      <alignment textRotation="0" horizontal="general" vertical="bottom" indent="0"/>
    </xf>
    <xf numFmtId="164" fontId="2" fillId="0" borderId="0" xfId="0" applyFont="1" applyNumberFormat="1" applyAlignment="1">
      <alignment textRotation="0" horizontal="general" vertical="bottom" indent="0" wrapText="1"/>
    </xf>
    <xf numFmtId="164" fontId="6" fillId="0" borderId="63" xfId="0" applyFont="1" applyNumberFormat="1" applyBorder="1" applyAlignment="1">
      <alignment textRotation="0" horizontal="left" vertical="center" indent="0" wrapText="1"/>
    </xf>
    <xf numFmtId="164" fontId="3" fillId="6" borderId="62" xfId="0" applyFont="1" applyNumberFormat="1" applyFill="1" applyBorder="1" applyAlignment="1">
      <alignment textRotation="0" horizontal="center" vertical="center" indent="0" wrapText="1"/>
    </xf>
    <xf numFmtId="164" fontId="6" fillId="0" borderId="63" xfId="0" applyFont="1" applyNumberFormat="1" applyBorder="1" applyAlignment="1">
      <alignment textRotation="0" horizontal="right" vertical="bottom" indent="0" wrapText="1"/>
    </xf>
    <xf numFmtId="164" fontId="7" fillId="14" borderId="0" xfId="0" applyFont="1" applyNumberFormat="1" applyFill="1" applyAlignment="1">
      <alignment textRotation="0" horizontal="general" vertical="bottom" indent="0"/>
    </xf>
    <xf numFmtId="164" fontId="7" fillId="14" borderId="0" xfId="0" applyFont="1" applyNumberFormat="1" applyFill="1" applyAlignment="1">
      <alignment textRotation="0" horizontal="center" vertical="bottom" indent="0" wrapText="1"/>
    </xf>
    <xf numFmtId="164" fontId="9" fillId="6" borderId="71" xfId="0" applyFont="1" applyNumberFormat="1" applyFill="1" applyBorder="1" applyAlignment="1">
      <alignment textRotation="0" horizontal="center" vertical="center" indent="0" wrapText="1"/>
    </xf>
    <xf numFmtId="164" fontId="5" fillId="6" borderId="18" xfId="0" applyFont="1" applyNumberFormat="1" applyFill="1" applyBorder="1" applyAlignment="1">
      <alignment textRotation="0" horizontal="center" vertical="bottom" indent="0"/>
    </xf>
    <xf numFmtId="164" fontId="5" fillId="0" borderId="33" xfId="0" applyFont="1" applyNumberFormat="1" applyBorder="1" applyAlignment="1">
      <alignment textRotation="0" horizontal="right" vertical="center" indent="0" wrapText="1"/>
    </xf>
    <xf numFmtId="164" fontId="5" fillId="6" borderId="2" xfId="0" applyFont="1" applyNumberFormat="1" applyFill="1" applyBorder="1" applyAlignment="1">
      <alignment textRotation="0" horizontal="center" vertical="bottom" indent="0"/>
    </xf>
    <xf numFmtId="169" fontId="7" fillId="12" borderId="0" xfId="0" applyFont="1" applyNumberFormat="1" applyFill="1" applyAlignment="1">
      <alignment textRotation="0" horizontal="center" vertical="bottom" indent="0"/>
    </xf>
    <xf numFmtId="164" fontId="117" fillId="6" borderId="0" xfId="0" applyFont="1" applyNumberFormat="1" applyFill="1" applyAlignment="1">
      <alignment textRotation="0" horizontal="center" vertical="center" indent="0" wrapText="1"/>
    </xf>
    <xf numFmtId="164" fontId="64" fillId="6" borderId="57" xfId="0" applyFont="1" applyNumberFormat="1" applyFill="1" applyBorder="1" applyAlignment="1">
      <alignment textRotation="0" horizontal="center" vertical="center" indent="0" wrapText="1"/>
    </xf>
    <xf numFmtId="164" fontId="5" fillId="0" borderId="59" xfId="0" applyFont="1" applyNumberFormat="1" applyBorder="1" applyAlignment="1">
      <alignment textRotation="0" horizontal="general" vertical="bottom" indent="0" wrapText="1"/>
    </xf>
    <xf numFmtId="164" fontId="7" fillId="10" borderId="0" xfId="0" applyFont="1" applyNumberFormat="1" applyFill="1" applyAlignment="1">
      <alignment textRotation="0" horizontal="general" vertical="center" indent="0" wrapText="1"/>
    </xf>
    <xf numFmtId="164" fontId="7" fillId="10" borderId="60" xfId="0" applyFont="1" applyNumberFormat="1" applyFill="1" applyBorder="1" applyAlignment="1">
      <alignment textRotation="0" horizontal="center" vertical="center" indent="0" wrapText="1"/>
    </xf>
    <xf numFmtId="164" fontId="26" fillId="0" borderId="60" xfId="0" applyFont="1" applyNumberFormat="1" applyBorder="1" applyAlignment="1">
      <alignment textRotation="0" horizontal="center" vertical="center" indent="0" wrapText="1"/>
    </xf>
    <xf numFmtId="164" fontId="7" fillId="10" borderId="33" xfId="0" applyFont="1" applyNumberFormat="1" applyFill="1" applyBorder="1" applyAlignment="1">
      <alignment textRotation="0" horizontal="center" vertical="center" indent="0" wrapText="1"/>
    </xf>
    <xf numFmtId="164" fontId="26" fillId="0" borderId="61" xfId="0" applyFont="1" applyNumberFormat="1" applyBorder="1" applyAlignment="1">
      <alignment textRotation="0" horizontal="center" vertical="center" indent="0" wrapText="1"/>
    </xf>
    <xf numFmtId="164" fontId="5" fillId="6" borderId="62" xfId="0" applyFont="1" applyNumberFormat="1" applyFill="1" applyBorder="1" applyAlignment="1">
      <alignment textRotation="0" horizontal="center" vertical="center" indent="0"/>
    </xf>
    <xf numFmtId="164" fontId="5" fillId="0" borderId="33" xfId="0" applyFont="1" applyNumberFormat="1" applyBorder="1" applyAlignment="1">
      <alignment textRotation="0" horizontal="general" vertical="center" indent="0"/>
    </xf>
    <xf numFmtId="164" fontId="5" fillId="0" borderId="59" xfId="0" applyFont="1" applyNumberFormat="1" applyBorder="1" applyAlignment="1">
      <alignment textRotation="0" horizontal="left" vertical="center" indent="0" wrapText="1"/>
    </xf>
    <xf numFmtId="174" fontId="5" fillId="0" borderId="0" xfId="0" applyFont="1" applyNumberFormat="1" applyAlignment="1">
      <alignment textRotation="0" horizontal="right" vertical="center" indent="0" wrapText="1"/>
    </xf>
    <xf numFmtId="164" fontId="5" fillId="0" borderId="0" xfId="0" applyFont="1" applyNumberFormat="1" applyAlignment="1">
      <alignment textRotation="0" horizontal="left" vertical="center" indent="0" wrapText="1"/>
    </xf>
    <xf numFmtId="169" fontId="7" fillId="12" borderId="0" xfId="0" applyFont="1" applyNumberFormat="1" applyFill="1" applyAlignment="1">
      <alignment textRotation="0" horizontal="center" vertical="center" indent="0"/>
    </xf>
    <xf numFmtId="164" fontId="7" fillId="0" borderId="0" xfId="0" applyFont="1" applyNumberFormat="1" applyAlignment="1">
      <alignment textRotation="0" horizontal="general" vertical="center" indent="0"/>
    </xf>
    <xf numFmtId="164" fontId="14" fillId="0" borderId="0" xfId="0" applyFont="1" applyNumberFormat="1" applyAlignment="1">
      <alignment textRotation="0" horizontal="general" vertical="center" indent="0"/>
    </xf>
    <xf numFmtId="164" fontId="5" fillId="6" borderId="62" xfId="0" applyFont="1" applyNumberFormat="1" applyFill="1" applyBorder="1" applyAlignment="1">
      <alignment textRotation="0" horizontal="center" vertical="bottom" indent="0" wrapText="1"/>
    </xf>
    <xf numFmtId="164" fontId="5" fillId="6" borderId="64" xfId="0" applyFont="1" applyNumberFormat="1" applyFill="1" applyBorder="1" applyAlignment="1">
      <alignment textRotation="0" horizontal="center" vertical="center" indent="0"/>
    </xf>
    <xf numFmtId="164" fontId="6" fillId="0" borderId="0" xfId="0" applyFont="1" applyNumberFormat="1" applyAlignment="1">
      <alignment textRotation="0" horizontal="general" vertical="bottom" indent="0" wrapText="1"/>
    </xf>
    <xf numFmtId="164" fontId="5" fillId="0" borderId="63" xfId="0" applyFont="1" applyNumberFormat="1" applyBorder="1" applyAlignment="1">
      <alignment textRotation="0" horizontal="right" vertical="bottom" indent="0" wrapText="1"/>
    </xf>
    <xf numFmtId="174" fontId="9" fillId="12" borderId="62" xfId="0" applyFont="1" applyNumberFormat="1" applyFill="1" applyBorder="1" applyAlignment="1">
      <alignment textRotation="0" horizontal="center" vertical="center" indent="0"/>
    </xf>
    <xf numFmtId="164" fontId="118" fillId="0" borderId="0" xfId="0" applyFont="1" applyNumberFormat="1" applyAlignment="1">
      <alignment textRotation="0" horizontal="general" vertical="center" indent="0"/>
    </xf>
    <xf numFmtId="164" fontId="119" fillId="0" borderId="0" xfId="0" applyFont="1" applyNumberFormat="1" applyAlignment="1">
      <alignment textRotation="0" horizontal="general" vertical="center" indent="0"/>
    </xf>
    <xf numFmtId="169" fontId="9" fillId="12" borderId="62" xfId="0" applyFont="1" applyNumberFormat="1" applyFill="1" applyBorder="1" applyAlignment="1">
      <alignment textRotation="0" horizontal="center" vertical="bottom" indent="0" wrapText="1"/>
    </xf>
    <xf numFmtId="164" fontId="45" fillId="0" borderId="61" xfId="0" applyFont="1" applyNumberFormat="1" applyBorder="1" applyAlignment="1">
      <alignment textRotation="0" horizontal="general" vertical="bottom" indent="0"/>
    </xf>
    <xf numFmtId="164" fontId="45" fillId="0" borderId="61" xfId="0" applyFont="1" applyNumberFormat="1" applyBorder="1" applyAlignment="1">
      <alignment textRotation="0" horizontal="general" vertical="bottom" indent="0" wrapText="1"/>
    </xf>
    <xf numFmtId="164" fontId="7" fillId="0" borderId="0" xfId="0" applyFont="1" applyNumberFormat="1" applyAlignment="1">
      <alignment textRotation="0" horizontal="left" vertical="center" indent="0" wrapText="1"/>
    </xf>
    <xf numFmtId="169" fontId="9" fillId="12" borderId="62" xfId="0" applyFont="1" applyNumberFormat="1" applyFill="1" applyBorder="1" applyAlignment="1">
      <alignment textRotation="0" horizontal="center" vertical="center" indent="0" wrapText="1"/>
    </xf>
    <xf numFmtId="164" fontId="6" fillId="0" borderId="0" xfId="0" applyFont="1" applyNumberFormat="1" applyAlignment="1">
      <alignment textRotation="0" horizontal="right" vertical="center" indent="0" wrapText="1"/>
    </xf>
    <xf numFmtId="164" fontId="11" fillId="0" borderId="0" xfId="0" applyFont="1" applyNumberFormat="1" applyAlignment="1">
      <alignment textRotation="0" horizontal="right" vertical="bottom" indent="0"/>
    </xf>
    <xf numFmtId="164" fontId="120" fillId="0" borderId="0" xfId="0" applyFont="1" applyNumberFormat="1" applyAlignment="1">
      <alignment textRotation="0" horizontal="general" vertical="bottom" indent="0"/>
    </xf>
    <xf numFmtId="164" fontId="60" fillId="0" borderId="0" xfId="0" applyFont="1" applyNumberFormat="1" applyAlignment="1">
      <alignment textRotation="0" horizontal="center" vertical="bottom" indent="0"/>
    </xf>
    <xf numFmtId="164" fontId="121" fillId="0" borderId="0" xfId="0" applyFont="1" applyNumberFormat="1" applyAlignment="1">
      <alignment textRotation="0" horizontal="general" vertical="bottom" indent="0"/>
    </xf>
    <xf numFmtId="164" fontId="9" fillId="6" borderId="0" xfId="0" applyFont="1" applyNumberFormat="1" applyFill="1" applyAlignment="1">
      <alignment textRotation="0" horizontal="center" vertical="bottom" indent="0"/>
    </xf>
    <xf numFmtId="164" fontId="54" fillId="0" borderId="0" xfId="0" applyFont="1" applyNumberFormat="1" applyAlignment="1">
      <alignment textRotation="0" horizontal="right" vertical="center" indent="0"/>
    </xf>
    <xf numFmtId="164" fontId="122" fillId="0" borderId="0" xfId="0" applyFont="1" applyNumberFormat="1" applyAlignment="1">
      <alignment textRotation="0" horizontal="general" vertical="center" indent="0"/>
    </xf>
    <xf numFmtId="164" fontId="9" fillId="0" borderId="0" xfId="0" applyFont="1" applyNumberFormat="1" applyAlignment="1">
      <alignment textRotation="0" horizontal="general" vertical="center" indent="0"/>
    </xf>
    <xf numFmtId="164" fontId="9" fillId="0" borderId="0" xfId="0" applyFont="1" applyNumberFormat="1" applyAlignment="1">
      <alignment textRotation="0" horizontal="center" vertical="bottom" indent="0"/>
    </xf>
    <xf numFmtId="164" fontId="7" fillId="6" borderId="18" xfId="0" applyFont="1" applyNumberFormat="1" applyFill="1" applyBorder="1" applyAlignment="1">
      <alignment textRotation="0" horizontal="left" vertical="center" indent="0"/>
    </xf>
    <xf numFmtId="164" fontId="7" fillId="8" borderId="18" xfId="0" applyFont="1" applyNumberFormat="1" applyFill="1" applyBorder="1" applyAlignment="1">
      <alignment textRotation="0" horizontal="left" vertical="center" indent="0" wrapText="1"/>
    </xf>
    <xf numFmtId="164" fontId="7" fillId="10" borderId="2" xfId="0" applyFont="1" applyNumberFormat="1" applyFill="1" applyBorder="1" applyAlignment="1">
      <alignment textRotation="0" horizontal="left" vertical="center" indent="0"/>
    </xf>
    <xf numFmtId="164" fontId="7" fillId="18" borderId="0" xfId="0" applyFont="1" applyNumberFormat="1" applyFill="1" applyAlignment="1">
      <alignment textRotation="0" horizontal="left" vertical="center" indent="0"/>
    </xf>
    <xf numFmtId="164" fontId="123" fillId="8" borderId="0" xfId="0" applyFont="1" applyNumberFormat="1" applyFill="1" applyAlignment="1">
      <alignment textRotation="0" horizontal="left" vertical="center" indent="0" wrapText="1"/>
    </xf>
    <xf numFmtId="164" fontId="123" fillId="0" borderId="0" xfId="0" applyFont="1" applyNumberFormat="1" applyAlignment="1">
      <alignment textRotation="0" horizontal="left" vertical="center" indent="0" wrapText="1"/>
    </xf>
    <xf numFmtId="164" fontId="124" fillId="0" borderId="0" xfId="0" applyFont="1" applyNumberFormat="1" applyAlignment="1">
      <alignment textRotation="0" horizontal="general" vertical="center" indent="0"/>
    </xf>
    <xf numFmtId="164" fontId="7" fillId="11" borderId="0" xfId="0" applyFont="1" applyNumberFormat="1" applyFill="1" applyAlignment="1">
      <alignment textRotation="0" horizontal="center" vertical="center" indent="0" wrapText="1"/>
    </xf>
    <xf numFmtId="164" fontId="7" fillId="10" borderId="2" xfId="0" applyFont="1" applyNumberFormat="1" applyFill="1" applyBorder="1" applyAlignment="1">
      <alignment textRotation="0" horizontal="center" vertical="center" indent="0" wrapText="1"/>
    </xf>
    <xf numFmtId="164" fontId="7" fillId="11" borderId="0" xfId="0" applyFont="1" applyNumberFormat="1" applyFill="1" applyAlignment="1">
      <alignment textRotation="0" horizontal="general" vertical="center" indent="0"/>
    </xf>
    <xf numFmtId="174" fontId="7" fillId="6" borderId="0" xfId="0" applyFont="1" applyNumberFormat="1" applyFill="1" applyAlignment="1">
      <alignment textRotation="0" horizontal="center" vertical="center" indent="0"/>
    </xf>
    <xf numFmtId="164" fontId="7" fillId="8" borderId="0" xfId="0" applyFont="1" applyNumberFormat="1" applyFill="1" applyAlignment="1">
      <alignment textRotation="0" horizontal="right" vertical="bottom" indent="0"/>
    </xf>
    <xf numFmtId="164" fontId="7" fillId="11" borderId="0" xfId="0" applyFont="1" applyNumberFormat="1" applyFill="1" applyAlignment="1">
      <alignment textRotation="0" horizontal="general" vertical="bottom" indent="0"/>
    </xf>
    <xf numFmtId="164" fontId="7" fillId="0" borderId="0" xfId="0" applyFont="1" applyNumberFormat="1" applyAlignment="1">
      <alignment textRotation="0" horizontal="center" vertical="center" indent="0"/>
    </xf>
    <xf numFmtId="164" fontId="125" fillId="0" borderId="0" xfId="0" applyFont="1" applyNumberFormat="1" applyAlignment="1">
      <alignment textRotation="0" horizontal="center" vertical="center" indent="0"/>
    </xf>
    <xf numFmtId="164" fontId="9" fillId="0" borderId="2" xfId="0" applyFont="1" applyNumberFormat="1" applyBorder="1" applyAlignment="1">
      <alignment textRotation="0" horizontal="center" vertical="center" indent="0" wrapText="1"/>
    </xf>
    <xf numFmtId="164" fontId="9" fillId="10" borderId="0" xfId="0" applyFont="1" applyNumberFormat="1" applyFill="1" applyAlignment="1">
      <alignment textRotation="0" horizontal="center" vertical="center" indent="0"/>
    </xf>
    <xf numFmtId="164" fontId="9" fillId="0" borderId="0" xfId="0" applyFont="1" applyNumberFormat="1" applyAlignment="1">
      <alignment textRotation="0" horizontal="center" vertical="center" indent="0"/>
    </xf>
    <xf numFmtId="164" fontId="7" fillId="8" borderId="0" xfId="0" applyFont="1" applyNumberFormat="1" applyFill="1" applyAlignment="1">
      <alignment textRotation="0" horizontal="center" vertical="center" indent="0"/>
    </xf>
    <xf numFmtId="164" fontId="7" fillId="0" borderId="0" xfId="0" applyFont="1" applyNumberFormat="1" applyAlignment="1">
      <alignment textRotation="0" horizontal="center" vertical="center" indent="0" wrapText="1"/>
    </xf>
    <xf numFmtId="164" fontId="9" fillId="0" borderId="0" xfId="0" applyFont="1" applyNumberFormat="1" applyAlignment="1">
      <alignment textRotation="0" horizontal="left" vertical="center" indent="0"/>
    </xf>
    <xf numFmtId="164" fontId="9" fillId="6" borderId="0" xfId="0" applyFont="1" applyNumberFormat="1" applyFill="1" applyAlignment="1">
      <alignment textRotation="0" horizontal="general" vertical="center" indent="0" wrapText="1"/>
    </xf>
    <xf numFmtId="164" fontId="126" fillId="11" borderId="0" xfId="0" applyFont="1" applyNumberFormat="1" applyFill="1" applyAlignment="1">
      <alignment textRotation="0" horizontal="center" vertical="center" indent="0" wrapText="1"/>
    </xf>
    <xf numFmtId="164" fontId="7" fillId="0" borderId="0" xfId="0" applyFont="1" applyNumberFormat="1" applyAlignment="1">
      <alignment textRotation="0" horizontal="general" vertical="center" indent="0" wrapText="1"/>
    </xf>
    <xf numFmtId="164" fontId="9" fillId="10" borderId="0" xfId="0" applyFont="1" applyNumberFormat="1" applyFill="1" applyAlignment="1">
      <alignment textRotation="0" horizontal="left" vertical="center" indent="0" wrapText="1"/>
    </xf>
    <xf numFmtId="164" fontId="9" fillId="10" borderId="0" xfId="0" applyFont="1" applyNumberFormat="1" applyFill="1" applyAlignment="1">
      <alignment textRotation="0" horizontal="center" vertical="center" indent="0" wrapText="1"/>
    </xf>
    <xf numFmtId="164" fontId="7" fillId="12" borderId="0" xfId="0" applyFont="1" applyNumberFormat="1" applyFill="1" applyAlignment="1">
      <alignment textRotation="0" horizontal="center" vertical="center" indent="0" wrapText="1"/>
    </xf>
    <xf numFmtId="167" fontId="7" fillId="12" borderId="0" xfId="0" applyFont="1" applyNumberFormat="1" applyFill="1" applyAlignment="1">
      <alignment textRotation="0" horizontal="center" vertical="center" indent="0"/>
    </xf>
    <xf numFmtId="164" fontId="7" fillId="7" borderId="0" xfId="0" applyFont="1" applyNumberFormat="1" applyFill="1" applyAlignment="1">
      <alignment textRotation="0" horizontal="general" vertical="bottom" indent="0" wrapText="1"/>
    </xf>
    <xf numFmtId="164" fontId="7" fillId="7" borderId="0" xfId="0" applyFont="1" applyNumberFormat="1" applyFill="1" applyAlignment="1">
      <alignment textRotation="0" horizontal="center" vertical="center" indent="0" wrapText="1"/>
    </xf>
    <xf numFmtId="164" fontId="7" fillId="7" borderId="0" xfId="0" applyFont="1" applyNumberFormat="1" applyFill="1" applyAlignment="1">
      <alignment textRotation="0" horizontal="right" vertical="bottom" indent="0"/>
    </xf>
    <xf numFmtId="167" fontId="7" fillId="7" borderId="0" xfId="0" applyFont="1" applyNumberFormat="1" applyFill="1" applyAlignment="1">
      <alignment textRotation="0" horizontal="center" vertical="center" indent="0"/>
    </xf>
    <xf numFmtId="164" fontId="7" fillId="7" borderId="0" xfId="0" applyFont="1" applyNumberFormat="1" applyFill="1" applyAlignment="1">
      <alignment textRotation="0" horizontal="general" vertical="bottom" indent="0"/>
    </xf>
    <xf numFmtId="164" fontId="9" fillId="8" borderId="0" xfId="0" applyFont="1" applyNumberFormat="1" applyFill="1" applyAlignment="1">
      <alignment textRotation="0" horizontal="general" vertical="center" indent="0"/>
    </xf>
    <xf numFmtId="164" fontId="125" fillId="0" borderId="0" xfId="0" applyFont="1" applyNumberFormat="1" applyAlignment="1">
      <alignment textRotation="0" horizontal="general" vertical="center" indent="0"/>
    </xf>
    <xf numFmtId="172" fontId="7" fillId="12" borderId="2" xfId="0" applyFont="1" applyNumberFormat="1" applyFill="1" applyBorder="1" applyAlignment="1">
      <alignment textRotation="0" horizontal="center" vertical="center" indent="0" wrapText="1"/>
    </xf>
    <xf numFmtId="172" fontId="7" fillId="8" borderId="0" xfId="0" applyFont="1" applyNumberFormat="1" applyFill="1" applyAlignment="1">
      <alignment textRotation="0" horizontal="right" vertical="center" indent="0"/>
    </xf>
    <xf numFmtId="164" fontId="7" fillId="15" borderId="0" xfId="0" applyFont="1" applyNumberFormat="1" applyFill="1" applyAlignment="1">
      <alignment textRotation="0" horizontal="center" vertical="center" indent="0" wrapText="1"/>
    </xf>
    <xf numFmtId="164" fontId="7" fillId="15" borderId="0" xfId="0" applyFont="1" applyNumberFormat="1" applyFill="1" applyAlignment="1">
      <alignment textRotation="0" horizontal="center" vertical="center" indent="0"/>
    </xf>
    <xf numFmtId="169" fontId="7" fillId="15" borderId="0" xfId="0" applyFont="1" applyNumberFormat="1" applyFill="1" applyAlignment="1">
      <alignment textRotation="0" horizontal="general" vertical="bottom" indent="0"/>
    </xf>
    <xf numFmtId="164" fontId="7" fillId="0" borderId="0" xfId="0" applyFont="1" applyNumberFormat="1" applyAlignment="1">
      <alignment textRotation="0" horizontal="center" vertical="bottom" indent="0"/>
    </xf>
    <xf numFmtId="174" fontId="9" fillId="6" borderId="94" xfId="0" applyFont="1" applyNumberFormat="1" applyFill="1" applyBorder="1" applyAlignment="1">
      <alignment textRotation="0" horizontal="left" vertical="center" indent="0" wrapText="1"/>
    </xf>
    <xf numFmtId="174" fontId="9" fillId="6" borderId="2" xfId="0" applyFont="1" applyNumberFormat="1" applyFill="1" applyBorder="1" applyAlignment="1">
      <alignment textRotation="0" horizontal="left" vertical="center" indent="0" wrapText="1"/>
    </xf>
    <xf numFmtId="164" fontId="9" fillId="6" borderId="18" xfId="0" applyFont="1" applyNumberFormat="1" applyFill="1" applyBorder="1" applyAlignment="1">
      <alignment textRotation="0" horizontal="right" vertical="center" indent="0"/>
    </xf>
    <xf numFmtId="164" fontId="9" fillId="0" borderId="0" xfId="0" applyFont="1" applyNumberFormat="1" applyAlignment="1">
      <alignment textRotation="0" horizontal="right" vertical="center" indent="0"/>
    </xf>
    <xf numFmtId="164" fontId="9" fillId="0" borderId="22" xfId="0" applyFont="1" applyNumberFormat="1" applyBorder="1" applyAlignment="1">
      <alignment textRotation="0" horizontal="center" vertical="center" indent="0"/>
    </xf>
    <xf numFmtId="164" fontId="9" fillId="10" borderId="0" xfId="0" applyFont="1" applyNumberFormat="1" applyFill="1" applyAlignment="1">
      <alignment textRotation="0" horizontal="general" vertical="center" indent="0"/>
    </xf>
    <xf numFmtId="164" fontId="9" fillId="10" borderId="0" xfId="0" applyFont="1" applyNumberFormat="1" applyFill="1" applyAlignment="1">
      <alignment textRotation="0" horizontal="general" vertical="center" indent="0" wrapText="1"/>
    </xf>
    <xf numFmtId="164" fontId="7" fillId="0" borderId="0" xfId="0" applyFont="1" applyNumberFormat="1" applyAlignment="1">
      <alignment textRotation="0" horizontal="right" vertical="bottom" indent="0" wrapText="1"/>
    </xf>
    <xf numFmtId="164" fontId="7" fillId="6" borderId="0" xfId="0" applyFont="1" applyNumberFormat="1" applyFill="1" applyAlignment="1">
      <alignment textRotation="0" horizontal="right" vertical="bottom" indent="0"/>
    </xf>
    <xf numFmtId="164" fontId="9" fillId="10" borderId="0" xfId="0" applyFont="1" applyNumberFormat="1" applyFill="1" applyAlignment="1">
      <alignment textRotation="0" horizontal="general" vertical="bottom" indent="0"/>
    </xf>
    <xf numFmtId="164" fontId="7" fillId="9" borderId="0" xfId="0" applyFont="1" applyNumberFormat="1" applyFill="1" applyAlignment="1">
      <alignment textRotation="0" horizontal="general" vertical="bottom" indent="0"/>
    </xf>
    <xf numFmtId="172" fontId="7" fillId="0" borderId="0" xfId="0" applyFont="1" applyNumberFormat="1" applyAlignment="1">
      <alignment textRotation="0" horizontal="center" vertical="center" indent="0" wrapText="1"/>
    </xf>
    <xf numFmtId="164" fontId="31" fillId="6" borderId="0" xfId="0" applyFont="1" applyNumberFormat="1" applyFill="1" applyAlignment="1">
      <alignment textRotation="0" horizontal="general" vertical="center" indent="0" wrapText="1"/>
    </xf>
    <xf numFmtId="164" fontId="9" fillId="6" borderId="58" xfId="0" applyFont="1" applyNumberFormat="1" applyFill="1" applyBorder="1" applyAlignment="1">
      <alignment textRotation="0" horizontal="center" vertical="center" indent="0"/>
    </xf>
    <xf numFmtId="164" fontId="7" fillId="10" borderId="31" xfId="0" applyFont="1" applyNumberFormat="1" applyFill="1" applyBorder="1" applyAlignment="1">
      <alignment textRotation="0" horizontal="center" vertical="center" indent="0" wrapText="1"/>
    </xf>
    <xf numFmtId="164" fontId="127" fillId="10" borderId="0" xfId="0" applyFont="1" applyNumberFormat="1" applyFill="1" applyAlignment="1">
      <alignment textRotation="0" horizontal="center" vertical="center" indent="0" wrapText="1"/>
    </xf>
    <xf numFmtId="164" fontId="9" fillId="10" borderId="32" xfId="0" applyFont="1" applyNumberFormat="1" applyFill="1" applyBorder="1" applyAlignment="1">
      <alignment textRotation="0" horizontal="center" vertical="center" indent="0"/>
    </xf>
    <xf numFmtId="164" fontId="32" fillId="0" borderId="31" xfId="0" applyFont="1" applyNumberFormat="1" applyBorder="1" applyAlignment="1">
      <alignment textRotation="0" horizontal="general" vertical="bottom" indent="0"/>
    </xf>
    <xf numFmtId="174" fontId="7" fillId="12" borderId="32" xfId="0" applyFont="1" applyNumberFormat="1" applyFill="1" applyBorder="1" applyAlignment="1">
      <alignment textRotation="0" horizontal="center" vertical="center" indent="0"/>
    </xf>
    <xf numFmtId="164" fontId="128" fillId="0" borderId="31" xfId="0" applyFont="1" applyNumberFormat="1" applyBorder="1" applyAlignment="1">
      <alignment textRotation="0" horizontal="general" vertical="bottom" indent="0"/>
    </xf>
    <xf numFmtId="164" fontId="128" fillId="0" borderId="59" xfId="0" applyFont="1" applyNumberFormat="1" applyBorder="1" applyAlignment="1">
      <alignment textRotation="0" horizontal="general" vertical="bottom" indent="0"/>
    </xf>
    <xf numFmtId="164" fontId="128" fillId="0" borderId="18" xfId="0" applyFont="1" applyNumberFormat="1" applyBorder="1" applyAlignment="1">
      <alignment textRotation="0" horizontal="general" vertical="bottom" indent="0"/>
    </xf>
    <xf numFmtId="164" fontId="128" fillId="0" borderId="0" xfId="0" applyFont="1" applyNumberFormat="1" applyAlignment="1">
      <alignment textRotation="0" horizontal="general" vertical="bottom" indent="0"/>
    </xf>
    <xf numFmtId="174" fontId="7" fillId="12" borderId="60" xfId="0" applyFont="1" applyNumberFormat="1" applyFill="1" applyBorder="1" applyAlignment="1">
      <alignment textRotation="0" horizontal="center" vertical="center" indent="0"/>
    </xf>
    <xf numFmtId="164" fontId="7" fillId="6" borderId="60" xfId="0" applyFont="1" applyNumberFormat="1" applyFill="1" applyBorder="1" applyAlignment="1">
      <alignment textRotation="0" horizontal="right" vertical="bottom" indent="0"/>
    </xf>
    <xf numFmtId="174" fontId="7" fillId="12" borderId="61" xfId="0" applyFont="1" applyNumberFormat="1" applyFill="1" applyBorder="1" applyAlignment="1">
      <alignment textRotation="0" horizontal="center" vertical="center" indent="0"/>
    </xf>
    <xf numFmtId="164" fontId="129" fillId="6" borderId="0" xfId="0" applyFont="1" applyNumberFormat="1" applyFill="1" applyAlignment="1">
      <alignment textRotation="0" horizontal="left" vertical="center" indent="0" wrapText="1"/>
    </xf>
    <xf numFmtId="164" fontId="7" fillId="0" borderId="0" xfId="0" applyFont="1" applyNumberFormat="1" applyAlignment="1">
      <alignment textRotation="0" horizontal="left" vertical="top" indent="0" wrapText="1"/>
    </xf>
    <xf numFmtId="167" fontId="7" fillId="8" borderId="0" xfId="0" applyFont="1" applyNumberFormat="1" applyFill="1" applyAlignment="1">
      <alignment textRotation="0" horizontal="right" vertical="center" indent="0"/>
    </xf>
    <xf numFmtId="164" fontId="124" fillId="0" borderId="0" xfId="0" applyFont="1" applyNumberFormat="1" applyAlignment="1">
      <alignment textRotation="0" horizontal="left" vertical="top" indent="0" wrapText="1"/>
    </xf>
    <xf numFmtId="164" fontId="63" fillId="0" borderId="0" xfId="0" applyFont="1" applyNumberFormat="1" applyAlignment="1">
      <alignment textRotation="0" horizontal="center" vertical="bottom" indent="0"/>
    </xf>
    <xf numFmtId="164" fontId="7" fillId="0" borderId="0" xfId="0" applyFont="1" applyNumberFormat="1" applyAlignment="1">
      <alignment textRotation="0" horizontal="left" vertical="top" indent="0"/>
    </xf>
    <xf numFmtId="164" fontId="32" fillId="5" borderId="0" xfId="0" applyFont="1" applyNumberFormat="1" applyFill="1" applyAlignment="1">
      <alignment textRotation="0" horizontal="general" vertical="bottom" indent="0"/>
    </xf>
    <xf numFmtId="174" fontId="7" fillId="12" borderId="0" xfId="0" applyFont="1" applyNumberFormat="1" applyFill="1" applyAlignment="1">
      <alignment textRotation="0" horizontal="center" vertical="top" indent="0" wrapText="1"/>
    </xf>
    <xf numFmtId="167" fontId="7" fillId="8" borderId="0" xfId="0" applyFont="1" applyNumberFormat="1" applyFill="1" applyAlignment="1">
      <alignment textRotation="0" horizontal="right" vertical="top" indent="0" wrapText="1"/>
    </xf>
    <xf numFmtId="167" fontId="7" fillId="12" borderId="0" xfId="0" applyFont="1" applyNumberFormat="1" applyFill="1" applyAlignment="1">
      <alignment textRotation="0" horizontal="center" vertical="top" indent="0" wrapText="1"/>
    </xf>
    <xf numFmtId="167" fontId="7" fillId="6" borderId="0" xfId="0" applyFont="1" applyNumberFormat="1" applyFill="1" applyAlignment="1">
      <alignment textRotation="0" horizontal="right" vertical="top" indent="0" wrapText="1"/>
    </xf>
    <xf numFmtId="164" fontId="9" fillId="0" borderId="0" xfId="0" applyFont="1" applyNumberFormat="1" applyAlignment="1">
      <alignment textRotation="0" horizontal="left" vertical="top" indent="0" wrapText="1"/>
    </xf>
    <xf numFmtId="164" fontId="7" fillId="0" borderId="0" xfId="0" applyFont="1" applyNumberFormat="1" applyAlignment="1">
      <alignment textRotation="0" horizontal="center" vertical="top" indent="0" wrapText="1"/>
    </xf>
    <xf numFmtId="164" fontId="9" fillId="0" borderId="0" xfId="0" applyFont="1" applyNumberFormat="1" applyAlignment="1">
      <alignment textRotation="0" horizontal="general" vertical="center" indent="0" wrapText="1"/>
    </xf>
    <xf numFmtId="170" fontId="9" fillId="10" borderId="0" xfId="0" applyFont="1" applyNumberFormat="1" applyFill="1" applyAlignment="1">
      <alignment textRotation="0" horizontal="center" vertical="center" indent="0" wrapText="1"/>
    </xf>
    <xf numFmtId="167" fontId="7" fillId="8" borderId="0" xfId="0" applyFont="1" applyNumberFormat="1" applyFill="1" applyAlignment="1">
      <alignment textRotation="0" horizontal="general" vertical="bottom" indent="0"/>
    </xf>
    <xf numFmtId="167" fontId="7" fillId="12" borderId="0" xfId="0" applyFont="1" applyNumberFormat="1" applyFill="1" applyAlignment="1">
      <alignment textRotation="0" horizontal="center" vertical="bottom" indent="0"/>
    </xf>
    <xf numFmtId="164" fontId="7" fillId="7" borderId="0" xfId="0" applyFont="1" applyNumberFormat="1" applyFill="1" applyAlignment="1">
      <alignment textRotation="0" horizontal="general" vertical="center" indent="0"/>
    </xf>
    <xf numFmtId="172" fontId="9" fillId="0" borderId="0" xfId="0" applyFont="1" applyNumberFormat="1" applyAlignment="1">
      <alignment textRotation="0" horizontal="center" vertical="center" indent="0"/>
    </xf>
    <xf numFmtId="164" fontId="130" fillId="0" borderId="0" xfId="0" applyFont="1" applyNumberFormat="1" applyAlignment="1">
      <alignment textRotation="0" horizontal="general" vertical="center" indent="0"/>
    </xf>
    <xf numFmtId="164" fontId="9" fillId="10" borderId="0" xfId="0" applyFont="1" applyNumberFormat="1" applyFill="1" applyAlignment="1">
      <alignment textRotation="0" horizontal="center" vertical="bottom" indent="0"/>
    </xf>
    <xf numFmtId="170" fontId="7" fillId="8" borderId="0" xfId="0" applyFont="1" applyNumberFormat="1" applyFill="1" applyAlignment="1">
      <alignment textRotation="0" horizontal="right" vertical="top" indent="0" wrapText="1"/>
    </xf>
    <xf numFmtId="170" fontId="7" fillId="0" borderId="0" xfId="0" applyFont="1" applyNumberFormat="1" applyAlignment="1">
      <alignment textRotation="0" horizontal="right" vertical="top" indent="0" wrapText="1"/>
    </xf>
    <xf numFmtId="167" fontId="7" fillId="0" borderId="0" xfId="0" applyFont="1" applyNumberFormat="1" applyAlignment="1">
      <alignment textRotation="0" horizontal="center" vertical="center" indent="0"/>
    </xf>
    <xf numFmtId="164" fontId="131" fillId="0" borderId="0" xfId="0" applyFont="1" applyNumberFormat="1" applyAlignment="1">
      <alignment textRotation="0" horizontal="general" vertical="center" indent="0"/>
    </xf>
    <xf numFmtId="179" fontId="7" fillId="8" borderId="0" xfId="0" applyFont="1" applyNumberFormat="1" applyFill="1" applyAlignment="1">
      <alignment textRotation="0" horizontal="right" vertical="bottom" indent="0"/>
    </xf>
    <xf numFmtId="167" fontId="7" fillId="8" borderId="0" xfId="0" applyFont="1" applyNumberFormat="1" applyFill="1" applyAlignment="1">
      <alignment textRotation="0" horizontal="right" vertical="bottom" indent="0"/>
    </xf>
    <xf numFmtId="174" fontId="7" fillId="12" borderId="0" xfId="0" applyFont="1" applyNumberFormat="1" applyFill="1" applyAlignment="1">
      <alignment textRotation="0" horizontal="general" vertical="center" indent="0"/>
    </xf>
    <xf numFmtId="164" fontId="31" fillId="6" borderId="86" xfId="0" applyFont="1" applyNumberFormat="1" applyFill="1" applyBorder="1" applyAlignment="1">
      <alignment textRotation="0" horizontal="general" vertical="center" indent="0" wrapText="1"/>
    </xf>
    <xf numFmtId="164" fontId="7" fillId="0" borderId="31" xfId="0" applyFont="1" applyNumberFormat="1" applyBorder="1" applyAlignment="1">
      <alignment textRotation="0" horizontal="general" vertical="bottom" indent="0"/>
    </xf>
    <xf numFmtId="164" fontId="10" fillId="0" borderId="31" xfId="0" applyFont="1" applyNumberFormat="1" applyBorder="1" applyAlignment="1">
      <alignment textRotation="0" horizontal="general" vertical="bottom" indent="0"/>
    </xf>
    <xf numFmtId="164" fontId="7" fillId="0" borderId="59" xfId="0" applyFont="1" applyNumberFormat="1" applyBorder="1" applyAlignment="1">
      <alignment textRotation="0" horizontal="general" vertical="bottom" indent="0"/>
    </xf>
    <xf numFmtId="164" fontId="7" fillId="6" borderId="60" xfId="0" applyFont="1" applyNumberFormat="1" applyFill="1" applyBorder="1" applyAlignment="1">
      <alignment textRotation="0" horizontal="center" vertical="bottom" indent="0"/>
    </xf>
    <xf numFmtId="164" fontId="9" fillId="6" borderId="68" xfId="0" applyFont="1" applyNumberFormat="1" applyFill="1" applyBorder="1" applyAlignment="1">
      <alignment textRotation="0" horizontal="center" vertical="center" indent="0" wrapText="1"/>
    </xf>
    <xf numFmtId="164" fontId="9" fillId="10" borderId="11" xfId="0" applyFont="1" applyNumberFormat="1" applyFill="1" applyBorder="1" applyAlignment="1">
      <alignment textRotation="0" horizontal="center" vertical="center" indent="0" wrapText="1"/>
    </xf>
    <xf numFmtId="170" fontId="7" fillId="8" borderId="0" xfId="0" applyFont="1" applyNumberFormat="1" applyFill="1" applyAlignment="1">
      <alignment textRotation="0" horizontal="right" vertical="bottom" indent="0"/>
    </xf>
    <xf numFmtId="164" fontId="9" fillId="6" borderId="0" xfId="0" applyFont="1" applyNumberFormat="1" applyFill="1" applyAlignment="1">
      <alignment textRotation="0" horizontal="general" vertical="bottom" indent="0" wrapText="1"/>
    </xf>
    <xf numFmtId="164" fontId="123" fillId="16" borderId="0" xfId="0" applyFont="1" applyNumberFormat="1" applyFill="1" applyAlignment="1">
      <alignment textRotation="0" horizontal="left" vertical="center" indent="0" wrapText="1"/>
    </xf>
    <xf numFmtId="164" fontId="123" fillId="0" borderId="0" xfId="0" applyFont="1" applyNumberFormat="1" applyAlignment="1">
      <alignment textRotation="0" horizontal="left" vertical="center" indent="0"/>
    </xf>
    <xf numFmtId="172" fontId="9" fillId="12" borderId="0" xfId="0" applyFont="1" applyNumberFormat="1" applyFill="1" applyAlignment="1">
      <alignment textRotation="0" horizontal="center" vertical="center" indent="0" wrapText="1"/>
    </xf>
    <xf numFmtId="164" fontId="49" fillId="8" borderId="0" xfId="0" applyFont="1" applyNumberFormat="1" applyFill="1" applyAlignment="1">
      <alignment textRotation="0" horizontal="left" vertical="center" indent="0"/>
    </xf>
    <xf numFmtId="164" fontId="49" fillId="8" borderId="0" xfId="0" applyFont="1" applyNumberFormat="1" applyFill="1" applyAlignment="1">
      <alignment textRotation="0" horizontal="left" vertical="center" indent="0" wrapText="1"/>
    </xf>
    <xf numFmtId="172" fontId="49" fillId="0" borderId="0" xfId="0" applyFont="1" applyNumberFormat="1" applyAlignment="1">
      <alignment textRotation="0" horizontal="left" vertical="center" indent="0" wrapText="1"/>
    </xf>
    <xf numFmtId="172" fontId="9" fillId="12" borderId="2" xfId="0" applyFont="1" applyNumberFormat="1" applyFill="1" applyBorder="1" applyAlignment="1">
      <alignment textRotation="0" horizontal="center" vertical="center" indent="0" wrapText="1"/>
    </xf>
    <xf numFmtId="164" fontId="49" fillId="0" borderId="0" xfId="0" applyFont="1" applyNumberFormat="1" applyAlignment="1">
      <alignment textRotation="0" horizontal="general" vertical="center" indent="0"/>
    </xf>
    <xf numFmtId="164" fontId="49" fillId="0" borderId="0" xfId="0" applyFont="1" applyNumberFormat="1" applyAlignment="1">
      <alignment textRotation="0" horizontal="left" vertical="center" indent="0"/>
    </xf>
    <xf numFmtId="164" fontId="49" fillId="0" borderId="0" xfId="0" applyFont="1" applyNumberFormat="1" applyAlignment="1">
      <alignment textRotation="0" horizontal="center" vertical="center" indent="0" wrapText="1"/>
    </xf>
    <xf numFmtId="164" fontId="49" fillId="0" borderId="22" xfId="0" applyFont="1" applyNumberFormat="1" applyBorder="1" applyAlignment="1">
      <alignment textRotation="0" horizontal="left" vertical="center" indent="0" wrapText="1"/>
    </xf>
    <xf numFmtId="164" fontId="9" fillId="0" borderId="0" xfId="0" applyFont="1" applyNumberFormat="1" applyAlignment="1">
      <alignment textRotation="0" horizontal="left" vertical="center" indent="0" wrapText="1"/>
    </xf>
    <xf numFmtId="164" fontId="132" fillId="8" borderId="0" xfId="0" applyFont="1" applyNumberFormat="1" applyFill="1" applyAlignment="1">
      <alignment textRotation="0" horizontal="left" vertical="center" indent="0"/>
    </xf>
    <xf numFmtId="172" fontId="9" fillId="12" borderId="0" xfId="0" applyFont="1" applyNumberFormat="1" applyFill="1" applyAlignment="1">
      <alignment textRotation="0" horizontal="center" vertical="center" indent="0"/>
    </xf>
    <xf numFmtId="164" fontId="132" fillId="0" borderId="0" xfId="0" applyFont="1" applyNumberFormat="1" applyAlignment="1">
      <alignment textRotation="0" horizontal="left" vertical="center" indent="0"/>
    </xf>
    <xf numFmtId="164" fontId="132" fillId="0" borderId="0" xfId="0" applyFont="1" applyNumberFormat="1" applyAlignment="1">
      <alignment textRotation="0" horizontal="general" vertical="center" indent="0"/>
    </xf>
    <xf numFmtId="164" fontId="49" fillId="0" borderId="0" xfId="0" applyFont="1" applyNumberFormat="1" applyAlignment="1">
      <alignment textRotation="0" horizontal="right" vertical="center" indent="0" wrapText="1"/>
    </xf>
    <xf numFmtId="164" fontId="49" fillId="0" borderId="22" xfId="0" applyFont="1" applyNumberFormat="1" applyBorder="1" applyAlignment="1">
      <alignment textRotation="0" horizontal="center" vertical="center" indent="0" wrapText="1"/>
    </xf>
    <xf numFmtId="172" fontId="49" fillId="0" borderId="22" xfId="0" applyFont="1" applyNumberFormat="1" applyBorder="1" applyAlignment="1">
      <alignment textRotation="0" horizontal="center" vertical="center" indent="0"/>
    </xf>
    <xf numFmtId="164" fontId="133" fillId="0" borderId="0" xfId="0" applyFont="1" applyNumberFormat="1" applyAlignment="1">
      <alignment textRotation="0" horizontal="general" vertical="center" indent="0"/>
    </xf>
    <xf numFmtId="164" fontId="49" fillId="6" borderId="66" xfId="0" applyFont="1" applyNumberFormat="1" applyFill="1" applyBorder="1" applyAlignment="1">
      <alignment textRotation="0" horizontal="center" vertical="center" indent="0"/>
    </xf>
    <xf numFmtId="172" fontId="9" fillId="12" borderId="18" xfId="0" applyFont="1" applyNumberFormat="1" applyFill="1" applyBorder="1" applyAlignment="1">
      <alignment textRotation="0" horizontal="center" vertical="center" indent="0" wrapText="1"/>
    </xf>
    <xf numFmtId="164" fontId="58" fillId="0" borderId="66" xfId="0" applyFont="1" applyNumberFormat="1" applyBorder="1" applyAlignment="1">
      <alignment textRotation="0" horizontal="general" vertical="bottom" indent="0"/>
    </xf>
    <xf numFmtId="164" fontId="58" fillId="0" borderId="58" xfId="0" applyFont="1" applyNumberFormat="1" applyBorder="1" applyAlignment="1">
      <alignment textRotation="0" horizontal="general" vertical="bottom" indent="0"/>
    </xf>
    <xf numFmtId="164" fontId="60" fillId="0" borderId="58" xfId="0" applyFont="1" applyNumberFormat="1" applyBorder="1" applyAlignment="1">
      <alignment textRotation="0" horizontal="general" vertical="bottom" indent="0"/>
    </xf>
    <xf numFmtId="164" fontId="55" fillId="0" borderId="58" xfId="0" applyFont="1" applyNumberFormat="1" applyBorder="1" applyAlignment="1">
      <alignment textRotation="0" horizontal="general" vertical="bottom" indent="0"/>
    </xf>
    <xf numFmtId="164" fontId="45" fillId="0" borderId="1" xfId="0" applyFont="1" applyNumberFormat="1" applyBorder="1" applyAlignment="1">
      <alignment textRotation="0" horizontal="general" vertical="bottom" indent="0"/>
    </xf>
    <xf numFmtId="164" fontId="46" fillId="0" borderId="0" xfId="0" applyFont="1" applyNumberFormat="1" applyAlignment="1">
      <alignment textRotation="0" horizontal="general" vertical="bottom" indent="0"/>
    </xf>
    <xf numFmtId="164" fontId="134" fillId="0" borderId="0" xfId="0" applyFont="1" applyNumberFormat="1" applyAlignment="1">
      <alignment textRotation="0" horizontal="general" vertical="bottom" indent="0"/>
    </xf>
    <xf numFmtId="164" fontId="55" fillId="0" borderId="0" xfId="0" applyFont="1" applyNumberFormat="1" applyAlignment="1">
      <alignment textRotation="0" horizontal="center" vertical="center" indent="0" wrapText="1"/>
    </xf>
    <xf numFmtId="164" fontId="55" fillId="0" borderId="1" xfId="0" applyFont="1" applyNumberFormat="1" applyBorder="1" applyAlignment="1">
      <alignment textRotation="0" horizontal="center" vertical="center" indent="0" wrapText="1"/>
    </xf>
    <xf numFmtId="164" fontId="55" fillId="0" borderId="0" xfId="0" applyFont="1" applyNumberFormat="1" applyAlignment="1">
      <alignment textRotation="0" horizontal="general" vertical="center" indent="0" wrapText="1"/>
    </xf>
    <xf numFmtId="164" fontId="135" fillId="0" borderId="0" xfId="0" applyFont="1" applyNumberFormat="1" applyAlignment="1">
      <alignment textRotation="0" horizontal="center" vertical="center" indent="0" wrapText="1"/>
    </xf>
    <xf numFmtId="164" fontId="54" fillId="0" borderId="0" xfId="0" applyFont="1" applyNumberFormat="1" applyAlignment="1">
      <alignment textRotation="0" horizontal="center" vertical="center" indent="0" wrapText="1"/>
    </xf>
    <xf numFmtId="164" fontId="136" fillId="0" borderId="0" xfId="0" applyFont="1" applyNumberFormat="1" applyAlignment="1">
      <alignment textRotation="0" horizontal="general" vertical="bottom" indent="0"/>
    </xf>
    <xf numFmtId="169" fontId="7" fillId="15" borderId="0" xfId="0" applyFont="1" applyNumberFormat="1" applyFill="1" applyAlignment="1">
      <alignment textRotation="0" horizontal="left" vertical="bottom" indent="0"/>
    </xf>
    <xf numFmtId="164" fontId="9" fillId="0" borderId="0" xfId="0" applyFont="1" applyNumberFormat="1" applyAlignment="1">
      <alignment textRotation="0" horizontal="general" vertical="bottom" indent="0"/>
    </xf>
    <xf numFmtId="164" fontId="9" fillId="0" borderId="0" xfId="0" applyFont="1" applyNumberFormat="1" applyAlignment="1">
      <alignment textRotation="0" horizontal="left" vertical="bottom" indent="0"/>
    </xf>
    <xf numFmtId="164" fontId="63" fillId="0" borderId="0" xfId="0" applyFont="1" applyNumberFormat="1" applyAlignment="1">
      <alignment textRotation="0" horizontal="left" vertical="bottom" indent="0"/>
    </xf>
    <xf numFmtId="169" fontId="7" fillId="0" borderId="0" xfId="0" applyFont="1" applyNumberFormat="1" applyAlignment="1">
      <alignment textRotation="0" horizontal="left" vertical="bottom" indent="0"/>
    </xf>
    <xf numFmtId="164" fontId="137" fillId="5" borderId="0" xfId="0" applyFont="1" applyNumberFormat="1" applyFill="1" applyAlignment="1">
      <alignment textRotation="0" horizontal="center" vertical="center" indent="0" wrapText="1"/>
    </xf>
    <xf numFmtId="164" fontId="79" fillId="0" borderId="65" xfId="0" applyFont="1" applyNumberFormat="1" applyBorder="1" applyAlignment="1">
      <alignment textRotation="0" horizontal="center" vertical="center" indent="0"/>
    </xf>
    <xf numFmtId="164" fontId="3" fillId="0" borderId="65" xfId="0" applyFont="1" applyNumberFormat="1" applyBorder="1" applyAlignment="1">
      <alignment textRotation="0" horizontal="general" vertical="center" indent="0"/>
    </xf>
    <xf numFmtId="164" fontId="3" fillId="0" borderId="65" xfId="0" applyFont="1" applyNumberFormat="1" applyBorder="1" applyAlignment="1">
      <alignment textRotation="0" horizontal="center" vertical="center" indent="0"/>
    </xf>
    <xf numFmtId="164" fontId="3" fillId="0" borderId="31" xfId="0" applyFont="1" applyNumberFormat="1" applyBorder="1" applyAlignment="1">
      <alignment textRotation="0" horizontal="center" vertical="center" indent="0"/>
    </xf>
    <xf numFmtId="164" fontId="7" fillId="0" borderId="2" xfId="0" applyFont="1" applyNumberFormat="1" applyBorder="1" applyAlignment="1">
      <alignment textRotation="0" horizontal="center" vertical="center" indent="0"/>
    </xf>
    <xf numFmtId="164" fontId="7" fillId="0" borderId="33" xfId="0" applyFont="1" applyNumberFormat="1" applyBorder="1" applyAlignment="1">
      <alignment textRotation="0" horizontal="general" vertical="bottom" indent="0"/>
    </xf>
    <xf numFmtId="164" fontId="79" fillId="0" borderId="65" xfId="0" applyFont="1" applyNumberFormat="1" applyBorder="1" applyAlignment="1">
      <alignment textRotation="0" horizontal="center" vertical="bottom" indent="0"/>
    </xf>
    <xf numFmtId="164" fontId="138" fillId="0" borderId="0" xfId="0" applyFont="1" applyNumberFormat="1" applyAlignment="1">
      <alignment textRotation="0" horizontal="general" vertical="center" indent="0" wrapText="1"/>
    </xf>
    <xf numFmtId="164" fontId="138" fillId="0" borderId="1" xfId="0" applyFont="1" applyNumberFormat="1" applyBorder="1" applyAlignment="1">
      <alignment textRotation="0" horizontal="general" vertical="center" indent="0" wrapText="1"/>
    </xf>
    <xf numFmtId="164" fontId="81" fillId="0" borderId="0" xfId="0" applyFont="1" applyNumberFormat="1" applyAlignment="1">
      <alignment textRotation="0" horizontal="general" vertical="center" indent="0" wrapText="1"/>
    </xf>
    <xf numFmtId="164" fontId="129" fillId="0" borderId="95" xfId="0" applyFont="1" applyNumberFormat="1" applyBorder="1" applyAlignment="1">
      <alignment textRotation="0" horizontal="center" vertical="center" indent="0"/>
    </xf>
    <xf numFmtId="164" fontId="129" fillId="5" borderId="95" xfId="0" applyFont="1" applyNumberFormat="1" applyFill="1" applyBorder="1" applyAlignment="1">
      <alignment textRotation="0" horizontal="center" vertical="center" indent="0"/>
    </xf>
    <xf numFmtId="164" fontId="129" fillId="5" borderId="95" xfId="0" applyFont="1" applyNumberFormat="1" applyFill="1" applyBorder="1" applyAlignment="1">
      <alignment textRotation="0" horizontal="center" vertical="center" indent="0" wrapText="1"/>
    </xf>
    <xf numFmtId="164" fontId="139" fillId="0" borderId="0" xfId="0" applyFont="1" applyNumberFormat="1" applyAlignment="1">
      <alignment textRotation="0" horizontal="general" vertical="bottom" indent="0"/>
    </xf>
    <xf numFmtId="164" fontId="10" fillId="0" borderId="95" xfId="0" applyFont="1" applyNumberFormat="1" applyBorder="1" applyAlignment="1">
      <alignment textRotation="0" horizontal="general" vertical="center" indent="0"/>
    </xf>
    <xf numFmtId="168" fontId="10" fillId="0" borderId="95" xfId="0" applyFont="1" applyNumberFormat="1" applyBorder="1" applyAlignment="1">
      <alignment textRotation="0" horizontal="right" vertical="center" indent="0"/>
    </xf>
    <xf numFmtId="164" fontId="137" fillId="5" borderId="96" xfId="0" applyFont="1" applyNumberFormat="1" applyFill="1" applyBorder="1" applyAlignment="1">
      <alignment textRotation="0" horizontal="center" vertical="center" indent="0" wrapText="1"/>
    </xf>
    <xf numFmtId="164" fontId="140" fillId="5" borderId="97" xfId="0" applyFont="1" applyNumberFormat="1" applyFill="1" applyBorder="1" applyAlignment="1">
      <alignment textRotation="0" horizontal="center" vertical="center" indent="0" wrapText="1"/>
    </xf>
    <xf numFmtId="164" fontId="10" fillId="0" borderId="95" xfId="0" applyFont="1" applyNumberFormat="1" applyBorder="1" applyAlignment="1">
      <alignment textRotation="0" horizontal="right" vertical="center" indent="0"/>
    </xf>
    <xf numFmtId="164" fontId="10" fillId="0" borderId="0" xfId="0" applyFont="1" applyNumberFormat="1" applyAlignment="1">
      <alignment textRotation="0" horizontal="general" vertical="bottom" indent="0"/>
    </xf>
    <xf numFmtId="164" fontId="141" fillId="0" borderId="0" xfId="0" applyFont="1" applyNumberFormat="1" applyAlignment="1">
      <alignment textRotation="0" horizontal="center" vertical="center" indent="0" wrapText="1"/>
    </xf>
    <xf numFmtId="164" fontId="10" fillId="0" borderId="0" xfId="0" applyFont="1" applyNumberFormat="1" applyAlignment="1">
      <alignment textRotation="0" horizontal="general" vertical="center" indent="0" wrapText="1"/>
    </xf>
    <xf numFmtId="164" fontId="10" fillId="0" borderId="0" xfId="0" applyFont="1" applyNumberFormat="1" applyAlignment="1">
      <alignment textRotation="0" horizontal="center" vertical="center" indent="0" wrapText="1"/>
    </xf>
    <xf numFmtId="164" fontId="10" fillId="7" borderId="98" xfId="0" applyFont="1" applyNumberFormat="1" applyFill="1" applyBorder="1" applyAlignment="1">
      <alignment textRotation="0" horizontal="general" vertical="center" indent="0"/>
    </xf>
    <xf numFmtId="164" fontId="140" fillId="5" borderId="0" xfId="0" applyFont="1" applyNumberFormat="1" applyFill="1" applyAlignment="1">
      <alignment textRotation="0" horizontal="center" vertical="center" indent="0" wrapText="1"/>
    </xf>
    <xf numFmtId="164" fontId="137" fillId="5" borderId="99" xfId="0" applyFont="1" applyNumberFormat="1" applyFill="1" applyBorder="1" applyAlignment="1">
      <alignment textRotation="0" horizontal="center" vertical="center" indent="0" wrapText="1"/>
    </xf>
    <xf numFmtId="164" fontId="140" fillId="5" borderId="100" xfId="0" applyFont="1" applyNumberFormat="1" applyFill="1" applyBorder="1" applyAlignment="1">
      <alignment textRotation="0" horizontal="center" vertical="center" indent="0" wrapText="1"/>
    </xf>
    <xf numFmtId="164" fontId="137" fillId="5" borderId="95" xfId="0" applyFont="1" applyNumberFormat="1" applyFill="1" applyBorder="1" applyAlignment="1">
      <alignment textRotation="0" horizontal="center" vertical="center" indent="0" wrapText="1"/>
    </xf>
    <xf numFmtId="164" fontId="140" fillId="5" borderId="95" xfId="0" applyFont="1" applyNumberFormat="1" applyFill="1" applyBorder="1" applyAlignment="1">
      <alignment textRotation="0" horizontal="center" vertical="center" indent="0" wrapText="1"/>
    </xf>
    <xf numFmtId="164" fontId="10" fillId="0" borderId="0" xfId="0" applyFont="1" applyNumberFormat="1" applyAlignment="1">
      <alignment textRotation="0" horizontal="general" vertical="center" indent="0"/>
    </xf>
    <xf numFmtId="164" fontId="7" fillId="0" borderId="95" xfId="0" applyFont="1" applyNumberFormat="1" applyBorder="1" applyAlignment="1">
      <alignment textRotation="0" horizontal="general" vertical="bottom" indent="0"/>
    </xf>
    <xf numFmtId="164" fontId="10" fillId="0" borderId="0" xfId="0" applyFont="1" applyNumberFormat="1" applyAlignment="1">
      <alignment textRotation="0" horizontal="right" vertical="center" indent="0"/>
    </xf>
    <xf numFmtId="164" fontId="9" fillId="0" borderId="101" xfId="0" applyFont="1" applyNumberFormat="1" applyBorder="1" applyAlignment="1">
      <alignment textRotation="0" horizontal="left" vertical="center" indent="0" wrapText="1"/>
    </xf>
    <xf numFmtId="164" fontId="9" fillId="6" borderId="101" xfId="0" applyFont="1" applyNumberFormat="1" applyFill="1" applyBorder="1" applyAlignment="1">
      <alignment textRotation="0" horizontal="center" vertical="center" indent="0" wrapText="1"/>
    </xf>
    <xf numFmtId="164" fontId="9" fillId="6" borderId="102" xfId="0" applyFont="1" applyNumberFormat="1" applyFill="1" applyBorder="1" applyAlignment="1">
      <alignment textRotation="0" horizontal="center" vertical="center" indent="0" wrapText="1"/>
    </xf>
    <xf numFmtId="164" fontId="7" fillId="0" borderId="103" xfId="0" applyFont="1" applyNumberFormat="1" applyBorder="1" applyAlignment="1">
      <alignment textRotation="0" horizontal="left" vertical="center" indent="0" wrapText="1"/>
    </xf>
    <xf numFmtId="164" fontId="7" fillId="10" borderId="103" xfId="0" applyFont="1" applyNumberFormat="1" applyFill="1" applyBorder="1" applyAlignment="1">
      <alignment textRotation="0" horizontal="center" vertical="center" indent="0" wrapText="1"/>
    </xf>
    <xf numFmtId="164" fontId="142" fillId="0" borderId="103" xfId="0" applyFont="1" applyNumberFormat="1" applyBorder="1" applyAlignment="1">
      <alignment textRotation="0" horizontal="general" vertical="bottom" indent="0" wrapText="1"/>
    </xf>
    <xf numFmtId="164" fontId="142" fillId="6" borderId="103" xfId="0" applyFont="1" applyNumberFormat="1" applyFill="1" applyBorder="1" applyAlignment="1">
      <alignment textRotation="0" horizontal="general" vertical="bottom" indent="0"/>
    </xf>
    <xf numFmtId="166" fontId="7" fillId="0" borderId="0" xfId="0" applyFont="1" applyNumberFormat="1" applyAlignment="1">
      <alignment textRotation="0" horizontal="center" vertical="center" indent="0" wrapText="1"/>
    </xf>
    <xf numFmtId="164" fontId="33" fillId="0" borderId="0" xfId="0" applyFont="1" applyNumberFormat="1" applyAlignment="1">
      <alignment textRotation="0" horizontal="center" vertical="center" indent="0"/>
    </xf>
    <xf numFmtId="164" fontId="7" fillId="5" borderId="0" xfId="0" applyFont="1" applyNumberFormat="1" applyFill="1" applyAlignment="1">
      <alignment textRotation="0" horizontal="general" vertical="bottom" indent="0"/>
    </xf>
    <xf numFmtId="164" fontId="2" fillId="0" borderId="0" xfId="0" applyFont="1" applyNumberFormat="1" applyAlignment="1">
      <alignment textRotation="0" horizontal="general" vertical="center" indent="0"/>
    </xf>
    <xf numFmtId="164" fontId="143" fillId="17" borderId="104" xfId="0" applyFont="1" applyNumberFormat="1" applyFill="1" applyBorder="1" applyAlignment="1">
      <alignment textRotation="0" horizontal="left" vertical="center" indent="0"/>
    </xf>
    <xf numFmtId="164" fontId="143" fillId="17" borderId="105" xfId="0" applyFont="1" applyNumberFormat="1" applyFill="1" applyBorder="1" applyAlignment="1">
      <alignment textRotation="0" horizontal="left" vertical="center" indent="0"/>
    </xf>
    <xf numFmtId="164" fontId="144" fillId="17" borderId="106" xfId="0" applyFont="1" applyNumberFormat="1" applyFill="1" applyBorder="1" applyAlignment="1">
      <alignment textRotation="0" horizontal="left" vertical="center" indent="0"/>
    </xf>
    <xf numFmtId="164" fontId="2" fillId="0" borderId="1" xfId="0" applyFont="1" applyNumberFormat="1" applyBorder="1" applyAlignment="1">
      <alignment textRotation="0" horizontal="general" vertical="center" indent="0" wrapText="1"/>
    </xf>
    <xf numFmtId="164" fontId="145" fillId="19" borderId="107" xfId="0" applyFont="1" applyNumberFormat="1" applyFill="1" applyBorder="1" applyAlignment="1">
      <alignment textRotation="0" horizontal="left" vertical="center" indent="0"/>
    </xf>
    <xf numFmtId="164" fontId="82" fillId="20" borderId="108" xfId="0" applyFont="1" applyNumberFormat="1" applyFill="1" applyBorder="1" applyAlignment="1">
      <alignment textRotation="0" horizontal="left" vertical="center" indent="0"/>
    </xf>
    <xf numFmtId="164" fontId="82" fillId="0" borderId="108" xfId="0" applyFont="1" applyNumberFormat="1" applyBorder="1" applyAlignment="1">
      <alignment textRotation="0" horizontal="left" vertical="center" indent="0"/>
    </xf>
    <xf numFmtId="164" fontId="145" fillId="19" borderId="109" xfId="0" applyFont="1" applyNumberFormat="1" applyFill="1" applyBorder="1" applyAlignment="1">
      <alignment textRotation="0" horizontal="left" vertical="center" indent="0"/>
    </xf>
    <xf numFmtId="164" fontId="145" fillId="19" borderId="110" xfId="0" applyFont="1" applyNumberFormat="1" applyFill="1" applyBorder="1" applyAlignment="1">
      <alignment textRotation="0" horizontal="left" vertical="center" indent="0"/>
    </xf>
    <xf numFmtId="164" fontId="146" fillId="0" borderId="0" xfId="0" applyFont="1" applyNumberFormat="1" applyAlignment="1">
      <alignment textRotation="0" horizontal="general" vertical="bottom" indent="0"/>
    </xf>
    <xf numFmtId="164" fontId="129" fillId="5" borderId="0" xfId="0" applyFont="1" applyNumberFormat="1" applyFill="1" applyAlignment="1">
      <alignment textRotation="0" horizontal="center" vertical="center" indent="0" wrapText="1"/>
    </xf>
    <xf numFmtId="164" fontId="123" fillId="0" borderId="0" xfId="0" applyFont="1" applyNumberFormat="1" applyAlignment="1">
      <alignment textRotation="0" horizontal="general" vertical="bottom" indent="0"/>
    </xf>
    <xf numFmtId="164" fontId="122" fillId="0" borderId="0" xfId="0" applyFont="1" applyNumberFormat="1" applyAlignment="1">
      <alignment textRotation="0" horizontal="general" vertical="bottom" indent="0"/>
    </xf>
    <xf numFmtId="170" fontId="7" fillId="0" borderId="0" xfId="0" applyFont="1" applyNumberFormat="1" applyAlignment="1">
      <alignment textRotation="0" horizontal="center" vertical="bottom" indent="0"/>
    </xf>
    <xf numFmtId="172" fontId="7" fillId="0" borderId="0" xfId="0" applyFont="1" applyNumberFormat="1" applyAlignment="1">
      <alignment textRotation="0" horizontal="center" vertical="bottom" indent="0"/>
    </xf>
    <xf numFmtId="166" fontId="7" fillId="0" borderId="0" xfId="0" applyFont="1" applyNumberFormat="1" applyAlignment="1">
      <alignment textRotation="0" horizontal="left" vertical="center" indent="0"/>
    </xf>
    <xf numFmtId="164" fontId="7" fillId="0" borderId="0" xfId="0" applyFont="1" applyNumberFormat="1" applyAlignment="1">
      <alignment textRotation="0" horizontal="left" vertical="center" indent="0"/>
    </xf>
    <xf numFmtId="170" fontId="7" fillId="0" borderId="0" xfId="0" applyFont="1" applyNumberFormat="1" applyAlignment="1">
      <alignment textRotation="0" horizontal="center" vertical="center" indent="0"/>
    </xf>
    <xf numFmtId="166" fontId="7" fillId="0" borderId="0" xfId="0" applyFont="1" applyNumberFormat="1" applyAlignment="1">
      <alignment textRotation="0" horizontal="general" vertical="bottom" indent="0"/>
    </xf>
    <xf numFmtId="166" fontId="7" fillId="0" borderId="0" xfId="0" applyFont="1" applyNumberFormat="1" applyAlignment="1">
      <alignment textRotation="0" horizontal="left" vertical="bottom" indent="0"/>
    </xf>
    <xf numFmtId="166" fontId="126" fillId="0" borderId="0" xfId="0" applyFont="1" applyNumberFormat="1" applyAlignment="1">
      <alignment textRotation="0" horizontal="general" vertical="bottom" indent="0"/>
    </xf>
    <xf numFmtId="164" fontId="126" fillId="0" borderId="0" xfId="0" applyFont="1" applyNumberFormat="1" applyAlignment="1">
      <alignment textRotation="0" horizontal="left" vertical="center" indent="0"/>
    </xf>
    <xf numFmtId="166" fontId="7" fillId="0" borderId="0" xfId="0" applyFont="1" applyNumberFormat="1" applyAlignment="1">
      <alignment textRotation="0" horizontal="general" vertical="center" indent="0"/>
    </xf>
    <xf numFmtId="170" fontId="7" fillId="0" borderId="0" xfId="0" applyFont="1" applyNumberFormat="1" applyAlignment="1">
      <alignment textRotation="0" horizontal="center" vertical="center" indent="0" wrapText="1"/>
    </xf>
    <xf numFmtId="172" fontId="7" fillId="0" borderId="0" xfId="0" applyFont="1" applyNumberFormat="1" applyAlignment="1">
      <alignment textRotation="0" horizontal="center" vertical="center" indent="0"/>
    </xf>
    <xf numFmtId="164" fontId="7" fillId="15" borderId="0" xfId="0" applyFont="1" applyNumberFormat="1" applyFill="1" applyAlignment="1">
      <alignment textRotation="90" horizontal="center" vertical="center" indent="0"/>
    </xf>
    <xf numFmtId="167" fontId="7" fillId="0" borderId="0" xfId="0" applyFont="1" applyNumberFormat="1" applyAlignment="1">
      <alignment textRotation="0" horizontal="center" vertical="bottom" indent="0"/>
    </xf>
    <xf numFmtId="164" fontId="147" fillId="15" borderId="0" xfId="0" applyFont="1" applyNumberFormat="1" applyFill="1" applyAlignment="1">
      <alignment textRotation="0" horizontal="general" vertical="center" indent="0" wrapText="1"/>
    </xf>
    <xf numFmtId="164" fontId="147" fillId="15" borderId="0" xfId="0" applyFont="1" applyNumberFormat="1" applyFill="1" applyAlignment="1">
      <alignment textRotation="0" horizontal="left" vertical="center" indent="0" wrapText="1"/>
    </xf>
    <xf numFmtId="164" fontId="7" fillId="0" borderId="22" xfId="0" applyFont="1" applyNumberFormat="1" applyBorder="1" applyAlignment="1">
      <alignment textRotation="0" horizontal="general" vertical="bottom" indent="0"/>
    </xf>
    <xf numFmtId="167" fontId="7" fillId="0" borderId="22" xfId="0" applyFont="1" applyNumberFormat="1" applyBorder="1" applyAlignment="1">
      <alignment textRotation="0" horizontal="center" vertical="bottom" indent="0"/>
    </xf>
    <xf numFmtId="164" fontId="33" fillId="0" borderId="111" xfId="0" applyFont="1" applyNumberFormat="1" applyBorder="1" applyAlignment="1">
      <alignment textRotation="0" horizontal="general" vertical="bottom" indent="0"/>
    </xf>
    <xf numFmtId="164" fontId="33" fillId="0" borderId="112" xfId="0" applyFont="1" applyNumberFormat="1" applyBorder="1" applyAlignment="1">
      <alignment textRotation="0" horizontal="general" vertical="bottom" indent="0"/>
    </xf>
    <xf numFmtId="164" fontId="7" fillId="0" borderId="112" xfId="0" applyFont="1" applyNumberFormat="1" applyBorder="1" applyAlignment="1">
      <alignment textRotation="0" horizontal="general" vertical="bottom" indent="0"/>
    </xf>
    <xf numFmtId="164" fontId="7" fillId="0" borderId="111" xfId="0" applyFont="1" applyNumberFormat="1" applyBorder="1" applyAlignment="1">
      <alignment textRotation="0" horizontal="general" vertical="bottom" indent="0"/>
    </xf>
    <xf numFmtId="164" fontId="7" fillId="0" borderId="88" xfId="0" applyFont="1" applyNumberFormat="1" applyBorder="1" applyAlignment="1">
      <alignment textRotation="0" horizontal="general" vertical="bottom" indent="0"/>
    </xf>
    <xf numFmtId="164" fontId="7" fillId="0" borderId="113" xfId="0" applyFont="1" applyNumberFormat="1" applyBorder="1" applyAlignment="1">
      <alignment textRotation="0" horizontal="center" vertical="center" indent="0"/>
    </xf>
    <xf numFmtId="164" fontId="7" fillId="0" borderId="114" xfId="0" applyFont="1" applyNumberFormat="1" applyBorder="1" applyAlignment="1">
      <alignment textRotation="0" horizontal="general" vertical="bottom" indent="0"/>
    </xf>
    <xf numFmtId="164" fontId="7" fillId="0" borderId="115" xfId="0" applyFont="1" applyNumberFormat="1" applyBorder="1" applyAlignment="1">
      <alignment textRotation="0" horizontal="general" vertical="bottom" indent="0"/>
    </xf>
    <xf numFmtId="164" fontId="7" fillId="0" borderId="116" xfId="0" applyFont="1" applyNumberFormat="1" applyBorder="1" applyAlignment="1">
      <alignment textRotation="0" horizontal="general" vertical="bottom" indent="0"/>
    </xf>
    <xf numFmtId="164" fontId="7" fillId="0" borderId="18" xfId="0" applyFont="1" applyNumberFormat="1" applyBorder="1" applyAlignment="1">
      <alignment textRotation="0" horizontal="general" vertical="bottom" indent="0"/>
    </xf>
    <xf numFmtId="164" fontId="7" fillId="0" borderId="117" xfId="0" applyFont="1" applyNumberFormat="1" applyBorder="1" applyAlignment="1">
      <alignment textRotation="0" horizontal="general" vertical="bottom" indent="0"/>
    </xf>
    <xf numFmtId="164" fontId="7" fillId="0" borderId="18" xfId="0" applyFont="1" applyNumberFormat="1" applyBorder="1" applyAlignment="1">
      <alignment textRotation="0" horizontal="left" vertical="bottom" indent="0"/>
    </xf>
    <xf numFmtId="164" fontId="7" fillId="15" borderId="0" xfId="0" applyFont="1" applyNumberFormat="1" applyFill="1" applyAlignment="1">
      <alignment textRotation="0" horizontal="left" vertical="center" indent="0" wrapText="1"/>
    </xf>
    <xf numFmtId="164" fontId="7" fillId="15" borderId="0" xfId="0" applyFont="1" applyNumberFormat="1" applyFill="1" applyAlignment="1">
      <alignment textRotation="90" horizontal="center" vertical="center" indent="0" wrapText="1"/>
    </xf>
    <xf numFmtId="164" fontId="7" fillId="0" borderId="118" xfId="0" applyFont="1" applyNumberFormat="1" applyBorder="1" applyAlignment="1">
      <alignment textRotation="0" horizontal="general" vertical="bottom" indent="0"/>
    </xf>
    <xf numFmtId="164" fontId="7" fillId="0" borderId="119" xfId="0" applyFont="1" applyNumberFormat="1" applyBorder="1" applyAlignment="1">
      <alignment textRotation="0" horizontal="general" vertical="bottom" indent="0"/>
    </xf>
    <xf numFmtId="164" fontId="7" fillId="0" borderId="120" xfId="0" applyFont="1" applyNumberFormat="1" applyBorder="1" applyAlignment="1">
      <alignment textRotation="0" horizontal="general" vertical="bottom" indent="0"/>
    </xf>
    <xf numFmtId="164" fontId="7" fillId="0" borderId="111" xfId="0" applyFont="1" applyNumberFormat="1" applyBorder="1" applyAlignment="1">
      <alignment textRotation="0" horizontal="center" vertical="center" indent="0"/>
    </xf>
    <xf numFmtId="164" fontId="7" fillId="0" borderId="114" xfId="0" applyFont="1" applyNumberFormat="1" applyBorder="1" applyAlignment="1">
      <alignment textRotation="0" horizontal="left" vertical="bottom" indent="0"/>
    </xf>
    <xf numFmtId="164" fontId="7" fillId="0" borderId="121" xfId="0" applyFont="1" applyNumberFormat="1" applyBorder="1" applyAlignment="1">
      <alignment textRotation="0" horizontal="center" vertical="center" indent="0"/>
    </xf>
    <xf numFmtId="164" fontId="7" fillId="15" borderId="0" xfId="0" applyFont="1" applyNumberFormat="1" applyFill="1" applyAlignment="1">
      <alignment textRotation="0" horizontal="general" vertical="center" indent="0" wrapText="1"/>
    </xf>
    <xf numFmtId="164" fontId="7" fillId="0" borderId="22" xfId="0" applyFont="1" applyNumberFormat="1" applyBorder="1" applyAlignment="1">
      <alignment textRotation="90" horizontal="center" vertical="center" indent="0" wrapText="1"/>
    </xf>
    <xf numFmtId="164" fontId="7" fillId="0" borderId="22" xfId="0" applyFont="1" applyNumberFormat="1" applyBorder="1" applyAlignment="1">
      <alignment textRotation="0" horizontal="left" vertical="center" indent="0" wrapText="1"/>
    </xf>
    <xf numFmtId="167" fontId="7" fillId="0" borderId="22" xfId="0" applyFont="1" applyNumberFormat="1" applyBorder="1" applyAlignment="1">
      <alignment textRotation="0" horizontal="center" vertical="center" indent="0"/>
    </xf>
    <xf numFmtId="164" fontId="7" fillId="15" borderId="0" xfId="0" applyFont="1" applyNumberFormat="1" applyFill="1" applyAlignment="1">
      <alignment textRotation="0" horizontal="left" vertical="center" indent="0"/>
    </xf>
    <xf numFmtId="164" fontId="7" fillId="0" borderId="0" xfId="0" applyFont="1" applyNumberFormat="1" applyAlignment="1">
      <alignment textRotation="90" horizontal="center" vertical="center" indent="0" wrapText="1"/>
    </xf>
    <xf numFmtId="164" fontId="7" fillId="0" borderId="0" xfId="0" applyFont="1" applyNumberFormat="1" applyAlignment="1">
      <alignment textRotation="90" horizontal="center" vertical="center" indent="0"/>
    </xf>
    <xf numFmtId="166" fontId="7" fillId="0" borderId="0" xfId="0" applyFont="1" applyNumberFormat="1" applyAlignment="1">
      <alignment textRotation="0" horizontal="center" vertical="center" indent="0"/>
    </xf>
    <xf numFmtId="164" fontId="126" fillId="15" borderId="0" xfId="0" applyFont="1" applyNumberFormat="1" applyFill="1" applyAlignment="1">
      <alignment textRotation="0" horizontal="general" vertical="bottom" indent="0"/>
    </xf>
    <xf numFmtId="164" fontId="147" fillId="15" borderId="0" xfId="0" applyFont="1" applyNumberFormat="1" applyFill="1" applyAlignment="1">
      <alignment textRotation="0" horizontal="general" vertical="bottom" indent="0"/>
    </xf>
    <xf numFmtId="174" fontId="7" fillId="21" borderId="0" xfId="0" applyFont="1" applyNumberFormat="1" applyFill="1" applyAlignment="1">
      <alignment textRotation="0" horizontal="center" vertical="bottom" indent="0"/>
    </xf>
    <xf numFmtId="164" fontId="126" fillId="0" borderId="0" xfId="0" applyFont="1" applyNumberFormat="1" applyAlignment="1">
      <alignment textRotation="0" horizontal="general" vertical="bottom" indent="0"/>
    </xf>
    <xf numFmtId="164" fontId="147" fillId="0" borderId="0" xfId="0" applyFont="1" applyNumberFormat="1" applyAlignment="1">
      <alignment textRotation="0" horizontal="general" vertical="bottom" indent="0"/>
    </xf>
    <xf numFmtId="167" fontId="7" fillId="0" borderId="0" xfId="0" applyFont="1" applyNumberFormat="1" applyAlignment="1">
      <alignment textRotation="0" horizontal="center" vertical="center" indent="0" wrapText="1"/>
    </xf>
    <xf numFmtId="164" fontId="78" fillId="10" borderId="122" xfId="0" applyFont="1" applyNumberFormat="1" applyFill="1" applyBorder="1" applyAlignment="1">
      <alignment textRotation="0" horizontal="general" vertical="center" indent="0" wrapText="1"/>
    </xf>
    <xf numFmtId="164" fontId="54" fillId="10" borderId="0" xfId="0" applyFont="1" applyNumberFormat="1" applyFill="1" applyAlignment="1">
      <alignment textRotation="0" horizontal="center" vertical="center" indent="0" wrapText="1"/>
    </xf>
    <xf numFmtId="164" fontId="54" fillId="22" borderId="0" xfId="0" applyFont="1" applyNumberFormat="1" applyFill="1" applyAlignment="1">
      <alignment textRotation="0" horizontal="center" vertical="center" indent="0" wrapText="1"/>
    </xf>
    <xf numFmtId="164" fontId="45" fillId="22" borderId="92" xfId="0" applyFont="1" applyNumberFormat="1" applyFill="1" applyBorder="1" applyAlignment="1">
      <alignment textRotation="0" horizontal="center" vertical="center" indent="0" wrapText="1"/>
    </xf>
    <xf numFmtId="174" fontId="45" fillId="22" borderId="0" xfId="0" applyFont="1" applyNumberFormat="1" applyFill="1" applyAlignment="1">
      <alignment textRotation="0" horizontal="center" vertical="center" indent="0" wrapText="1"/>
    </xf>
    <xf numFmtId="164" fontId="78" fillId="22" borderId="0" xfId="0" applyFont="1" applyNumberFormat="1" applyFill="1" applyAlignment="1">
      <alignment textRotation="0" horizontal="center" vertical="center" indent="0" wrapText="1"/>
    </xf>
    <xf numFmtId="164" fontId="78" fillId="23" borderId="65" xfId="0" applyFont="1" applyNumberFormat="1" applyFill="1" applyBorder="1" applyAlignment="1">
      <alignment textRotation="0" horizontal="center" vertical="center" indent="0" wrapText="1"/>
    </xf>
    <xf numFmtId="164" fontId="78" fillId="23" borderId="0" xfId="0" applyFont="1" applyNumberFormat="1" applyFill="1" applyAlignment="1">
      <alignment textRotation="0" horizontal="center" vertical="center" indent="0" wrapText="1"/>
    </xf>
    <xf numFmtId="174" fontId="78" fillId="22" borderId="0" xfId="0" applyFont="1" applyNumberFormat="1" applyFill="1" applyAlignment="1">
      <alignment textRotation="0" horizontal="center" vertical="center" indent="0" wrapText="1"/>
    </xf>
    <xf numFmtId="164" fontId="78" fillId="22" borderId="11" xfId="0" applyFont="1" applyNumberFormat="1" applyFill="1" applyBorder="1" applyAlignment="1">
      <alignment textRotation="0" horizontal="center" vertical="center" indent="0" wrapText="1"/>
    </xf>
    <xf numFmtId="164" fontId="83" fillId="22" borderId="11" xfId="0" applyFont="1" applyNumberFormat="1" applyFill="1" applyBorder="1" applyAlignment="1">
      <alignment textRotation="0" horizontal="center" vertical="center" indent="0" wrapText="1"/>
    </xf>
    <xf numFmtId="164" fontId="83" fillId="22" borderId="31" xfId="0" applyFont="1" applyNumberFormat="1" applyFill="1" applyBorder="1" applyAlignment="1">
      <alignment textRotation="0" horizontal="center" vertical="center" indent="0" wrapText="1"/>
    </xf>
    <xf numFmtId="164" fontId="78" fillId="23" borderId="18" xfId="0" applyFont="1" applyNumberFormat="1" applyFill="1" applyBorder="1" applyAlignment="1">
      <alignment textRotation="0" horizontal="center" vertical="center" indent="0" wrapText="1"/>
    </xf>
    <xf numFmtId="164" fontId="54" fillId="24" borderId="0" xfId="0" applyFont="1" applyNumberFormat="1" applyFill="1" applyAlignment="1">
      <alignment textRotation="0" horizontal="center" vertical="center" indent="0" wrapText="1"/>
    </xf>
    <xf numFmtId="164" fontId="78" fillId="24" borderId="92" xfId="0" applyFont="1" applyNumberFormat="1" applyFill="1" applyBorder="1" applyAlignment="1">
      <alignment textRotation="0" horizontal="center" vertical="center" indent="0" wrapText="1"/>
    </xf>
    <xf numFmtId="167" fontId="78" fillId="22" borderId="0" xfId="0" applyFont="1" applyNumberFormat="1" applyFill="1" applyAlignment="1">
      <alignment textRotation="0" horizontal="center" vertical="center" indent="0" wrapText="1"/>
    </xf>
    <xf numFmtId="164" fontId="78" fillId="24" borderId="0" xfId="0" applyFont="1" applyNumberFormat="1" applyFill="1" applyAlignment="1">
      <alignment textRotation="0" horizontal="center" vertical="center" indent="0" wrapText="1"/>
    </xf>
    <xf numFmtId="164" fontId="78" fillId="24" borderId="11" xfId="0" applyFont="1" applyNumberFormat="1" applyFill="1" applyBorder="1" applyAlignment="1">
      <alignment textRotation="0" horizontal="center" vertical="center" indent="0" wrapText="1"/>
    </xf>
    <xf numFmtId="164" fontId="43" fillId="6" borderId="0" xfId="0" applyFont="1" applyNumberFormat="1" applyFill="1" applyAlignment="1">
      <alignment textRotation="0" horizontal="general" vertical="center" indent="0" wrapText="1"/>
    </xf>
    <xf numFmtId="164" fontId="3" fillId="5" borderId="0" xfId="0" applyFont="1" applyNumberFormat="1" applyFill="1" applyAlignment="1">
      <alignment textRotation="0" horizontal="center" vertical="center" indent="0" wrapText="1"/>
    </xf>
    <xf numFmtId="164" fontId="78" fillId="24" borderId="31" xfId="0" applyFont="1" applyNumberFormat="1" applyFill="1" applyBorder="1" applyAlignment="1">
      <alignment textRotation="0" horizontal="center" vertical="center" indent="0" wrapText="1"/>
    </xf>
    <xf numFmtId="164" fontId="78" fillId="23" borderId="22" xfId="0" applyFont="1" applyNumberFormat="1" applyFill="1" applyBorder="1" applyAlignment="1">
      <alignment textRotation="0" horizontal="center" vertical="center" indent="0" wrapText="1"/>
    </xf>
    <xf numFmtId="164" fontId="54" fillId="25" borderId="66" xfId="0" applyFont="1" applyNumberFormat="1" applyFill="1" applyBorder="1" applyAlignment="1">
      <alignment textRotation="0" horizontal="center" vertical="center" indent="0" wrapText="1"/>
    </xf>
    <xf numFmtId="164" fontId="78" fillId="25" borderId="92" xfId="0" applyFont="1" applyNumberFormat="1" applyFill="1" applyBorder="1" applyAlignment="1">
      <alignment textRotation="0" horizontal="center" vertical="center" indent="0" wrapText="1"/>
    </xf>
    <xf numFmtId="164" fontId="78" fillId="25" borderId="0" xfId="0" applyFont="1" applyNumberFormat="1" applyFill="1" applyAlignment="1">
      <alignment textRotation="0" horizontal="center" vertical="center" indent="0" wrapText="1"/>
    </xf>
    <xf numFmtId="164" fontId="43" fillId="6" borderId="2" xfId="0" applyFont="1" applyNumberFormat="1" applyFill="1" applyBorder="1" applyAlignment="1">
      <alignment textRotation="0" horizontal="general" vertical="center" indent="0" wrapText="1"/>
    </xf>
    <xf numFmtId="164" fontId="78" fillId="25" borderId="11" xfId="0" applyFont="1" applyNumberFormat="1" applyFill="1" applyBorder="1" applyAlignment="1">
      <alignment textRotation="0" horizontal="center" vertical="center" indent="0" wrapText="1"/>
    </xf>
    <xf numFmtId="164" fontId="83" fillId="25" borderId="0" xfId="0" applyFont="1" applyNumberFormat="1" applyFill="1" applyAlignment="1">
      <alignment textRotation="0" horizontal="center" vertical="center" indent="0" wrapText="1"/>
    </xf>
    <xf numFmtId="174" fontId="54" fillId="10" borderId="0" xfId="0" applyFont="1" applyNumberFormat="1" applyFill="1" applyAlignment="1">
      <alignment textRotation="0" horizontal="center" vertical="center" indent="0" wrapText="1"/>
    </xf>
    <xf numFmtId="164" fontId="54" fillId="26" borderId="0" xfId="0" applyFont="1" applyNumberFormat="1" applyFill="1" applyAlignment="1">
      <alignment textRotation="0" horizontal="center" vertical="center" indent="0" wrapText="1"/>
    </xf>
    <xf numFmtId="164" fontId="78" fillId="26" borderId="0" xfId="0" applyFont="1" applyNumberFormat="1" applyFill="1" applyAlignment="1">
      <alignment textRotation="0" horizontal="center" vertical="center" indent="0" wrapText="1"/>
    </xf>
    <xf numFmtId="164" fontId="78" fillId="23" borderId="58" xfId="0" applyFont="1" applyNumberFormat="1" applyFill="1" applyBorder="1" applyAlignment="1">
      <alignment textRotation="0" horizontal="center" vertical="center" indent="0" wrapText="1"/>
    </xf>
    <xf numFmtId="164" fontId="45" fillId="23" borderId="58" xfId="0" applyFont="1" applyNumberFormat="1" applyFill="1" applyBorder="1" applyAlignment="1">
      <alignment textRotation="0" horizontal="center" vertical="center" indent="0" wrapText="1"/>
    </xf>
    <xf numFmtId="164" fontId="45" fillId="26" borderId="0" xfId="0" applyFont="1" applyNumberFormat="1" applyFill="1" applyAlignment="1">
      <alignment textRotation="0" horizontal="center" vertical="center" indent="0" wrapText="1"/>
    </xf>
    <xf numFmtId="164" fontId="78" fillId="6" borderId="0" xfId="0" applyFont="1" applyNumberFormat="1" applyFill="1" applyAlignment="1">
      <alignment textRotation="0" horizontal="center" vertical="center" indent="0" wrapText="1"/>
    </xf>
    <xf numFmtId="164" fontId="78" fillId="23" borderId="66" xfId="0" applyFont="1" applyNumberFormat="1" applyFill="1" applyBorder="1" applyAlignment="1">
      <alignment textRotation="0" horizontal="center" vertical="center" indent="0" wrapText="1"/>
    </xf>
    <xf numFmtId="174" fontId="54" fillId="10" borderId="1" xfId="0" applyFont="1" applyNumberFormat="1" applyFill="1" applyBorder="1" applyAlignment="1">
      <alignment textRotation="0" horizontal="center" vertical="center" indent="0" wrapText="1"/>
    </xf>
    <xf numFmtId="164" fontId="148" fillId="8" borderId="0" xfId="0" applyFont="1" applyNumberFormat="1" applyFill="1" applyAlignment="1">
      <alignment textRotation="0" horizontal="center" vertical="center" indent="0" wrapText="1"/>
    </xf>
    <xf numFmtId="164" fontId="149" fillId="0" borderId="0" xfId="0" applyFont="1" applyNumberFormat="1" applyAlignment="1">
      <alignment textRotation="90" horizontal="general" vertical="center" indent="0" wrapText="1"/>
    </xf>
    <xf numFmtId="164" fontId="149" fillId="0" borderId="0" xfId="0" applyFont="1" applyNumberFormat="1" applyAlignment="1">
      <alignment textRotation="0" horizontal="general" vertical="center" indent="0" wrapText="1"/>
    </xf>
    <xf numFmtId="164" fontId="31" fillId="2" borderId="0" xfId="0" applyFont="1" applyNumberFormat="1" applyFill="1" applyAlignment="1">
      <alignment textRotation="90" horizontal="center" vertical="center" indent="0" wrapText="1"/>
    </xf>
    <xf numFmtId="164" fontId="82" fillId="27" borderId="0" xfId="0" applyFont="1" applyNumberFormat="1" applyFill="1" applyAlignment="1">
      <alignment textRotation="0" horizontal="left" vertical="bottom" indent="0"/>
    </xf>
    <xf numFmtId="164" fontId="82" fillId="27" borderId="0" xfId="0" applyFont="1" applyNumberFormat="1" applyFill="1" applyAlignment="1">
      <alignment textRotation="0" horizontal="center" vertical="bottom" indent="0"/>
    </xf>
    <xf numFmtId="174" fontId="31" fillId="2" borderId="0" xfId="0" applyFont="1" applyNumberFormat="1" applyFill="1" applyAlignment="1">
      <alignment textRotation="0" horizontal="center" vertical="center" indent="0" wrapText="1"/>
    </xf>
    <xf numFmtId="164" fontId="7" fillId="0" borderId="56" xfId="0" applyFont="1" applyNumberFormat="1" applyBorder="1" applyAlignment="1">
      <alignment textRotation="0" horizontal="general" vertical="bottom" indent="0"/>
    </xf>
    <xf numFmtId="169" fontId="7" fillId="0" borderId="0" xfId="0" applyFont="1" applyNumberFormat="1" applyAlignment="1">
      <alignment textRotation="0" horizontal="center" vertical="center" indent="0" wrapText="1"/>
    </xf>
    <xf numFmtId="164" fontId="7" fillId="0" borderId="13" xfId="0" applyFont="1" applyNumberFormat="1" applyBorder="1" applyAlignment="1">
      <alignment textRotation="0" horizontal="center" vertical="bottom" indent="0" wrapText="1"/>
    </xf>
    <xf numFmtId="164" fontId="7" fillId="0" borderId="4" xfId="0" applyFont="1" applyNumberFormat="1" applyBorder="1" applyAlignment="1">
      <alignment textRotation="0" horizontal="left" vertical="bottom" indent="0" wrapText="1"/>
    </xf>
    <xf numFmtId="174" fontId="7" fillId="0" borderId="5" xfId="0" applyFont="1" applyNumberFormat="1" applyBorder="1" applyAlignment="1">
      <alignment textRotation="0" horizontal="right" vertical="top" indent="0"/>
    </xf>
    <xf numFmtId="174" fontId="7" fillId="0" borderId="0" xfId="0" applyFont="1" applyNumberFormat="1" applyAlignment="1">
      <alignment textRotation="0" horizontal="center" vertical="center" indent="0"/>
    </xf>
    <xf numFmtId="174" fontId="26" fillId="27" borderId="0" xfId="0" applyFont="1" applyNumberFormat="1" applyFill="1" applyAlignment="1">
      <alignment textRotation="0" horizontal="center" vertical="center" indent="0"/>
    </xf>
    <xf numFmtId="164" fontId="7" fillId="0" borderId="18" xfId="0" applyFont="1" applyNumberFormat="1" applyBorder="1" applyAlignment="1">
      <alignment textRotation="0" horizontal="center" vertical="bottom" indent="0"/>
    </xf>
    <xf numFmtId="164" fontId="7" fillId="0" borderId="9" xfId="0" applyFont="1" applyNumberFormat="1" applyBorder="1" applyAlignment="1">
      <alignment textRotation="0" horizontal="general" vertical="bottom" indent="0"/>
    </xf>
    <xf numFmtId="164" fontId="150" fillId="0" borderId="0" xfId="0" applyFont="1" applyNumberFormat="1" applyAlignment="1">
      <alignment textRotation="0" horizontal="left" vertical="bottom" indent="0" wrapText="1"/>
    </xf>
    <xf numFmtId="164" fontId="7" fillId="0" borderId="9" xfId="0" applyFont="1" applyNumberFormat="1" applyBorder="1" applyAlignment="1">
      <alignment textRotation="0" horizontal="left" vertical="bottom" indent="0" wrapText="1"/>
    </xf>
    <xf numFmtId="164" fontId="7" fillId="0" borderId="0" xfId="0" applyFont="1" applyNumberFormat="1" applyAlignment="1">
      <alignment textRotation="0" horizontal="left" vertical="bottom" indent="0" wrapText="1"/>
    </xf>
    <xf numFmtId="174" fontId="7" fillId="0" borderId="0" xfId="0" applyFont="1" applyNumberFormat="1" applyAlignment="1">
      <alignment textRotation="0" horizontal="general" vertical="top" indent="0" wrapText="1"/>
    </xf>
    <xf numFmtId="169" fontId="7" fillId="0" borderId="0" xfId="0" applyFont="1" applyNumberFormat="1" applyAlignment="1">
      <alignment textRotation="0" horizontal="general" vertical="bottom" indent="0"/>
    </xf>
    <xf numFmtId="164" fontId="7" fillId="0" borderId="18" xfId="0" applyFont="1" applyNumberFormat="1" applyBorder="1" applyAlignment="1">
      <alignment textRotation="0" horizontal="center" vertical="center" indent="0" wrapText="1"/>
    </xf>
    <xf numFmtId="164" fontId="150" fillId="0" borderId="0" xfId="0" applyFont="1" applyNumberFormat="1" applyAlignment="1">
      <alignment textRotation="0" horizontal="general" vertical="bottom" indent="0"/>
    </xf>
    <xf numFmtId="164" fontId="7" fillId="0" borderId="9" xfId="0" applyFont="1" applyNumberFormat="1" applyBorder="1" applyAlignment="1">
      <alignment textRotation="0" horizontal="right" vertical="bottom" indent="0" wrapText="1"/>
    </xf>
    <xf numFmtId="174" fontId="7" fillId="0" borderId="0" xfId="0" applyFont="1" applyNumberFormat="1" applyAlignment="1">
      <alignment textRotation="0" horizontal="right" vertical="center" indent="0"/>
    </xf>
    <xf numFmtId="172" fontId="7" fillId="0" borderId="18" xfId="0" applyFont="1" applyNumberFormat="1" applyBorder="1" applyAlignment="1">
      <alignment textRotation="0" horizontal="center" vertical="center" indent="0"/>
    </xf>
    <xf numFmtId="172" fontId="7" fillId="0" borderId="31" xfId="0" applyFont="1" applyNumberFormat="1" applyBorder="1" applyAlignment="1">
      <alignment textRotation="0" horizontal="center" vertical="center" indent="0"/>
    </xf>
    <xf numFmtId="169" fontId="7" fillId="0" borderId="18" xfId="0" applyFont="1" applyNumberFormat="1" applyBorder="1" applyAlignment="1">
      <alignment textRotation="0" horizontal="general" vertical="center" indent="0"/>
    </xf>
    <xf numFmtId="169" fontId="7" fillId="0" borderId="31" xfId="0" applyFont="1" applyNumberFormat="1" applyBorder="1" applyAlignment="1">
      <alignment textRotation="0" horizontal="general" vertical="center" indent="0"/>
    </xf>
    <xf numFmtId="164" fontId="7" fillId="0" borderId="9" xfId="0" applyFont="1" applyNumberFormat="1" applyBorder="1" applyAlignment="1">
      <alignment textRotation="0" horizontal="right" vertical="bottom" indent="0"/>
    </xf>
    <xf numFmtId="169" fontId="7" fillId="0" borderId="0" xfId="0" applyFont="1" applyNumberFormat="1" applyAlignment="1">
      <alignment textRotation="0" horizontal="center" vertical="center" indent="0"/>
    </xf>
    <xf numFmtId="164" fontId="7" fillId="0" borderId="9" xfId="0" applyFont="1" applyNumberFormat="1" applyBorder="1" applyAlignment="1">
      <alignment textRotation="0" horizontal="left" vertical="bottom" indent="0"/>
    </xf>
    <xf numFmtId="174" fontId="7" fillId="0" borderId="12" xfId="0" applyFont="1" applyNumberFormat="1" applyBorder="1" applyAlignment="1">
      <alignment textRotation="0" horizontal="right" vertical="top" indent="0" wrapText="1"/>
    </xf>
    <xf numFmtId="164" fontId="7" fillId="0" borderId="11" xfId="0" applyFont="1" applyNumberFormat="1" applyBorder="1" applyAlignment="1">
      <alignment textRotation="0" horizontal="left" vertical="bottom" indent="0" wrapText="1"/>
    </xf>
    <xf numFmtId="164" fontId="7" fillId="0" borderId="23" xfId="0" applyFont="1" applyNumberFormat="1" applyBorder="1" applyAlignment="1">
      <alignment textRotation="0" horizontal="left" vertical="bottom" indent="0" wrapText="1"/>
    </xf>
    <xf numFmtId="169" fontId="7" fillId="0" borderId="23" xfId="0" applyFont="1" applyNumberFormat="1" applyBorder="1" applyAlignment="1">
      <alignment textRotation="0" horizontal="right" vertical="bottom" indent="0" wrapText="1"/>
    </xf>
    <xf numFmtId="164" fontId="7" fillId="0" borderId="23" xfId="0" applyFont="1" applyNumberFormat="1" applyBorder="1" applyAlignment="1">
      <alignment textRotation="0" horizontal="general" vertical="bottom" indent="0"/>
    </xf>
    <xf numFmtId="164" fontId="82" fillId="27" borderId="0" xfId="0" applyFont="1" applyNumberFormat="1" applyFill="1" applyAlignment="1">
      <alignment textRotation="0" horizontal="left" vertical="bottom" indent="0" wrapText="1"/>
    </xf>
    <xf numFmtId="164" fontId="82" fillId="27" borderId="59" xfId="0" applyFont="1" applyNumberFormat="1" applyFill="1" applyBorder="1" applyAlignment="1">
      <alignment textRotation="0" horizontal="center" vertical="bottom" indent="0"/>
    </xf>
    <xf numFmtId="174" fontId="7" fillId="0" borderId="0" xfId="0" applyFont="1" applyNumberFormat="1" applyAlignment="1">
      <alignment textRotation="0" horizontal="center" vertical="center" indent="0" wrapText="1"/>
    </xf>
    <xf numFmtId="174" fontId="7" fillId="0" borderId="10" xfId="0" applyFont="1" applyNumberFormat="1" applyBorder="1" applyAlignment="1">
      <alignment textRotation="0" horizontal="right" vertical="top" indent="0"/>
    </xf>
    <xf numFmtId="164" fontId="7" fillId="0" borderId="18" xfId="0" applyFont="1" applyNumberFormat="1" applyBorder="1" applyAlignment="1">
      <alignment textRotation="0" horizontal="center" vertical="center" indent="0"/>
    </xf>
    <xf numFmtId="164" fontId="7" fillId="0" borderId="9" xfId="0" applyFont="1" applyNumberFormat="1" applyBorder="1" applyAlignment="1">
      <alignment textRotation="0" horizontal="general" vertical="bottom" indent="0" wrapText="1"/>
    </xf>
    <xf numFmtId="174" fontId="7" fillId="0" borderId="0" xfId="0" applyFont="1" applyNumberFormat="1" applyAlignment="1">
      <alignment textRotation="0" horizontal="left" vertical="bottom" indent="0"/>
    </xf>
    <xf numFmtId="174" fontId="7" fillId="0" borderId="0" xfId="0" applyFont="1" applyNumberFormat="1" applyAlignment="1">
      <alignment textRotation="0" horizontal="right" vertical="bottom" indent="0" wrapText="1"/>
    </xf>
    <xf numFmtId="169" fontId="7" fillId="0" borderId="18" xfId="0" applyFont="1" applyNumberFormat="1" applyBorder="1" applyAlignment="1">
      <alignment textRotation="0" horizontal="center" vertical="center" indent="0"/>
    </xf>
    <xf numFmtId="169" fontId="7" fillId="0" borderId="14" xfId="0" applyFont="1" applyNumberFormat="1" applyBorder="1" applyAlignment="1">
      <alignment textRotation="0" horizontal="center" vertical="center" indent="0"/>
    </xf>
    <xf numFmtId="164" fontId="7" fillId="0" borderId="0" xfId="0" applyFont="1" applyNumberFormat="1" applyAlignment="1">
      <alignment textRotation="0" horizontal="right" vertical="center" indent="0"/>
    </xf>
    <xf numFmtId="174" fontId="7" fillId="0" borderId="0" xfId="0" applyFont="1" applyNumberFormat="1" applyAlignment="1">
      <alignment textRotation="0" horizontal="right" vertical="center" indent="0" wrapText="1"/>
    </xf>
    <xf numFmtId="174" fontId="7" fillId="0" borderId="12" xfId="0" applyFont="1" applyNumberFormat="1" applyBorder="1" applyAlignment="1">
      <alignment textRotation="0" horizontal="right" vertical="top" indent="0"/>
    </xf>
    <xf numFmtId="164" fontId="150" fillId="0" borderId="9" xfId="0" applyFont="1" applyNumberFormat="1" applyBorder="1" applyAlignment="1">
      <alignment textRotation="0" horizontal="left" vertical="bottom" indent="0"/>
    </xf>
    <xf numFmtId="169" fontId="7" fillId="0" borderId="0" xfId="0" applyFont="1" applyNumberFormat="1" applyAlignment="1">
      <alignment textRotation="0" horizontal="left" vertical="bottom" indent="0" wrapText="1"/>
    </xf>
    <xf numFmtId="164" fontId="138" fillId="0" borderId="0" xfId="0" applyFont="1" applyNumberFormat="1" applyAlignment="1">
      <alignment textRotation="0" horizontal="general" vertical="center" indent="0"/>
    </xf>
    <xf numFmtId="174" fontId="7" fillId="0" borderId="23" xfId="0" applyFont="1" applyNumberFormat="1" applyBorder="1" applyAlignment="1">
      <alignment textRotation="0" horizontal="right" vertical="bottom" indent="0" wrapText="1"/>
    </xf>
    <xf numFmtId="164" fontId="7" fillId="0" borderId="123" xfId="0" applyFont="1" applyNumberFormat="1" applyBorder="1" applyAlignment="1">
      <alignment textRotation="0" horizontal="center" vertical="center" indent="0" wrapText="1"/>
    </xf>
    <xf numFmtId="164" fontId="7" fillId="0" borderId="4" xfId="0" applyFont="1" applyNumberFormat="1" applyBorder="1" applyAlignment="1">
      <alignment textRotation="0" horizontal="left" vertical="bottom" indent="0"/>
    </xf>
    <xf numFmtId="164" fontId="7" fillId="0" borderId="21" xfId="0" applyFont="1" applyNumberFormat="1" applyBorder="1" applyAlignment="1">
      <alignment textRotation="0" horizontal="center" vertical="center" indent="0"/>
    </xf>
    <xf numFmtId="174" fontId="7" fillId="0" borderId="17" xfId="0" applyFont="1" applyNumberFormat="1" applyBorder="1" applyAlignment="1">
      <alignment textRotation="0" horizontal="center" vertical="center" indent="0"/>
    </xf>
    <xf numFmtId="174" fontId="26" fillId="27" borderId="17" xfId="0" applyFont="1" applyNumberFormat="1" applyFill="1" applyBorder="1" applyAlignment="1">
      <alignment textRotation="0" horizontal="center" vertical="center" indent="0"/>
    </xf>
    <xf numFmtId="164" fontId="7" fillId="0" borderId="18" xfId="0" applyFont="1" applyNumberFormat="1" applyBorder="1" applyAlignment="1">
      <alignment textRotation="0" horizontal="center" vertical="bottom" indent="0" wrapText="1"/>
    </xf>
    <xf numFmtId="174" fontId="7" fillId="0" borderId="10" xfId="0" applyFont="1" applyNumberFormat="1" applyBorder="1" applyAlignment="1">
      <alignment textRotation="0" horizontal="right" vertical="top" indent="0" wrapText="1"/>
    </xf>
    <xf numFmtId="174" fontId="7" fillId="0" borderId="0" xfId="0" applyFont="1" applyNumberFormat="1" applyAlignment="1">
      <alignment textRotation="0" horizontal="left" vertical="bottom" indent="0" wrapText="1"/>
    </xf>
    <xf numFmtId="164" fontId="7" fillId="0" borderId="11" xfId="0" applyFont="1" applyNumberFormat="1" applyBorder="1" applyAlignment="1">
      <alignment textRotation="0" horizontal="left" vertical="bottom" indent="0"/>
    </xf>
    <xf numFmtId="174" fontId="7" fillId="0" borderId="23" xfId="0" applyFont="1" applyNumberFormat="1" applyBorder="1" applyAlignment="1">
      <alignment textRotation="0" horizontal="left" vertical="bottom" indent="0" wrapText="1"/>
    </xf>
    <xf numFmtId="169" fontId="7" fillId="0" borderId="18" xfId="0" applyFont="1" applyNumberFormat="1" applyBorder="1" applyAlignment="1">
      <alignment textRotation="0" horizontal="center" vertical="bottom" indent="0"/>
    </xf>
    <xf numFmtId="174" fontId="7" fillId="0" borderId="7" xfId="0" applyFont="1" applyNumberFormat="1" applyBorder="1" applyAlignment="1">
      <alignment textRotation="0" horizontal="center" vertical="center" indent="0"/>
    </xf>
    <xf numFmtId="174" fontId="26" fillId="27" borderId="18" xfId="0" applyFont="1" applyNumberFormat="1" applyFill="1" applyBorder="1" applyAlignment="1">
      <alignment textRotation="0" horizontal="center" vertical="center" indent="0"/>
    </xf>
    <xf numFmtId="164" fontId="7" fillId="0" borderId="17" xfId="0" applyFont="1" applyNumberFormat="1" applyBorder="1" applyAlignment="1">
      <alignment textRotation="0" horizontal="center" vertical="center" indent="0"/>
    </xf>
    <xf numFmtId="164" fontId="7" fillId="0" borderId="9" xfId="0" applyFont="1" applyNumberFormat="1" applyBorder="1" applyAlignment="1">
      <alignment textRotation="0" horizontal="left" vertical="center" indent="0" wrapText="1"/>
    </xf>
    <xf numFmtId="164" fontId="7" fillId="0" borderId="11" xfId="0" applyFont="1" applyNumberFormat="1" applyBorder="1" applyAlignment="1">
      <alignment textRotation="0" horizontal="general" vertical="bottom" indent="0"/>
    </xf>
    <xf numFmtId="169" fontId="7" fillId="0" borderId="23" xfId="0" applyFont="1" applyNumberFormat="1" applyBorder="1" applyAlignment="1">
      <alignment textRotation="0" horizontal="general" vertical="bottom" indent="0"/>
    </xf>
    <xf numFmtId="164" fontId="7" fillId="0" borderId="0" xfId="0" applyFont="1" applyNumberFormat="1" applyAlignment="1">
      <alignment textRotation="0" horizontal="right" vertical="top" indent="0"/>
    </xf>
    <xf numFmtId="164" fontId="7" fillId="0" borderId="11" xfId="0" applyFont="1" applyNumberFormat="1" applyBorder="1" applyAlignment="1">
      <alignment textRotation="0" horizontal="center" vertical="center" indent="0" wrapText="1"/>
    </xf>
    <xf numFmtId="164" fontId="7" fillId="0" borderId="4" xfId="0" applyFont="1" applyNumberFormat="1" applyBorder="1" applyAlignment="1">
      <alignment textRotation="0" horizontal="general" vertical="bottom" indent="0"/>
    </xf>
    <xf numFmtId="164" fontId="7" fillId="0" borderId="21" xfId="0" applyFont="1" applyNumberFormat="1" applyBorder="1" applyAlignment="1">
      <alignment textRotation="0" horizontal="general" vertical="bottom" indent="0"/>
    </xf>
    <xf numFmtId="169" fontId="7" fillId="0" borderId="21" xfId="0" applyFont="1" applyNumberFormat="1" applyBorder="1" applyAlignment="1">
      <alignment textRotation="0" horizontal="general" vertical="bottom" indent="0"/>
    </xf>
    <xf numFmtId="174" fontId="7" fillId="0" borderId="5" xfId="0" applyFont="1" applyNumberFormat="1" applyBorder="1" applyAlignment="1">
      <alignment textRotation="0" horizontal="center" vertical="center" indent="0"/>
    </xf>
    <xf numFmtId="174" fontId="7" fillId="0" borderId="19" xfId="0" applyFont="1" applyNumberFormat="1" applyBorder="1" applyAlignment="1">
      <alignment textRotation="0" horizontal="center" vertical="center" indent="0"/>
    </xf>
    <xf numFmtId="174" fontId="26" fillId="27" borderId="94" xfId="0" applyFont="1" applyNumberFormat="1" applyFill="1" applyBorder="1" applyAlignment="1">
      <alignment textRotation="0" horizontal="center" vertical="center" indent="0"/>
    </xf>
    <xf numFmtId="164" fontId="7" fillId="0" borderId="0" xfId="0" applyFont="1" applyNumberFormat="1" applyAlignment="1">
      <alignment textRotation="0" horizontal="center" vertical="bottom" indent="0" wrapText="1"/>
    </xf>
    <xf numFmtId="169" fontId="7" fillId="0" borderId="0" xfId="0" applyFont="1" applyNumberFormat="1" applyAlignment="1">
      <alignment textRotation="0" horizontal="center" vertical="bottom" indent="0"/>
    </xf>
    <xf numFmtId="174" fontId="7" fillId="0" borderId="0" xfId="0" applyFont="1" applyNumberFormat="1" applyAlignment="1">
      <alignment textRotation="0" horizontal="general" vertical="top" indent="0"/>
    </xf>
    <xf numFmtId="164" fontId="63" fillId="0" borderId="23" xfId="0" applyFont="1" applyNumberFormat="1" applyBorder="1" applyAlignment="1">
      <alignment textRotation="0" horizontal="general" vertical="bottom" indent="0" wrapText="1"/>
    </xf>
    <xf numFmtId="164" fontId="31" fillId="28" borderId="0" xfId="0" applyFont="1" applyNumberFormat="1" applyFill="1" applyAlignment="1">
      <alignment textRotation="90" horizontal="center" vertical="center" indent="0" wrapText="1"/>
    </xf>
    <xf numFmtId="164" fontId="26" fillId="27" borderId="0" xfId="0" applyFont="1" applyNumberFormat="1" applyFill="1" applyAlignment="1">
      <alignment textRotation="0" horizontal="left" vertical="bottom" indent="0"/>
    </xf>
    <xf numFmtId="164" fontId="26" fillId="27" borderId="0" xfId="0" applyFont="1" applyNumberFormat="1" applyFill="1" applyAlignment="1">
      <alignment textRotation="0" horizontal="center" vertical="bottom" indent="0"/>
    </xf>
    <xf numFmtId="174" fontId="31" fillId="28" borderId="0" xfId="0" applyFont="1" applyNumberFormat="1" applyFill="1" applyAlignment="1">
      <alignment textRotation="0" horizontal="center" vertical="center" indent="0" wrapText="1"/>
    </xf>
    <xf numFmtId="174" fontId="7" fillId="0" borderId="0" xfId="0" applyFont="1" applyNumberFormat="1" applyAlignment="1">
      <alignment textRotation="0" horizontal="right" vertical="top" indent="0"/>
    </xf>
    <xf numFmtId="164" fontId="7" fillId="0" borderId="59" xfId="0" applyFont="1" applyNumberFormat="1" applyBorder="1" applyAlignment="1">
      <alignment textRotation="0" horizontal="left" vertical="bottom" indent="0" wrapText="1"/>
    </xf>
    <xf numFmtId="164" fontId="7" fillId="0" borderId="59" xfId="0" applyFont="1" applyNumberFormat="1" applyBorder="1" applyAlignment="1">
      <alignment textRotation="0" horizontal="left" vertical="bottom" indent="0"/>
    </xf>
    <xf numFmtId="174" fontId="7" fillId="0" borderId="33" xfId="0" applyFont="1" applyNumberFormat="1" applyBorder="1" applyAlignment="1">
      <alignment textRotation="0" horizontal="right" vertical="top" indent="0"/>
    </xf>
    <xf numFmtId="174" fontId="7" fillId="0" borderId="31" xfId="0" applyFont="1" applyNumberFormat="1" applyBorder="1" applyAlignment="1">
      <alignment textRotation="0" horizontal="right" vertical="top" indent="0"/>
    </xf>
    <xf numFmtId="164" fontId="7" fillId="0" borderId="65" xfId="0" applyFont="1" applyNumberFormat="1" applyBorder="1" applyAlignment="1">
      <alignment textRotation="0" horizontal="general" vertical="bottom" indent="0"/>
    </xf>
    <xf numFmtId="164" fontId="7" fillId="0" borderId="71" xfId="0" applyFont="1" applyNumberFormat="1" applyBorder="1" applyAlignment="1">
      <alignment textRotation="0" horizontal="general" vertical="bottom" indent="0"/>
    </xf>
    <xf numFmtId="169" fontId="7" fillId="0" borderId="71" xfId="0" applyFont="1" applyNumberFormat="1" applyBorder="1" applyAlignment="1">
      <alignment textRotation="0" horizontal="left" vertical="bottom" indent="0"/>
    </xf>
    <xf numFmtId="164" fontId="26" fillId="27" borderId="59" xfId="0" applyFont="1" applyNumberFormat="1" applyFill="1" applyBorder="1" applyAlignment="1">
      <alignment textRotation="0" horizontal="center" vertical="bottom" indent="0"/>
    </xf>
    <xf numFmtId="164" fontId="7" fillId="0" borderId="59" xfId="0" applyFont="1" applyNumberFormat="1" applyBorder="1" applyAlignment="1">
      <alignment textRotation="0" horizontal="left" vertical="center" indent="0" wrapText="1"/>
    </xf>
    <xf numFmtId="174" fontId="7" fillId="0" borderId="31" xfId="0" applyFont="1" applyNumberFormat="1" applyBorder="1" applyAlignment="1">
      <alignment textRotation="0" horizontal="right" vertical="top" indent="0" wrapText="1"/>
    </xf>
    <xf numFmtId="169" fontId="7" fillId="0" borderId="124" xfId="0" applyFont="1" applyNumberFormat="1" applyBorder="1" applyAlignment="1">
      <alignment textRotation="0" horizontal="left" vertical="bottom" indent="0"/>
    </xf>
    <xf numFmtId="174" fontId="7" fillId="0" borderId="0" xfId="0" applyFont="1" applyNumberFormat="1" applyAlignment="1">
      <alignment textRotation="0" horizontal="right" vertical="top" indent="0" wrapText="1"/>
    </xf>
    <xf numFmtId="164" fontId="151" fillId="27" borderId="0" xfId="0" applyFont="1" applyNumberFormat="1" applyFill="1" applyAlignment="1">
      <alignment textRotation="90" horizontal="center" vertical="center" indent="0" wrapText="1"/>
    </xf>
    <xf numFmtId="174" fontId="151" fillId="27" borderId="0" xfId="0" applyFont="1" applyNumberFormat="1" applyFill="1" applyAlignment="1">
      <alignment textRotation="0" horizontal="center" vertical="center" indent="0" wrapText="1"/>
    </xf>
    <xf numFmtId="174" fontId="7" fillId="0" borderId="22" xfId="0" applyFont="1" applyNumberFormat="1" applyBorder="1" applyAlignment="1">
      <alignment textRotation="0" horizontal="left" vertical="bottom" indent="0" wrapText="1"/>
    </xf>
    <xf numFmtId="164" fontId="7" fillId="0" borderId="65" xfId="0" applyFont="1" applyNumberFormat="1" applyBorder="1" applyAlignment="1">
      <alignment textRotation="0" horizontal="left" vertical="bottom" indent="0" wrapText="1"/>
    </xf>
    <xf numFmtId="172" fontId="7" fillId="0" borderId="31" xfId="0" applyFont="1" applyNumberFormat="1" applyBorder="1" applyAlignment="1">
      <alignment textRotation="0" horizontal="right" vertical="top" indent="0"/>
    </xf>
    <xf numFmtId="174" fontId="26" fillId="27" borderId="2" xfId="0" applyFont="1" applyNumberFormat="1" applyFill="1" applyBorder="1" applyAlignment="1">
      <alignment textRotation="0" horizontal="center" vertical="center" indent="0"/>
    </xf>
    <xf numFmtId="164" fontId="7" fillId="0" borderId="71" xfId="0" applyFont="1" applyNumberFormat="1" applyBorder="1" applyAlignment="1">
      <alignment textRotation="0" horizontal="left" vertical="bottom" indent="0" wrapText="1"/>
    </xf>
    <xf numFmtId="170" fontId="7" fillId="0" borderId="71" xfId="0" applyFont="1" applyNumberFormat="1" applyBorder="1" applyAlignment="1">
      <alignment textRotation="0" horizontal="left" vertical="bottom" indent="0" wrapText="1"/>
    </xf>
    <xf numFmtId="164" fontId="7" fillId="0" borderId="65" xfId="0" applyFont="1" applyNumberFormat="1" applyBorder="1" applyAlignment="1">
      <alignment textRotation="0" horizontal="left" vertical="bottom" indent="0"/>
    </xf>
    <xf numFmtId="167" fontId="7" fillId="0" borderId="71" xfId="0" applyFont="1" applyNumberFormat="1" applyBorder="1" applyAlignment="1">
      <alignment textRotation="0" horizontal="left" vertical="bottom" indent="0" wrapText="1"/>
    </xf>
    <xf numFmtId="164" fontId="151" fillId="13" borderId="0" xfId="0" applyFont="1" applyNumberFormat="1" applyFill="1" applyAlignment="1">
      <alignment textRotation="90" horizontal="center" vertical="center" indent="0" wrapText="1"/>
    </xf>
    <xf numFmtId="174" fontId="151" fillId="13" borderId="0" xfId="0" applyFont="1" applyNumberFormat="1" applyFill="1" applyAlignment="1">
      <alignment textRotation="0" horizontal="center" vertical="center" indent="0" wrapText="1"/>
    </xf>
    <xf numFmtId="164" fontId="7" fillId="0" borderId="18" xfId="0" applyFont="1" applyNumberFormat="1" applyBorder="1" applyAlignment="1">
      <alignment textRotation="0" horizontal="left" vertical="center" indent="0"/>
    </xf>
    <xf numFmtId="164" fontId="150" fillId="0" borderId="59" xfId="0" applyFont="1" applyNumberFormat="1" applyBorder="1" applyAlignment="1">
      <alignment textRotation="0" horizontal="left" vertical="bottom" indent="0" wrapText="1"/>
    </xf>
    <xf numFmtId="171" fontId="7" fillId="0" borderId="0" xfId="0" applyFont="1" applyNumberFormat="1" applyAlignment="1">
      <alignment textRotation="0" horizontal="left" vertical="bottom" indent="0" wrapText="1"/>
    </xf>
    <xf numFmtId="164" fontId="7" fillId="0" borderId="71" xfId="0" applyFont="1" applyNumberFormat="1" applyBorder="1" applyAlignment="1">
      <alignment textRotation="0" horizontal="left" vertical="bottom" indent="0"/>
    </xf>
    <xf numFmtId="164" fontId="7" fillId="0" borderId="59" xfId="0" applyFont="1" applyNumberFormat="1" applyBorder="1" applyAlignment="1">
      <alignment textRotation="0" horizontal="general" vertical="bottom" indent="0" wrapText="1"/>
    </xf>
    <xf numFmtId="164" fontId="63" fillId="0" borderId="0" xfId="0" applyFont="1" applyNumberFormat="1" applyAlignment="1">
      <alignment textRotation="0" horizontal="left" vertical="bottom" indent="0" wrapText="1"/>
    </xf>
    <xf numFmtId="172" fontId="7" fillId="0" borderId="33" xfId="0" applyFont="1" applyNumberFormat="1" applyBorder="1" applyAlignment="1">
      <alignment textRotation="0" horizontal="right" vertical="top" indent="0"/>
    </xf>
    <xf numFmtId="170" fontId="7" fillId="0" borderId="0" xfId="0" applyFont="1" applyNumberFormat="1" applyAlignment="1">
      <alignment textRotation="0" horizontal="left" vertical="bottom" indent="0" wrapText="1"/>
    </xf>
    <xf numFmtId="164" fontId="7" fillId="0" borderId="22" xfId="0" applyFont="1" applyNumberFormat="1" applyBorder="1" applyAlignment="1">
      <alignment textRotation="0" horizontal="center" vertical="center" indent="0"/>
    </xf>
    <xf numFmtId="164" fontId="7" fillId="0" borderId="59" xfId="0" applyFont="1" applyNumberFormat="1" applyBorder="1" applyAlignment="1">
      <alignment textRotation="0" horizontal="left" vertical="center" indent="0"/>
    </xf>
    <xf numFmtId="174" fontId="7" fillId="0" borderId="0" xfId="0" applyFont="1" applyNumberFormat="1" applyAlignment="1">
      <alignment textRotation="0" horizontal="general" vertical="center" indent="0"/>
    </xf>
    <xf numFmtId="164" fontId="7" fillId="0" borderId="33" xfId="0" applyFont="1" applyNumberFormat="1" applyBorder="1" applyAlignment="1">
      <alignment textRotation="0" horizontal="right" vertical="center" indent="0"/>
    </xf>
    <xf numFmtId="164" fontId="7" fillId="0" borderId="124" xfId="0" applyFont="1" applyNumberFormat="1" applyBorder="1" applyAlignment="1">
      <alignment textRotation="0" horizontal="left" vertical="center" indent="0" wrapText="1"/>
    </xf>
    <xf numFmtId="174" fontId="126" fillId="0" borderId="0" xfId="0" applyFont="1" applyNumberFormat="1" applyAlignment="1">
      <alignment textRotation="0" horizontal="left" vertical="center" indent="0" wrapText="1"/>
    </xf>
    <xf numFmtId="164" fontId="7" fillId="0" borderId="65" xfId="0" applyFont="1" applyNumberFormat="1" applyBorder="1" applyAlignment="1">
      <alignment textRotation="0" horizontal="left" vertical="center" indent="0" wrapText="1"/>
    </xf>
    <xf numFmtId="172" fontId="7" fillId="0" borderId="31" xfId="0" applyFont="1" applyNumberFormat="1" applyBorder="1" applyAlignment="1">
      <alignment textRotation="0" horizontal="general" vertical="top" indent="0" wrapText="1"/>
    </xf>
    <xf numFmtId="174" fontId="7" fillId="0" borderId="5" xfId="0" applyFont="1" applyNumberFormat="1" applyBorder="1" applyAlignment="1">
      <alignment textRotation="0" horizontal="center" vertical="bottom" indent="0"/>
    </xf>
    <xf numFmtId="164" fontId="10" fillId="0" borderId="18" xfId="0" applyFont="1" applyNumberFormat="1" applyBorder="1" applyAlignment="1">
      <alignment textRotation="0" horizontal="center" vertical="bottom" indent="0" wrapText="1"/>
    </xf>
    <xf numFmtId="174" fontId="7" fillId="0" borderId="10" xfId="0" applyFont="1" applyNumberFormat="1" applyBorder="1" applyAlignment="1">
      <alignment textRotation="0" horizontal="center" vertical="bottom" indent="0"/>
    </xf>
    <xf numFmtId="174" fontId="7" fillId="0" borderId="12" xfId="0" applyFont="1" applyNumberFormat="1" applyBorder="1" applyAlignment="1">
      <alignment textRotation="0" horizontal="center" vertical="bottom" indent="0" wrapText="1"/>
    </xf>
    <xf numFmtId="164" fontId="10" fillId="0" borderId="18" xfId="0" applyFont="1" applyNumberFormat="1" applyBorder="1" applyAlignment="1">
      <alignment textRotation="0" horizontal="general" vertical="bottom" indent="0"/>
    </xf>
    <xf numFmtId="164" fontId="10" fillId="0" borderId="18" xfId="0" applyFont="1" applyNumberFormat="1" applyBorder="1" applyAlignment="1">
      <alignment textRotation="0" horizontal="center" vertical="bottom" indent="0"/>
    </xf>
    <xf numFmtId="164" fontId="7" fillId="0" borderId="11" xfId="0" applyFont="1" applyNumberFormat="1" applyBorder="1" applyAlignment="1">
      <alignment textRotation="0" horizontal="left" vertical="center" indent="0" wrapText="1"/>
    </xf>
    <xf numFmtId="174" fontId="7" fillId="0" borderId="23" xfId="0" applyFont="1" applyNumberFormat="1" applyBorder="1" applyAlignment="1">
      <alignment textRotation="0" horizontal="right" vertical="center" indent="0" wrapText="1"/>
    </xf>
    <xf numFmtId="164" fontId="7" fillId="0" borderId="23" xfId="0" applyFont="1" applyNumberFormat="1" applyBorder="1" applyAlignment="1">
      <alignment textRotation="0" horizontal="left" vertical="bottom" indent="0"/>
    </xf>
    <xf numFmtId="164" fontId="151" fillId="29" borderId="24" xfId="0" applyFont="1" applyNumberFormat="1" applyFill="1" applyBorder="1" applyAlignment="1">
      <alignment textRotation="90" horizontal="center" vertical="center" indent="0" wrapText="1"/>
    </xf>
    <xf numFmtId="164" fontId="7" fillId="0" borderId="57" xfId="0" applyFont="1" applyNumberFormat="1" applyBorder="1" applyAlignment="1">
      <alignment textRotation="0" horizontal="general" vertical="bottom" indent="0"/>
    </xf>
    <xf numFmtId="164" fontId="26" fillId="27" borderId="57" xfId="0" applyFont="1" applyNumberFormat="1" applyFill="1" applyBorder="1" applyAlignment="1">
      <alignment textRotation="0" horizontal="left" vertical="bottom" indent="0"/>
    </xf>
    <xf numFmtId="164" fontId="26" fillId="27" borderId="57" xfId="0" applyFont="1" applyNumberFormat="1" applyFill="1" applyBorder="1" applyAlignment="1">
      <alignment textRotation="0" horizontal="center" vertical="bottom" indent="0"/>
    </xf>
    <xf numFmtId="172" fontId="151" fillId="29" borderId="24" xfId="0" applyFont="1" applyNumberFormat="1" applyFill="1" applyBorder="1" applyAlignment="1">
      <alignment textRotation="0" horizontal="center" vertical="center" indent="0" wrapText="1"/>
    </xf>
    <xf numFmtId="174" fontId="7" fillId="0" borderId="5" xfId="0" applyFont="1" applyNumberFormat="1" applyBorder="1" applyAlignment="1">
      <alignment textRotation="0" horizontal="center" vertical="top" indent="0"/>
    </xf>
    <xf numFmtId="174" fontId="7" fillId="0" borderId="18" xfId="0" applyFont="1" applyNumberFormat="1" applyBorder="1" applyAlignment="1">
      <alignment textRotation="0" horizontal="center" vertical="center" indent="0"/>
    </xf>
    <xf numFmtId="172" fontId="7" fillId="0" borderId="0" xfId="0" applyFont="1" applyNumberFormat="1" applyAlignment="1">
      <alignment textRotation="0" horizontal="left" vertical="bottom" indent="0" wrapText="1"/>
    </xf>
    <xf numFmtId="174" fontId="7" fillId="0" borderId="0" xfId="0" applyFont="1" applyNumberFormat="1" applyAlignment="1">
      <alignment textRotation="0" horizontal="left" vertical="center" indent="0" wrapText="1"/>
    </xf>
    <xf numFmtId="174" fontId="7" fillId="0" borderId="10" xfId="0" applyFont="1" applyNumberFormat="1" applyBorder="1" applyAlignment="1">
      <alignment textRotation="0" horizontal="center" vertical="top" indent="0"/>
    </xf>
    <xf numFmtId="174" fontId="7" fillId="0" borderId="12" xfId="0" applyFont="1" applyNumberFormat="1" applyBorder="1" applyAlignment="1">
      <alignment textRotation="0" horizontal="center" vertical="top" indent="0"/>
    </xf>
    <xf numFmtId="164" fontId="7" fillId="0" borderId="9" xfId="0" applyFont="1" applyNumberFormat="1" applyBorder="1" applyAlignment="1">
      <alignment textRotation="0" horizontal="left" vertical="center" indent="0"/>
    </xf>
    <xf numFmtId="169" fontId="7" fillId="0" borderId="23" xfId="0" applyFont="1" applyNumberFormat="1" applyBorder="1" applyAlignment="1">
      <alignment textRotation="0" horizontal="left" vertical="bottom" indent="0" wrapText="1"/>
    </xf>
    <xf numFmtId="174" fontId="7" fillId="0" borderId="23" xfId="0" applyFont="1" applyNumberFormat="1" applyBorder="1" applyAlignment="1">
      <alignment textRotation="0" horizontal="left" vertical="bottom" indent="0"/>
    </xf>
    <xf numFmtId="172" fontId="26" fillId="27" borderId="0" xfId="0" applyFont="1" applyNumberFormat="1" applyFill="1" applyAlignment="1">
      <alignment textRotation="0" horizontal="center" vertical="center" indent="0"/>
    </xf>
    <xf numFmtId="164" fontId="125" fillId="0" borderId="0" xfId="0" applyFont="1" applyNumberFormat="1" applyAlignment="1">
      <alignment textRotation="0" horizontal="general" vertical="bottom" indent="0"/>
    </xf>
    <xf numFmtId="174" fontId="63" fillId="0" borderId="0" xfId="0" applyFont="1" applyNumberFormat="1" applyAlignment="1">
      <alignment textRotation="0" horizontal="right" vertical="bottom" indent="0"/>
    </xf>
    <xf numFmtId="174" fontId="63" fillId="0" borderId="0" xfId="0" applyFont="1" applyNumberFormat="1" applyAlignment="1">
      <alignment textRotation="0" horizontal="right" vertical="bottom" indent="0" wrapText="1"/>
    </xf>
    <xf numFmtId="172" fontId="7" fillId="0" borderId="71" xfId="0" applyFont="1" applyNumberFormat="1" applyBorder="1" applyAlignment="1">
      <alignment textRotation="0" horizontal="right" vertical="bottom" indent="0" wrapText="1"/>
    </xf>
    <xf numFmtId="164" fontId="7" fillId="0" borderId="13" xfId="0" applyFont="1" applyNumberFormat="1" applyBorder="1" applyAlignment="1">
      <alignment textRotation="0" horizontal="center" vertical="center" indent="0"/>
    </xf>
    <xf numFmtId="164" fontId="7" fillId="0" borderId="124" xfId="0" applyFont="1" applyNumberFormat="1" applyBorder="1" applyAlignment="1">
      <alignment textRotation="0" horizontal="center" vertical="center" indent="0" wrapText="1"/>
    </xf>
    <xf numFmtId="172" fontId="7" fillId="0" borderId="5" xfId="0" applyFont="1" applyNumberFormat="1" applyBorder="1" applyAlignment="1">
      <alignment textRotation="0" horizontal="right" vertical="top" indent="0"/>
    </xf>
    <xf numFmtId="172" fontId="7" fillId="0" borderId="6" xfId="0" applyFont="1" applyNumberFormat="1" applyBorder="1" applyAlignment="1">
      <alignment textRotation="0" horizontal="center" vertical="center" indent="0"/>
    </xf>
    <xf numFmtId="172" fontId="26" fillId="27" borderId="17" xfId="0" applyFont="1" applyNumberFormat="1" applyFill="1" applyBorder="1" applyAlignment="1">
      <alignment textRotation="0" horizontal="center" vertical="center" indent="0"/>
    </xf>
    <xf numFmtId="171" fontId="7" fillId="0" borderId="23" xfId="0" applyFont="1" applyNumberFormat="1" applyBorder="1" applyAlignment="1">
      <alignment textRotation="0" horizontal="left" vertical="bottom" indent="0"/>
    </xf>
    <xf numFmtId="172" fontId="7" fillId="0" borderId="12" xfId="0" applyFont="1" applyNumberFormat="1" applyBorder="1" applyAlignment="1">
      <alignment textRotation="0" horizontal="right" vertical="top" indent="0"/>
    </xf>
    <xf numFmtId="164" fontId="26" fillId="27" borderId="0" xfId="0" applyFont="1" applyNumberFormat="1" applyFill="1" applyAlignment="1">
      <alignment textRotation="0" horizontal="left" vertical="bottom" indent="0" wrapText="1"/>
    </xf>
    <xf numFmtId="164" fontId="26" fillId="27" borderId="9" xfId="0" applyFont="1" applyNumberFormat="1" applyFill="1" applyBorder="1" applyAlignment="1">
      <alignment textRotation="0" horizontal="center" vertical="center" indent="0"/>
    </xf>
    <xf numFmtId="164" fontId="7" fillId="0" borderId="8" xfId="0" applyFont="1" applyNumberFormat="1" applyBorder="1" applyAlignment="1">
      <alignment textRotation="0" horizontal="center" vertical="center" indent="0"/>
    </xf>
    <xf numFmtId="164" fontId="9" fillId="0" borderId="4" xfId="0" applyFont="1" applyNumberFormat="1" applyBorder="1" applyAlignment="1">
      <alignment textRotation="0" horizontal="general" vertical="center" indent="0"/>
    </xf>
    <xf numFmtId="164" fontId="7" fillId="0" borderId="21" xfId="0" applyFont="1" applyNumberFormat="1" applyBorder="1" applyAlignment="1">
      <alignment textRotation="0" horizontal="general" vertical="center" indent="0"/>
    </xf>
    <xf numFmtId="174" fontId="26" fillId="27" borderId="7" xfId="0" applyFont="1" applyNumberFormat="1" applyFill="1" applyBorder="1" applyAlignment="1">
      <alignment textRotation="0" horizontal="center" vertical="center" indent="0"/>
    </xf>
    <xf numFmtId="164" fontId="7" fillId="0" borderId="9" xfId="0" applyFont="1" applyNumberFormat="1" applyBorder="1" applyAlignment="1">
      <alignment textRotation="0" horizontal="general" vertical="center" indent="0"/>
    </xf>
    <xf numFmtId="164" fontId="7" fillId="0" borderId="9" xfId="0" applyFont="1" applyNumberFormat="1" applyBorder="1" applyAlignment="1">
      <alignment textRotation="0" horizontal="right" vertical="center" indent="0"/>
    </xf>
    <xf numFmtId="164" fontId="7" fillId="0" borderId="10" xfId="0" applyFont="1" applyNumberFormat="1" applyBorder="1" applyAlignment="1">
      <alignment textRotation="0" horizontal="general" vertical="center" indent="0"/>
    </xf>
    <xf numFmtId="164" fontId="9" fillId="0" borderId="9" xfId="0" applyFont="1" applyNumberFormat="1" applyBorder="1" applyAlignment="1">
      <alignment textRotation="0" horizontal="general" vertical="center" indent="0"/>
    </xf>
    <xf numFmtId="174" fontId="7" fillId="0" borderId="0" xfId="0" applyFont="1" applyNumberFormat="1" applyAlignment="1">
      <alignment textRotation="0" horizontal="center" vertical="bottom" indent="0" wrapText="1"/>
    </xf>
    <xf numFmtId="174" fontId="7" fillId="0" borderId="23" xfId="0" applyFont="1" applyNumberFormat="1" applyBorder="1" applyAlignment="1">
      <alignment textRotation="0" horizontal="right" vertical="bottom" indent="0"/>
    </xf>
    <xf numFmtId="164" fontId="7" fillId="0" borderId="60" xfId="0" applyFont="1" applyNumberFormat="1" applyBorder="1" applyAlignment="1">
      <alignment textRotation="0" horizontal="general" vertical="bottom" indent="0"/>
    </xf>
    <xf numFmtId="164" fontId="7" fillId="0" borderId="60" xfId="0" applyFont="1" applyNumberFormat="1" applyBorder="1" applyAlignment="1">
      <alignment textRotation="0" horizontal="general" vertical="bottom" indent="0" wrapText="1"/>
    </xf>
    <xf numFmtId="164" fontId="149" fillId="8" borderId="0" xfId="0" applyFont="1" applyNumberFormat="1" applyFill="1" applyAlignment="1">
      <alignment textRotation="0" horizontal="center" vertical="center" indent="0" wrapText="1"/>
    </xf>
    <xf numFmtId="172" fontId="149" fillId="8" borderId="0" xfId="0" applyFont="1" applyNumberFormat="1" applyFill="1" applyAlignment="1">
      <alignment textRotation="0" horizontal="center" vertical="center" indent="0" wrapText="1"/>
    </xf>
    <xf numFmtId="164" fontId="148" fillId="30" borderId="0" xfId="0" applyFont="1" applyNumberFormat="1" applyFill="1" applyAlignment="1">
      <alignment textRotation="0" horizontal="center" vertical="center" indent="0" wrapText="1"/>
    </xf>
    <xf numFmtId="164" fontId="151" fillId="31" borderId="0" xfId="0" applyFont="1" applyNumberFormat="1" applyFill="1" applyAlignment="1">
      <alignment textRotation="90" horizontal="center" vertical="center" indent="0" wrapText="1"/>
    </xf>
    <xf numFmtId="164" fontId="26" fillId="12" borderId="5" xfId="0" applyFont="1" applyNumberFormat="1" applyFill="1" applyBorder="1" applyAlignment="1">
      <alignment textRotation="0" horizontal="left" vertical="bottom" indent="0"/>
    </xf>
    <xf numFmtId="164" fontId="26" fillId="12" borderId="0" xfId="0" applyFont="1" applyNumberFormat="1" applyFill="1" applyAlignment="1">
      <alignment textRotation="0" horizontal="center" vertical="bottom" indent="0"/>
    </xf>
    <xf numFmtId="164" fontId="7" fillId="0" borderId="67" xfId="0" applyFont="1" applyNumberFormat="1" applyBorder="1" applyAlignment="1">
      <alignment textRotation="0" horizontal="center" vertical="center" indent="0" wrapText="1"/>
    </xf>
    <xf numFmtId="174" fontId="151" fillId="31" borderId="0" xfId="0" applyFont="1" applyNumberFormat="1" applyFill="1" applyAlignment="1">
      <alignment textRotation="0" horizontal="center" vertical="center" indent="0" wrapText="1"/>
    </xf>
    <xf numFmtId="164" fontId="19" fillId="0" borderId="0" xfId="0" applyFont="1" applyNumberFormat="1" applyAlignment="1">
      <alignment textRotation="0" horizontal="center" vertical="center" indent="0" wrapText="1"/>
    </xf>
    <xf numFmtId="174" fontId="33" fillId="12" borderId="0" xfId="0" applyFont="1" applyNumberFormat="1" applyFill="1" applyAlignment="1">
      <alignment textRotation="0" horizontal="center" vertical="center" indent="0"/>
    </xf>
    <xf numFmtId="169" fontId="7" fillId="0" borderId="0" xfId="0" applyFont="1" applyNumberFormat="1" applyAlignment="1">
      <alignment textRotation="0" horizontal="right" vertical="bottom" indent="0"/>
    </xf>
    <xf numFmtId="169" fontId="19" fillId="0" borderId="0" xfId="0" applyFont="1" applyNumberFormat="1" applyAlignment="1">
      <alignment textRotation="0" horizontal="center" vertical="center" indent="0" wrapText="1"/>
    </xf>
    <xf numFmtId="174" fontId="7" fillId="0" borderId="33" xfId="0" applyFont="1" applyNumberFormat="1" applyBorder="1" applyAlignment="1">
      <alignment textRotation="0" horizontal="right" vertical="top" indent="0" wrapText="1"/>
    </xf>
    <xf numFmtId="164" fontId="140" fillId="0" borderId="0" xfId="0" applyFont="1" applyNumberFormat="1" applyAlignment="1">
      <alignment textRotation="0" horizontal="general" vertical="bottom" indent="0"/>
    </xf>
    <xf numFmtId="174" fontId="7" fillId="0" borderId="124" xfId="0" applyFont="1" applyNumberFormat="1" applyBorder="1" applyAlignment="1">
      <alignment textRotation="0" horizontal="general" vertical="bottom" indent="0"/>
    </xf>
    <xf numFmtId="164" fontId="26" fillId="12" borderId="0" xfId="0" applyFont="1" applyNumberFormat="1" applyFill="1" applyAlignment="1">
      <alignment textRotation="0" horizontal="left" vertical="bottom" indent="0"/>
    </xf>
    <xf numFmtId="164" fontId="26" fillId="12" borderId="59" xfId="0" applyFont="1" applyNumberFormat="1" applyFill="1" applyBorder="1" applyAlignment="1">
      <alignment textRotation="0" horizontal="center" vertical="bottom" indent="0"/>
    </xf>
    <xf numFmtId="164" fontId="7" fillId="0" borderId="71" xfId="0" applyFont="1" applyNumberFormat="1" applyBorder="1" applyAlignment="1">
      <alignment textRotation="0" horizontal="left" vertical="center" indent="0"/>
    </xf>
    <xf numFmtId="169" fontId="7" fillId="0" borderId="18" xfId="0" applyFont="1" applyNumberFormat="1" applyBorder="1" applyAlignment="1">
      <alignment textRotation="0" horizontal="center" vertical="center" indent="0" wrapText="1"/>
    </xf>
    <xf numFmtId="169" fontId="7" fillId="0" borderId="21" xfId="0" applyFont="1" applyNumberFormat="1" applyBorder="1" applyAlignment="1">
      <alignment textRotation="0" horizontal="general" vertical="center" indent="0" wrapText="1"/>
    </xf>
    <xf numFmtId="169" fontId="7" fillId="0" borderId="0" xfId="0" applyFont="1" applyNumberFormat="1" applyAlignment="1">
      <alignment textRotation="0" horizontal="general" vertical="center" indent="0" wrapText="1"/>
    </xf>
    <xf numFmtId="169" fontId="7" fillId="0" borderId="124" xfId="0" applyFont="1" applyNumberFormat="1" applyBorder="1" applyAlignment="1">
      <alignment textRotation="0" horizontal="general" vertical="bottom" indent="0"/>
    </xf>
    <xf numFmtId="164" fontId="7" fillId="0" borderId="2" xfId="0" applyFont="1" applyNumberFormat="1" applyBorder="1" applyAlignment="1">
      <alignment textRotation="0" horizontal="center" vertical="bottom" indent="0"/>
    </xf>
    <xf numFmtId="174" fontId="7" fillId="0" borderId="125" xfId="0" applyFont="1" applyNumberFormat="1" applyBorder="1" applyAlignment="1">
      <alignment textRotation="0" horizontal="right" vertical="top" indent="0" wrapText="1"/>
    </xf>
    <xf numFmtId="174" fontId="7" fillId="0" borderId="71" xfId="0" applyFont="1" applyNumberFormat="1" applyBorder="1" applyAlignment="1">
      <alignment textRotation="0" horizontal="right" vertical="bottom" indent="0" wrapText="1"/>
    </xf>
    <xf numFmtId="164" fontId="7" fillId="0" borderId="31" xfId="0" applyFont="1" applyNumberFormat="1" applyBorder="1" applyAlignment="1">
      <alignment textRotation="0" horizontal="general" vertical="top" indent="0" wrapText="1"/>
    </xf>
    <xf numFmtId="164" fontId="7" fillId="0" borderId="126" xfId="0" applyFont="1" applyNumberFormat="1" applyBorder="1" applyAlignment="1">
      <alignment textRotation="0" horizontal="left" vertical="bottom" indent="0" wrapText="1"/>
    </xf>
    <xf numFmtId="164" fontId="151" fillId="32" borderId="0" xfId="0" applyFont="1" applyNumberFormat="1" applyFill="1" applyAlignment="1">
      <alignment textRotation="90" horizontal="center" vertical="center" indent="0" wrapText="1"/>
    </xf>
    <xf numFmtId="164" fontId="26" fillId="12" borderId="0" xfId="0" applyFont="1" applyNumberFormat="1" applyFill="1" applyAlignment="1">
      <alignment textRotation="0" horizontal="left" vertical="bottom" indent="0" wrapText="1"/>
    </xf>
    <xf numFmtId="164" fontId="26" fillId="12" borderId="0" xfId="0" applyFont="1" applyNumberFormat="1" applyFill="1" applyAlignment="1">
      <alignment textRotation="0" horizontal="center" vertical="center" indent="0"/>
    </xf>
    <xf numFmtId="174" fontId="151" fillId="32" borderId="0" xfId="0" applyFont="1" applyNumberFormat="1" applyFill="1" applyAlignment="1">
      <alignment textRotation="0" horizontal="center" vertical="center" indent="0" wrapText="1"/>
    </xf>
    <xf numFmtId="164" fontId="147" fillId="0" borderId="18" xfId="0" applyFont="1" applyNumberFormat="1" applyBorder="1" applyAlignment="1">
      <alignment textRotation="0" horizontal="center" vertical="center" indent="0"/>
    </xf>
    <xf numFmtId="164" fontId="34" fillId="0" borderId="65" xfId="0" applyFont="1" applyNumberFormat="1" applyBorder="1" applyAlignment="1">
      <alignment textRotation="0" horizontal="general" vertical="bottom" indent="0"/>
    </xf>
    <xf numFmtId="169" fontId="7" fillId="0" borderId="127" xfId="0" applyFont="1" applyNumberFormat="1" applyBorder="1" applyAlignment="1">
      <alignment textRotation="0" horizontal="center" vertical="bottom" indent="0"/>
    </xf>
    <xf numFmtId="164" fontId="7" fillId="0" borderId="127" xfId="0" applyFont="1" applyNumberFormat="1" applyBorder="1" applyAlignment="1">
      <alignment textRotation="0" horizontal="center" vertical="center" indent="0"/>
    </xf>
    <xf numFmtId="172" fontId="7" fillId="0" borderId="0" xfId="0" applyFont="1" applyNumberFormat="1" applyAlignment="1">
      <alignment textRotation="0" horizontal="general" vertical="bottom" indent="0"/>
    </xf>
    <xf numFmtId="174" fontId="7" fillId="0" borderId="71" xfId="0" applyFont="1" applyNumberFormat="1" applyBorder="1" applyAlignment="1">
      <alignment textRotation="0" horizontal="right" vertical="bottom" indent="0"/>
    </xf>
    <xf numFmtId="164" fontId="7" fillId="0" borderId="9" xfId="0" applyFont="1" applyNumberFormat="1" applyBorder="1" applyAlignment="1">
      <alignment textRotation="0" horizontal="general" vertical="center" indent="0" wrapText="1"/>
    </xf>
    <xf numFmtId="166" fontId="7" fillId="0" borderId="0" xfId="0" applyFont="1" applyNumberFormat="1" applyAlignment="1">
      <alignment textRotation="0" horizontal="right" vertical="bottom" indent="0"/>
    </xf>
    <xf numFmtId="164" fontId="7" fillId="0" borderId="10" xfId="0" applyFont="1" applyNumberFormat="1" applyBorder="1" applyAlignment="1">
      <alignment textRotation="0" horizontal="general" vertical="top" indent="0" wrapText="1"/>
    </xf>
    <xf numFmtId="174" fontId="7" fillId="0" borderId="10" xfId="0" applyFont="1" applyNumberFormat="1" applyBorder="1" applyAlignment="1">
      <alignment textRotation="0" horizontal="center" vertical="top" indent="0" wrapText="1"/>
    </xf>
    <xf numFmtId="174" fontId="7" fillId="0" borderId="12" xfId="0" applyFont="1" applyNumberFormat="1" applyBorder="1" applyAlignment="1">
      <alignment textRotation="0" horizontal="center" vertical="top" indent="0" wrapText="1"/>
    </xf>
    <xf numFmtId="164" fontId="7" fillId="0" borderId="33" xfId="0" applyFont="1" applyNumberFormat="1" applyBorder="1" applyAlignment="1">
      <alignment textRotation="0" horizontal="general" vertical="bottom" indent="0" wrapText="1"/>
    </xf>
    <xf numFmtId="174" fontId="7" fillId="0" borderId="0" xfId="0" applyFont="1" applyNumberFormat="1" applyAlignment="1">
      <alignment textRotation="0" horizontal="general" vertical="bottom" indent="0"/>
    </xf>
    <xf numFmtId="164" fontId="7" fillId="0" borderId="0" xfId="0" applyFont="1" applyNumberFormat="1" applyAlignment="1">
      <alignment textRotation="0" horizontal="right" vertical="top" indent="0" wrapText="1"/>
    </xf>
    <xf numFmtId="164" fontId="151" fillId="18" borderId="0" xfId="0" applyFont="1" applyNumberFormat="1" applyFill="1" applyAlignment="1">
      <alignment textRotation="90" horizontal="center" vertical="center" indent="0" wrapText="1"/>
    </xf>
    <xf numFmtId="174" fontId="151" fillId="18" borderId="0" xfId="0" applyFont="1" applyNumberFormat="1" applyFill="1" applyAlignment="1">
      <alignment textRotation="0" horizontal="center" vertical="center" indent="0" wrapText="1"/>
    </xf>
    <xf numFmtId="164" fontId="7" fillId="0" borderId="22" xfId="0" applyFont="1" applyNumberFormat="1" applyBorder="1" applyAlignment="1">
      <alignment textRotation="0" horizontal="right" vertical="bottom" indent="0" wrapText="1"/>
    </xf>
    <xf numFmtId="164" fontId="7" fillId="0" borderId="59" xfId="0" applyFont="1" applyNumberFormat="1" applyBorder="1" applyAlignment="1">
      <alignment textRotation="0" horizontal="center" vertical="center" indent="0"/>
    </xf>
    <xf numFmtId="164" fontId="151" fillId="21" borderId="0" xfId="0" applyFont="1" applyNumberFormat="1" applyFill="1" applyAlignment="1">
      <alignment textRotation="90" horizontal="center" vertical="center" indent="0" wrapText="1"/>
    </xf>
    <xf numFmtId="174" fontId="151" fillId="21" borderId="0" xfId="0" applyFont="1" applyNumberFormat="1" applyFill="1" applyAlignment="1">
      <alignment textRotation="0" horizontal="center" vertical="center" indent="0" wrapText="1"/>
    </xf>
    <xf numFmtId="164" fontId="7" fillId="0" borderId="18" xfId="0" applyFont="1" applyNumberFormat="1" applyBorder="1" applyAlignment="1">
      <alignment textRotation="0" horizontal="left" vertical="center" indent="0" wrapText="1"/>
    </xf>
    <xf numFmtId="164" fontId="126" fillId="0" borderId="0" xfId="0" applyFont="1" applyNumberFormat="1" applyAlignment="1">
      <alignment textRotation="0" horizontal="left" vertical="bottom" indent="0"/>
    </xf>
    <xf numFmtId="174" fontId="7" fillId="0" borderId="11" xfId="0" applyFont="1" applyNumberFormat="1" applyBorder="1" applyAlignment="1">
      <alignment textRotation="0" horizontal="right" vertical="top" indent="0"/>
    </xf>
    <xf numFmtId="164" fontId="126" fillId="0" borderId="0" xfId="0" applyFont="1" applyNumberFormat="1" applyAlignment="1">
      <alignment textRotation="0" horizontal="general" vertical="bottom" indent="0" wrapText="1"/>
    </xf>
    <xf numFmtId="164" fontId="7" fillId="0" borderId="4" xfId="0" applyFont="1" applyNumberFormat="1" applyBorder="1" applyAlignment="1">
      <alignment textRotation="0" horizontal="left" vertical="center" indent="0"/>
    </xf>
    <xf numFmtId="172" fontId="7" fillId="0" borderId="21" xfId="0" applyFont="1" applyNumberFormat="1" applyBorder="1" applyAlignment="1">
      <alignment textRotation="0" horizontal="center" vertical="center" indent="0"/>
    </xf>
    <xf numFmtId="174" fontId="33" fillId="12" borderId="18" xfId="0" applyFont="1" applyNumberFormat="1" applyFill="1" applyBorder="1" applyAlignment="1">
      <alignment textRotation="0" horizontal="center" vertical="center" indent="0"/>
    </xf>
    <xf numFmtId="164" fontId="7" fillId="0" borderId="9" xfId="0" applyFont="1" applyNumberFormat="1" applyBorder="1" applyAlignment="1">
      <alignment textRotation="0" horizontal="center" vertical="center" indent="0"/>
    </xf>
    <xf numFmtId="164" fontId="9" fillId="0" borderId="9" xfId="0" applyFont="1" applyNumberFormat="1" applyBorder="1" applyAlignment="1">
      <alignment textRotation="0" horizontal="general" vertical="bottom" indent="0"/>
    </xf>
    <xf numFmtId="174" fontId="9" fillId="0" borderId="10" xfId="0" applyFont="1" applyNumberFormat="1" applyBorder="1" applyAlignment="1">
      <alignment textRotation="0" horizontal="center" vertical="center" indent="0"/>
    </xf>
    <xf numFmtId="174" fontId="9" fillId="0" borderId="23" xfId="0" applyFont="1" applyNumberFormat="1" applyBorder="1" applyAlignment="1">
      <alignment textRotation="0" horizontal="center" vertical="center" indent="0" wrapText="1"/>
    </xf>
    <xf numFmtId="174" fontId="7" fillId="0" borderId="23" xfId="0" applyFont="1" applyNumberFormat="1" applyBorder="1" applyAlignment="1">
      <alignment textRotation="0" horizontal="center" vertical="center" indent="0"/>
    </xf>
    <xf numFmtId="164" fontId="7" fillId="0" borderId="11" xfId="0" applyFont="1" applyNumberFormat="1" applyBorder="1" applyAlignment="1">
      <alignment textRotation="0" horizontal="general" vertical="bottom" indent="0" wrapText="1"/>
    </xf>
    <xf numFmtId="164" fontId="149" fillId="30" borderId="0" xfId="0" applyFont="1" applyNumberFormat="1" applyFill="1" applyAlignment="1">
      <alignment textRotation="0" horizontal="center" vertical="center" indent="0" wrapText="1"/>
    </xf>
    <xf numFmtId="174" fontId="149" fillId="30" borderId="0" xfId="0" applyFont="1" applyNumberFormat="1" applyFill="1" applyAlignment="1">
      <alignment textRotation="0" horizontal="center" vertical="center" indent="0" wrapText="1"/>
    </xf>
    <xf numFmtId="164" fontId="49" fillId="16" borderId="0" xfId="0" applyFont="1" applyNumberFormat="1" applyFill="1" applyAlignment="1">
      <alignment textRotation="0" horizontal="center" vertical="center" indent="0" wrapText="1"/>
    </xf>
    <xf numFmtId="164" fontId="152" fillId="0" borderId="0" xfId="0" applyFont="1" applyNumberFormat="1" applyAlignment="1">
      <alignment textRotation="0" horizontal="center" vertical="center" indent="0"/>
    </xf>
    <xf numFmtId="164" fontId="31" fillId="16" borderId="0" xfId="0" applyFont="1" applyNumberFormat="1" applyFill="1" applyAlignment="1">
      <alignment textRotation="90" horizontal="center" vertical="center" indent="0"/>
    </xf>
    <xf numFmtId="164" fontId="26" fillId="33" borderId="0" xfId="0" applyFont="1" applyNumberFormat="1" applyFill="1" applyAlignment="1">
      <alignment textRotation="0" horizontal="general" vertical="top" indent="0"/>
    </xf>
    <xf numFmtId="174" fontId="31" fillId="16" borderId="0" xfId="0" applyFont="1" applyNumberFormat="1" applyFill="1" applyAlignment="1">
      <alignment textRotation="0" horizontal="center" vertical="center" indent="0"/>
    </xf>
    <xf numFmtId="174" fontId="26" fillId="33" borderId="0" xfId="0" applyFont="1" applyNumberFormat="1" applyFill="1" applyAlignment="1">
      <alignment textRotation="0" horizontal="general" vertical="center" indent="0"/>
    </xf>
    <xf numFmtId="170" fontId="7" fillId="0" borderId="0" xfId="0" applyFont="1" applyNumberFormat="1" applyAlignment="1">
      <alignment textRotation="0" horizontal="left" vertical="bottom" indent="0"/>
    </xf>
    <xf numFmtId="164" fontId="26" fillId="33" borderId="59" xfId="0" applyFont="1" applyNumberFormat="1" applyFill="1" applyBorder="1" applyAlignment="1">
      <alignment textRotation="0" horizontal="general" vertical="top" indent="0"/>
    </xf>
    <xf numFmtId="164" fontId="7" fillId="0" borderId="71" xfId="0" applyFont="1" applyNumberFormat="1" applyBorder="1" applyAlignment="1">
      <alignment textRotation="0" horizontal="center" vertical="bottom" indent="0"/>
    </xf>
    <xf numFmtId="164" fontId="7" fillId="0" borderId="0" xfId="0" applyFont="1" applyNumberFormat="1" applyAlignment="1">
      <alignment textRotation="0" horizontal="center" vertical="top" indent="0"/>
    </xf>
    <xf numFmtId="164" fontId="7" fillId="0" borderId="65" xfId="0" applyFont="1" applyNumberFormat="1" applyBorder="1" applyAlignment="1">
      <alignment textRotation="0" horizontal="center" vertical="center" indent="0" wrapText="1"/>
    </xf>
    <xf numFmtId="164" fontId="7" fillId="0" borderId="31" xfId="0" applyFont="1" applyNumberFormat="1" applyBorder="1" applyAlignment="1">
      <alignment textRotation="0" horizontal="center" vertical="center" indent="0" wrapText="1"/>
    </xf>
    <xf numFmtId="169" fontId="7" fillId="0" borderId="59" xfId="0" applyFont="1" applyNumberFormat="1" applyBorder="1" applyAlignment="1">
      <alignment textRotation="0" horizontal="center" vertical="center" indent="0" wrapText="1"/>
    </xf>
    <xf numFmtId="164" fontId="153" fillId="0" borderId="0" xfId="0" applyFont="1" applyNumberFormat="1" applyAlignment="1">
      <alignment textRotation="0" horizontal="general" vertical="bottom" indent="0"/>
    </xf>
    <xf numFmtId="164" fontId="7" fillId="0" borderId="0" xfId="0" applyFont="1" applyNumberFormat="1" applyAlignment="1">
      <alignment textRotation="0" horizontal="general" vertical="top" indent="0"/>
    </xf>
    <xf numFmtId="164" fontId="7" fillId="5" borderId="0" xfId="0" applyFont="1" applyNumberFormat="1" applyFill="1" applyAlignment="1">
      <alignment textRotation="0" horizontal="center" vertical="center" indent="0"/>
    </xf>
    <xf numFmtId="168" fontId="7" fillId="0" borderId="71" xfId="0" applyFont="1" applyNumberFormat="1" applyBorder="1" applyAlignment="1">
      <alignment textRotation="0" horizontal="left" vertical="bottom" indent="0"/>
    </xf>
    <xf numFmtId="168" fontId="7" fillId="0" borderId="0" xfId="0" applyFont="1" applyNumberFormat="1" applyAlignment="1">
      <alignment textRotation="0" horizontal="general" vertical="top" indent="0"/>
    </xf>
    <xf numFmtId="164" fontId="7" fillId="0" borderId="128" xfId="0" applyFont="1" applyNumberFormat="1" applyBorder="1" applyAlignment="1">
      <alignment textRotation="0" horizontal="general" vertical="bottom" indent="0"/>
    </xf>
    <xf numFmtId="183" fontId="7" fillId="0" borderId="0" xfId="0" applyFont="1" applyNumberFormat="1" applyAlignment="1">
      <alignment textRotation="0" horizontal="general" vertical="bottom" indent="0"/>
    </xf>
    <xf numFmtId="164" fontId="7" fillId="0" borderId="59" xfId="0" applyFont="1" applyNumberFormat="1" applyBorder="1" applyAlignment="1">
      <alignment textRotation="0" horizontal="right" vertical="bottom" indent="0"/>
    </xf>
    <xf numFmtId="183" fontId="7" fillId="0" borderId="0" xfId="0" applyFont="1" applyNumberFormat="1" applyAlignment="1">
      <alignment textRotation="0" horizontal="left" vertical="bottom" indent="0"/>
    </xf>
    <xf numFmtId="164" fontId="7" fillId="0" borderId="65" xfId="0" applyFont="1" applyNumberFormat="1" applyBorder="1" applyAlignment="1">
      <alignment textRotation="0" horizontal="right" vertical="bottom" indent="0"/>
    </xf>
    <xf numFmtId="174" fontId="7" fillId="0" borderId="71" xfId="0" applyFont="1" applyNumberFormat="1" applyBorder="1" applyAlignment="1">
      <alignment textRotation="0" horizontal="general" vertical="top" indent="0"/>
    </xf>
    <xf numFmtId="164" fontId="19" fillId="0" borderId="71" xfId="0" applyFont="1" applyNumberFormat="1" applyBorder="1" applyAlignment="1">
      <alignment textRotation="0" horizontal="right" vertical="bottom" indent="0"/>
    </xf>
    <xf numFmtId="164" fontId="31" fillId="33" borderId="0" xfId="0" applyFont="1" applyNumberFormat="1" applyFill="1" applyAlignment="1">
      <alignment textRotation="90" horizontal="center" vertical="center" indent="0"/>
    </xf>
    <xf numFmtId="174" fontId="31" fillId="33" borderId="0" xfId="0" applyFont="1" applyNumberFormat="1" applyFill="1" applyAlignment="1">
      <alignment textRotation="0" horizontal="center" vertical="center" indent="0"/>
    </xf>
    <xf numFmtId="164" fontId="26" fillId="0" borderId="10" xfId="0" applyFont="1" applyNumberFormat="1" applyBorder="1" applyAlignment="1">
      <alignment textRotation="0" horizontal="general" vertical="bottom" indent="0"/>
    </xf>
    <xf numFmtId="164" fontId="145" fillId="15" borderId="13" xfId="0" applyFont="1" applyNumberFormat="1" applyFill="1" applyBorder="1" applyAlignment="1">
      <alignment textRotation="0" horizontal="center" vertical="bottom" indent="0"/>
    </xf>
    <xf numFmtId="172" fontId="7" fillId="0" borderId="18" xfId="0" applyFont="1" applyNumberFormat="1" applyBorder="1" applyAlignment="1">
      <alignment textRotation="0" horizontal="center" vertical="bottom" indent="0"/>
    </xf>
    <xf numFmtId="164" fontId="26" fillId="0" borderId="11" xfId="0" applyFont="1" applyNumberFormat="1" applyBorder="1" applyAlignment="1">
      <alignment textRotation="0" horizontal="center" vertical="center" indent="0"/>
    </xf>
    <xf numFmtId="164" fontId="26" fillId="0" borderId="23" xfId="0" applyFont="1" applyNumberFormat="1" applyBorder="1" applyAlignment="1">
      <alignment textRotation="0" horizontal="center" vertical="center" indent="0" wrapText="1"/>
    </xf>
    <xf numFmtId="164" fontId="26" fillId="0" borderId="12" xfId="0" applyFont="1" applyNumberFormat="1" applyBorder="1" applyAlignment="1">
      <alignment textRotation="0" horizontal="center" vertical="center" indent="0" wrapText="1"/>
    </xf>
    <xf numFmtId="164" fontId="145" fillId="15" borderId="18" xfId="0" applyFont="1" applyNumberFormat="1" applyFill="1" applyBorder="1" applyAlignment="1">
      <alignment textRotation="0" horizontal="center" vertical="center" indent="0"/>
    </xf>
    <xf numFmtId="164" fontId="26" fillId="0" borderId="13" xfId="0" applyFont="1" applyNumberFormat="1" applyBorder="1" applyAlignment="1">
      <alignment textRotation="0" horizontal="center" vertical="bottom" indent="0"/>
    </xf>
    <xf numFmtId="164" fontId="26" fillId="9" borderId="7" xfId="0" applyFont="1" applyNumberFormat="1" applyFill="1" applyBorder="1" applyAlignment="1">
      <alignment textRotation="0" horizontal="center" vertical="center" indent="0"/>
    </xf>
    <xf numFmtId="164" fontId="26" fillId="18" borderId="18" xfId="0" applyFont="1" applyNumberFormat="1" applyFill="1" applyBorder="1" applyAlignment="1">
      <alignment textRotation="0" horizontal="center" vertical="center" indent="0"/>
    </xf>
    <xf numFmtId="164" fontId="26" fillId="4" borderId="18" xfId="0" applyFont="1" applyNumberFormat="1" applyFill="1" applyBorder="1" applyAlignment="1">
      <alignment textRotation="0" horizontal="center" vertical="center" indent="0"/>
    </xf>
    <xf numFmtId="168" fontId="7" fillId="0" borderId="18" xfId="0" applyFont="1" applyNumberFormat="1" applyBorder="1" applyAlignment="1">
      <alignment textRotation="0" horizontal="center" vertical="bottom" indent="0"/>
    </xf>
    <xf numFmtId="164" fontId="26" fillId="0" borderId="15" xfId="0" applyFont="1" applyNumberFormat="1" applyBorder="1" applyAlignment="1">
      <alignment textRotation="0" horizontal="center" vertical="bottom" indent="0" wrapText="1"/>
    </xf>
    <xf numFmtId="164" fontId="26" fillId="21" borderId="18" xfId="0" applyFont="1" applyNumberFormat="1" applyFill="1" applyBorder="1" applyAlignment="1">
      <alignment textRotation="0" horizontal="center" vertical="center" indent="0"/>
    </xf>
    <xf numFmtId="164" fontId="26" fillId="10" borderId="18" xfId="0" applyFont="1" applyNumberFormat="1" applyFill="1" applyBorder="1" applyAlignment="1">
      <alignment textRotation="0" horizontal="center" vertical="center" indent="0"/>
    </xf>
    <xf numFmtId="183" fontId="7" fillId="0" borderId="124" xfId="0" applyFont="1" applyNumberFormat="1" applyBorder="1" applyAlignment="1">
      <alignment textRotation="0" horizontal="left" vertical="bottom" indent="0"/>
    </xf>
    <xf numFmtId="164" fontId="26" fillId="0" borderId="15" xfId="0" applyFont="1" applyNumberFormat="1" applyBorder="1" applyAlignment="1">
      <alignment textRotation="0" horizontal="center" vertical="bottom" indent="0"/>
    </xf>
    <xf numFmtId="164" fontId="26" fillId="34" borderId="18" xfId="0" applyFont="1" applyNumberFormat="1" applyFill="1" applyBorder="1" applyAlignment="1">
      <alignment textRotation="0" horizontal="center" vertical="center" indent="0"/>
    </xf>
    <xf numFmtId="164" fontId="26" fillId="16" borderId="18" xfId="0" applyFont="1" applyNumberFormat="1" applyFill="1" applyBorder="1" applyAlignment="1">
      <alignment textRotation="0" horizontal="center" vertical="center" indent="0"/>
    </xf>
    <xf numFmtId="164" fontId="28" fillId="0" borderId="0" xfId="0" applyFont="1" applyNumberFormat="1" applyAlignment="1">
      <alignment textRotation="0" horizontal="right" vertical="top" indent="0"/>
    </xf>
    <xf numFmtId="164" fontId="26" fillId="0" borderId="17" xfId="0" applyFont="1" applyNumberFormat="1" applyBorder="1" applyAlignment="1">
      <alignment textRotation="0" horizontal="center" vertical="bottom" indent="0"/>
    </xf>
    <xf numFmtId="164" fontId="7" fillId="9" borderId="18" xfId="0" applyFont="1" applyNumberFormat="1" applyFill="1" applyBorder="1" applyAlignment="1">
      <alignment textRotation="0" horizontal="center" vertical="bottom" indent="0"/>
    </xf>
    <xf numFmtId="164" fontId="26" fillId="34" borderId="18" xfId="0" applyFont="1" applyNumberFormat="1" applyFill="1" applyBorder="1" applyAlignment="1">
      <alignment textRotation="0" horizontal="center" vertical="bottom" indent="0"/>
    </xf>
    <xf numFmtId="164" fontId="7" fillId="16" borderId="18" xfId="0" applyFont="1" applyNumberFormat="1" applyFill="1" applyBorder="1" applyAlignment="1">
      <alignment textRotation="0" horizontal="center" vertical="bottom" indent="0"/>
    </xf>
    <xf numFmtId="164" fontId="7" fillId="10" borderId="18" xfId="0" applyFont="1" applyNumberFormat="1" applyFill="1" applyBorder="1" applyAlignment="1">
      <alignment textRotation="0" horizontal="center" vertical="bottom" indent="0"/>
    </xf>
    <xf numFmtId="174" fontId="7" fillId="0" borderId="33" xfId="0" applyFont="1" applyNumberFormat="1" applyBorder="1" applyAlignment="1">
      <alignment textRotation="0" horizontal="general" vertical="top" indent="0"/>
    </xf>
    <xf numFmtId="174" fontId="7" fillId="0" borderId="33" xfId="0" applyFont="1" applyNumberFormat="1" applyBorder="1" applyAlignment="1">
      <alignment textRotation="0" horizontal="left" vertical="top" indent="0"/>
    </xf>
    <xf numFmtId="174" fontId="7" fillId="0" borderId="31" xfId="0" applyFont="1" applyNumberFormat="1" applyBorder="1" applyAlignment="1">
      <alignment textRotation="0" horizontal="left" vertical="top" indent="0"/>
    </xf>
    <xf numFmtId="164" fontId="31" fillId="10" borderId="66" xfId="0" applyFont="1" applyNumberFormat="1" applyFill="1" applyBorder="1" applyAlignment="1">
      <alignment textRotation="90" horizontal="center" vertical="center" indent="0"/>
    </xf>
    <xf numFmtId="164" fontId="26" fillId="33" borderId="57" xfId="0" applyFont="1" applyNumberFormat="1" applyFill="1" applyBorder="1" applyAlignment="1">
      <alignment textRotation="0" horizontal="general" vertical="top" indent="0"/>
    </xf>
    <xf numFmtId="164" fontId="7" fillId="0" borderId="58" xfId="0" applyFont="1" applyNumberFormat="1" applyBorder="1" applyAlignment="1">
      <alignment textRotation="0" horizontal="left" vertical="center" indent="0"/>
    </xf>
    <xf numFmtId="174" fontId="31" fillId="10" borderId="1" xfId="0" applyFont="1" applyNumberFormat="1" applyFill="1" applyBorder="1" applyAlignment="1">
      <alignment textRotation="0" horizontal="center" vertical="center" indent="0"/>
    </xf>
    <xf numFmtId="164" fontId="7" fillId="0" borderId="32" xfId="0" applyFont="1" applyNumberFormat="1" applyBorder="1" applyAlignment="1">
      <alignment textRotation="0" horizontal="general" vertical="bottom" indent="0"/>
    </xf>
    <xf numFmtId="164" fontId="7" fillId="0" borderId="32" xfId="0" applyFont="1" applyNumberFormat="1" applyBorder="1" applyAlignment="1">
      <alignment textRotation="0" horizontal="center" vertical="center" indent="0"/>
    </xf>
    <xf numFmtId="164" fontId="7" fillId="0" borderId="32" xfId="0" applyFont="1" applyNumberFormat="1" applyBorder="1" applyAlignment="1">
      <alignment textRotation="0" horizontal="center" vertical="bottom" indent="0"/>
    </xf>
    <xf numFmtId="170" fontId="7" fillId="0" borderId="71" xfId="0" applyFont="1" applyNumberFormat="1" applyBorder="1" applyAlignment="1">
      <alignment textRotation="0" horizontal="left" vertical="bottom" indent="0"/>
    </xf>
    <xf numFmtId="164" fontId="7" fillId="0" borderId="32" xfId="0" applyFont="1" applyNumberFormat="1" applyBorder="1" applyAlignment="1">
      <alignment textRotation="0" horizontal="left" vertical="center" indent="0"/>
    </xf>
    <xf numFmtId="174" fontId="7" fillId="0" borderId="6" xfId="0" applyFont="1" applyNumberFormat="1" applyBorder="1" applyAlignment="1">
      <alignment textRotation="0" horizontal="right" vertical="top" indent="0"/>
    </xf>
    <xf numFmtId="174" fontId="7" fillId="0" borderId="124" xfId="0" applyFont="1" applyNumberFormat="1" applyBorder="1" applyAlignment="1">
      <alignment textRotation="0" horizontal="center" vertical="center" indent="0"/>
    </xf>
    <xf numFmtId="174" fontId="26" fillId="33" borderId="17" xfId="0" applyFont="1" applyNumberFormat="1" applyFill="1" applyBorder="1" applyAlignment="1">
      <alignment textRotation="0" horizontal="general" vertical="center" indent="0"/>
    </xf>
    <xf numFmtId="170" fontId="7" fillId="0" borderId="23" xfId="0" applyFont="1" applyNumberFormat="1" applyBorder="1" applyAlignment="1">
      <alignment textRotation="0" horizontal="left" vertical="bottom" indent="0"/>
    </xf>
    <xf numFmtId="171" fontId="7" fillId="0" borderId="60" xfId="0" applyFont="1" applyNumberFormat="1" applyBorder="1" applyAlignment="1">
      <alignment textRotation="0" horizontal="left" vertical="bottom" indent="0"/>
    </xf>
    <xf numFmtId="164" fontId="7" fillId="0" borderId="60" xfId="0" applyFont="1" applyNumberFormat="1" applyBorder="1" applyAlignment="1">
      <alignment textRotation="0" horizontal="right" vertical="top" indent="0"/>
    </xf>
    <xf numFmtId="164" fontId="7" fillId="0" borderId="60" xfId="0" applyFont="1" applyNumberFormat="1" applyBorder="1" applyAlignment="1">
      <alignment textRotation="0" horizontal="center" vertical="center" indent="0"/>
    </xf>
    <xf numFmtId="164" fontId="26" fillId="0" borderId="60" xfId="0" applyFont="1" applyNumberFormat="1" applyBorder="1" applyAlignment="1">
      <alignment textRotation="0" horizontal="general" vertical="top" indent="0"/>
    </xf>
    <xf numFmtId="164" fontId="7" fillId="0" borderId="61" xfId="0" applyFont="1" applyNumberFormat="1" applyBorder="1" applyAlignment="1">
      <alignment textRotation="0" horizontal="center" vertical="bottom" indent="0"/>
    </xf>
    <xf numFmtId="174" fontId="49" fillId="16" borderId="0" xfId="0" applyFont="1" applyNumberFormat="1" applyFill="1" applyAlignment="1">
      <alignment textRotation="0" horizontal="center" vertical="center" indent="0" wrapText="1"/>
    </xf>
    <xf numFmtId="164" fontId="154" fillId="7" borderId="24" xfId="0" applyFont="1" applyNumberFormat="1" applyFill="1" applyBorder="1" applyAlignment="1">
      <alignment textRotation="0" horizontal="center" vertical="center" indent="0"/>
    </xf>
    <xf numFmtId="167" fontId="155" fillId="0" borderId="0" xfId="0" applyFont="1" applyNumberFormat="1" applyAlignment="1">
      <alignment textRotation="0" horizontal="general" vertical="center" indent="0"/>
    </xf>
    <xf numFmtId="164" fontId="154" fillId="0" borderId="0" xfId="0" applyFont="1" applyNumberFormat="1" applyAlignment="1">
      <alignment textRotation="0" horizontal="center" vertical="center" indent="0"/>
    </xf>
    <xf numFmtId="167" fontId="155" fillId="0" borderId="0" xfId="0" applyFont="1" applyNumberFormat="1" applyAlignment="1">
      <alignment textRotation="0" horizontal="center" vertical="center" indent="0"/>
    </xf>
    <xf numFmtId="164" fontId="152" fillId="17" borderId="24" xfId="0" applyFont="1" applyNumberFormat="1" applyFill="1" applyBorder="1" applyAlignment="1">
      <alignment textRotation="0" horizontal="center" vertical="center" indent="0"/>
    </xf>
    <xf numFmtId="164" fontId="49" fillId="0" borderId="42" xfId="0" applyFont="1" applyNumberFormat="1" applyBorder="1" applyAlignment="1">
      <alignment textRotation="0" horizontal="center" vertical="bottom" indent="0"/>
    </xf>
    <xf numFmtId="164" fontId="126" fillId="0" borderId="40" xfId="0" applyFont="1" applyNumberFormat="1" applyBorder="1" applyAlignment="1">
      <alignment textRotation="0" horizontal="center" vertical="center" indent="0"/>
    </xf>
    <xf numFmtId="164" fontId="126" fillId="0" borderId="52" xfId="0" applyFont="1" applyNumberFormat="1" applyBorder="1" applyAlignment="1">
      <alignment textRotation="0" horizontal="center" vertical="center" indent="0"/>
    </xf>
    <xf numFmtId="164" fontId="126" fillId="0" borderId="53" xfId="0" applyFont="1" applyNumberFormat="1" applyBorder="1" applyAlignment="1">
      <alignment textRotation="0" horizontal="center" vertical="center" indent="0"/>
    </xf>
    <xf numFmtId="164" fontId="126" fillId="0" borderId="0" xfId="0" applyFont="1" applyNumberFormat="1" applyAlignment="1">
      <alignment textRotation="0" horizontal="center" vertical="center" indent="0" wrapText="1"/>
    </xf>
    <xf numFmtId="164" fontId="126" fillId="0" borderId="40" xfId="0" applyFont="1" applyNumberFormat="1" applyBorder="1" applyAlignment="1">
      <alignment textRotation="0" horizontal="center" vertical="center" indent="0" wrapText="1"/>
    </xf>
    <xf numFmtId="164" fontId="156" fillId="8" borderId="24" xfId="0" applyFont="1" applyNumberFormat="1" applyFill="1" applyBorder="1" applyAlignment="1">
      <alignment textRotation="90" horizontal="center" vertical="center" indent="0" wrapText="1"/>
    </xf>
    <xf numFmtId="164" fontId="31" fillId="2" borderId="0" xfId="0" applyFont="1" applyNumberFormat="1" applyFill="1" applyAlignment="1">
      <alignment textRotation="0" horizontal="center" vertical="center" indent="0" wrapText="1"/>
    </xf>
    <xf numFmtId="170" fontId="78" fillId="0" borderId="0" xfId="0" applyFont="1" applyNumberFormat="1" applyAlignment="1">
      <alignment textRotation="0" horizontal="left" vertical="center" indent="0"/>
    </xf>
    <xf numFmtId="170" fontId="78" fillId="0" borderId="0" xfId="0" applyFont="1" applyNumberFormat="1" applyAlignment="1">
      <alignment textRotation="0" horizontal="center" vertical="center" indent="0" wrapText="1"/>
    </xf>
    <xf numFmtId="174" fontId="45" fillId="0" borderId="0" xfId="0" applyFont="1" applyNumberFormat="1" applyAlignment="1">
      <alignment textRotation="0" horizontal="right" vertical="center" indent="0"/>
    </xf>
    <xf numFmtId="164" fontId="7" fillId="0" borderId="57" xfId="0" applyFont="1" applyNumberFormat="1" applyBorder="1" applyAlignment="1">
      <alignment textRotation="0" horizontal="center" vertical="center" indent="0"/>
    </xf>
    <xf numFmtId="172" fontId="45" fillId="0" borderId="58" xfId="0" applyFont="1" applyNumberFormat="1" applyBorder="1" applyAlignment="1">
      <alignment textRotation="0" horizontal="left" vertical="center" indent="0"/>
    </xf>
    <xf numFmtId="174" fontId="9" fillId="0" borderId="70" xfId="0" applyFont="1" applyNumberFormat="1" applyBorder="1" applyAlignment="1">
      <alignment textRotation="0" horizontal="right" vertical="center" indent="0"/>
    </xf>
    <xf numFmtId="164" fontId="9" fillId="0" borderId="70" xfId="0" applyFont="1" applyNumberFormat="1" applyBorder="1" applyAlignment="1">
      <alignment textRotation="0" horizontal="center" vertical="center" indent="0"/>
    </xf>
    <xf numFmtId="164" fontId="9" fillId="0" borderId="17" xfId="0" applyFont="1" applyNumberFormat="1" applyBorder="1" applyAlignment="1">
      <alignment textRotation="0" horizontal="left" vertical="center" indent="0"/>
    </xf>
    <xf numFmtId="174" fontId="45" fillId="0" borderId="59" xfId="0" applyFont="1" applyNumberFormat="1" applyBorder="1" applyAlignment="1">
      <alignment textRotation="0" horizontal="right" vertical="center" indent="0"/>
    </xf>
    <xf numFmtId="172" fontId="45" fillId="0" borderId="32" xfId="0" applyFont="1" applyNumberFormat="1" applyBorder="1" applyAlignment="1">
      <alignment textRotation="0" horizontal="left" vertical="center" indent="0"/>
    </xf>
    <xf numFmtId="164" fontId="45" fillId="0" borderId="60" xfId="0" applyFont="1" applyNumberFormat="1" applyBorder="1" applyAlignment="1">
      <alignment textRotation="0" horizontal="left" vertical="center" indent="0"/>
    </xf>
    <xf numFmtId="174" fontId="45" fillId="0" borderId="33" xfId="0" applyFont="1" applyNumberFormat="1" applyBorder="1" applyAlignment="1">
      <alignment textRotation="0" horizontal="right" vertical="center" indent="0"/>
    </xf>
    <xf numFmtId="172" fontId="45" fillId="0" borderId="61" xfId="0" applyFont="1" applyNumberFormat="1" applyBorder="1" applyAlignment="1">
      <alignment textRotation="0" horizontal="left" vertical="center" indent="0"/>
    </xf>
    <xf numFmtId="164" fontId="31" fillId="28" borderId="72" xfId="0" applyFont="1" applyNumberFormat="1" applyFill="1" applyBorder="1" applyAlignment="1">
      <alignment textRotation="0" horizontal="center" vertical="center" indent="0" wrapText="1"/>
    </xf>
    <xf numFmtId="170" fontId="78" fillId="0" borderId="0" xfId="0" applyFont="1" applyNumberFormat="1" applyAlignment="1">
      <alignment textRotation="0" horizontal="left" vertical="center" indent="0" wrapText="1"/>
    </xf>
    <xf numFmtId="170" fontId="78" fillId="0" borderId="60" xfId="0" applyFont="1" applyNumberFormat="1" applyBorder="1" applyAlignment="1">
      <alignment textRotation="0" horizontal="left" vertical="center" indent="0" wrapText="1"/>
    </xf>
    <xf numFmtId="164" fontId="151" fillId="27" borderId="72" xfId="0" applyFont="1" applyNumberFormat="1" applyFill="1" applyBorder="1" applyAlignment="1">
      <alignment textRotation="0" horizontal="center" vertical="center" indent="0" wrapText="1"/>
    </xf>
    <xf numFmtId="170" fontId="78" fillId="0" borderId="47" xfId="0" applyFont="1" applyNumberFormat="1" applyBorder="1" applyAlignment="1">
      <alignment textRotation="0" horizontal="left" vertical="center" indent="0"/>
    </xf>
    <xf numFmtId="164" fontId="45" fillId="0" borderId="69" xfId="0" applyFont="1" applyNumberFormat="1" applyBorder="1" applyAlignment="1">
      <alignment textRotation="0" horizontal="center" vertical="bottom" indent="0"/>
    </xf>
    <xf numFmtId="170" fontId="78" fillId="0" borderId="18" xfId="0" applyFont="1" applyNumberFormat="1" applyBorder="1" applyAlignment="1">
      <alignment textRotation="0" horizontal="left" vertical="center" indent="0" wrapText="1"/>
    </xf>
    <xf numFmtId="164" fontId="45" fillId="0" borderId="14" xfId="0" applyFont="1" applyNumberFormat="1" applyBorder="1" applyAlignment="1">
      <alignment textRotation="0" horizontal="center" vertical="bottom" indent="0"/>
    </xf>
    <xf numFmtId="164" fontId="45" fillId="0" borderId="53" xfId="0" applyFont="1" applyNumberFormat="1" applyBorder="1" applyAlignment="1">
      <alignment textRotation="0" horizontal="left" vertical="center" indent="0"/>
    </xf>
    <xf numFmtId="164" fontId="45" fillId="0" borderId="54" xfId="0" applyFont="1" applyNumberFormat="1" applyBorder="1" applyAlignment="1">
      <alignment textRotation="0" horizontal="center" vertical="bottom" indent="0"/>
    </xf>
    <xf numFmtId="164" fontId="151" fillId="13" borderId="72" xfId="0" applyFont="1" applyNumberFormat="1" applyFill="1" applyBorder="1" applyAlignment="1">
      <alignment textRotation="0" horizontal="center" vertical="center" indent="0" wrapText="1"/>
    </xf>
    <xf numFmtId="170" fontId="78" fillId="5" borderId="60" xfId="0" applyFont="1" applyNumberFormat="1" applyFill="1" applyBorder="1" applyAlignment="1">
      <alignment textRotation="0" horizontal="left" vertical="center" indent="0" wrapText="1"/>
    </xf>
    <xf numFmtId="164" fontId="151" fillId="29" borderId="24" xfId="0" applyFont="1" applyNumberFormat="1" applyFill="1" applyBorder="1" applyAlignment="1">
      <alignment textRotation="0" horizontal="center" vertical="center" indent="0" wrapText="1"/>
    </xf>
    <xf numFmtId="170" fontId="78" fillId="0" borderId="47" xfId="0" applyFont="1" applyNumberFormat="1" applyBorder="1" applyAlignment="1">
      <alignment textRotation="0" horizontal="left" vertical="center" indent="0" wrapText="1"/>
    </xf>
    <xf numFmtId="164" fontId="45" fillId="0" borderId="69" xfId="0" applyFont="1" applyNumberFormat="1" applyBorder="1" applyAlignment="1">
      <alignment textRotation="0" horizontal="center" vertical="center" indent="0"/>
    </xf>
    <xf numFmtId="164" fontId="45" fillId="0" borderId="14" xfId="0" applyFont="1" applyNumberFormat="1" applyBorder="1" applyAlignment="1">
      <alignment textRotation="0" horizontal="center" vertical="center" indent="0"/>
    </xf>
    <xf numFmtId="172" fontId="45" fillId="0" borderId="59" xfId="0" applyFont="1" applyNumberFormat="1" applyBorder="1" applyAlignment="1">
      <alignment textRotation="0" horizontal="right" vertical="center" indent="0"/>
    </xf>
    <xf numFmtId="164" fontId="45" fillId="0" borderId="53" xfId="0" applyFont="1" applyNumberFormat="1" applyBorder="1" applyAlignment="1">
      <alignment textRotation="0" horizontal="left" vertical="center" indent="0" wrapText="1"/>
    </xf>
    <xf numFmtId="164" fontId="45" fillId="0" borderId="54" xfId="0" applyFont="1" applyNumberFormat="1" applyBorder="1" applyAlignment="1">
      <alignment textRotation="0" horizontal="center" vertical="center" indent="0"/>
    </xf>
    <xf numFmtId="164" fontId="55" fillId="15" borderId="33" xfId="0" applyFont="1" applyNumberFormat="1" applyFill="1" applyBorder="1" applyAlignment="1">
      <alignment textRotation="0" horizontal="center" vertical="bottom" indent="0"/>
    </xf>
    <xf numFmtId="174" fontId="55" fillId="15" borderId="76" xfId="0" applyFont="1" applyNumberFormat="1" applyFill="1" applyBorder="1" applyAlignment="1">
      <alignment textRotation="0" horizontal="right" vertical="center" indent="0"/>
    </xf>
    <xf numFmtId="164" fontId="55" fillId="15" borderId="70" xfId="0" applyFont="1" applyNumberFormat="1" applyFill="1" applyBorder="1" applyAlignment="1">
      <alignment textRotation="0" horizontal="center" vertical="center" indent="0"/>
    </xf>
    <xf numFmtId="164" fontId="55" fillId="15" borderId="17" xfId="0" applyFont="1" applyNumberFormat="1" applyFill="1" applyBorder="1" applyAlignment="1">
      <alignment textRotation="0" horizontal="left" vertical="center" indent="0"/>
    </xf>
    <xf numFmtId="167" fontId="157" fillId="0" borderId="0" xfId="0" applyFont="1" applyNumberFormat="1" applyAlignment="1">
      <alignment textRotation="0" horizontal="general" vertical="bottom" indent="0"/>
    </xf>
    <xf numFmtId="164" fontId="156" fillId="30" borderId="24" xfId="0" applyFont="1" applyNumberFormat="1" applyFill="1" applyBorder="1" applyAlignment="1">
      <alignment textRotation="90" horizontal="center" vertical="center" indent="0" wrapText="1"/>
    </xf>
    <xf numFmtId="164" fontId="151" fillId="31" borderId="0" xfId="0" applyFont="1" applyNumberFormat="1" applyFill="1" applyAlignment="1">
      <alignment textRotation="0" horizontal="center" vertical="center" indent="0" wrapText="1"/>
    </xf>
    <xf numFmtId="164" fontId="78" fillId="5" borderId="0" xfId="0" applyFont="1" applyNumberFormat="1" applyFill="1" applyAlignment="1">
      <alignment textRotation="0" horizontal="left" vertical="center" indent="0" wrapText="1"/>
    </xf>
    <xf numFmtId="172" fontId="45" fillId="0" borderId="57" xfId="0" applyFont="1" applyNumberFormat="1" applyBorder="1" applyAlignment="1">
      <alignment textRotation="0" horizontal="left" vertical="center" indent="0"/>
    </xf>
    <xf numFmtId="174" fontId="9" fillId="0" borderId="76" xfId="0" applyFont="1" applyNumberFormat="1" applyBorder="1" applyAlignment="1">
      <alignment textRotation="0" horizontal="right" vertical="center" indent="0"/>
    </xf>
    <xf numFmtId="172" fontId="45" fillId="0" borderId="0" xfId="0" applyFont="1" applyNumberFormat="1" applyAlignment="1">
      <alignment textRotation="0" horizontal="left" vertical="center" indent="0"/>
    </xf>
    <xf numFmtId="164" fontId="158" fillId="5" borderId="60" xfId="0" applyFont="1" applyNumberFormat="1" applyFill="1" applyBorder="1" applyAlignment="1">
      <alignment textRotation="0" horizontal="left" vertical="center" indent="0" wrapText="1"/>
    </xf>
    <xf numFmtId="172" fontId="45" fillId="0" borderId="60" xfId="0" applyFont="1" applyNumberFormat="1" applyBorder="1" applyAlignment="1">
      <alignment textRotation="0" horizontal="left" vertical="center" indent="0"/>
    </xf>
    <xf numFmtId="164" fontId="151" fillId="32" borderId="72" xfId="0" applyFont="1" applyNumberFormat="1" applyFill="1" applyBorder="1" applyAlignment="1">
      <alignment textRotation="0" horizontal="center" vertical="center" indent="0" wrapText="1"/>
    </xf>
    <xf numFmtId="164" fontId="45" fillId="5" borderId="0" xfId="0" applyFont="1" applyNumberFormat="1" applyFill="1" applyAlignment="1">
      <alignment textRotation="0" horizontal="left" vertical="center" indent="0" wrapText="1"/>
    </xf>
    <xf numFmtId="172" fontId="45" fillId="0" borderId="0" xfId="0" applyFont="1" applyNumberFormat="1" applyAlignment="1">
      <alignment textRotation="0" horizontal="right" vertical="center" indent="0"/>
    </xf>
    <xf numFmtId="172" fontId="9" fillId="0" borderId="76" xfId="0" applyFont="1" applyNumberFormat="1" applyBorder="1" applyAlignment="1">
      <alignment textRotation="0" horizontal="right" vertical="center" indent="0"/>
    </xf>
    <xf numFmtId="164" fontId="78" fillId="5" borderId="0" xfId="0" applyFont="1" applyNumberFormat="1" applyFill="1" applyAlignment="1">
      <alignment textRotation="0" horizontal="center" vertical="center" indent="0"/>
    </xf>
    <xf numFmtId="164" fontId="45" fillId="5" borderId="60" xfId="0" applyFont="1" applyNumberFormat="1" applyFill="1" applyBorder="1" applyAlignment="1">
      <alignment textRotation="0" horizontal="left" vertical="center" indent="0" wrapText="1"/>
    </xf>
    <xf numFmtId="164" fontId="151" fillId="18" borderId="72" xfId="0" applyFont="1" applyNumberFormat="1" applyFill="1" applyBorder="1" applyAlignment="1">
      <alignment textRotation="0" horizontal="center" vertical="center" indent="0" wrapText="1"/>
    </xf>
    <xf numFmtId="164" fontId="151" fillId="21" borderId="24" xfId="0" applyFont="1" applyNumberFormat="1" applyFill="1" applyBorder="1" applyAlignment="1">
      <alignment textRotation="0" horizontal="center" vertical="center" indent="0" wrapText="1"/>
    </xf>
    <xf numFmtId="164" fontId="45" fillId="5" borderId="69" xfId="0" applyFont="1" applyNumberFormat="1" applyFill="1" applyBorder="1" applyAlignment="1">
      <alignment textRotation="0" horizontal="left" vertical="center" indent="0" wrapText="1"/>
    </xf>
    <xf numFmtId="164" fontId="45" fillId="5" borderId="58" xfId="0" applyFont="1" applyNumberFormat="1" applyFill="1" applyBorder="1" applyAlignment="1">
      <alignment textRotation="0" horizontal="left" vertical="center" indent="0" wrapText="1"/>
    </xf>
    <xf numFmtId="174" fontId="55" fillId="15" borderId="33" xfId="0" applyFont="1" applyNumberFormat="1" applyFill="1" applyBorder="1" applyAlignment="1">
      <alignment textRotation="0" horizontal="right" vertical="center" indent="0"/>
    </xf>
    <xf numFmtId="164" fontId="55" fillId="15" borderId="60" xfId="0" applyFont="1" applyNumberFormat="1" applyFill="1" applyBorder="1" applyAlignment="1">
      <alignment textRotation="0" horizontal="center" vertical="center" indent="0"/>
    </xf>
    <xf numFmtId="164" fontId="55" fillId="15" borderId="61" xfId="0" applyFont="1" applyNumberFormat="1" applyFill="1" applyBorder="1" applyAlignment="1">
      <alignment textRotation="0" horizontal="left" vertical="center" indent="0"/>
    </xf>
    <xf numFmtId="172" fontId="55" fillId="0" borderId="0" xfId="0" applyFont="1" applyNumberFormat="1" applyAlignment="1">
      <alignment textRotation="0" horizontal="right" vertical="center" indent="0"/>
    </xf>
    <xf numFmtId="164" fontId="122" fillId="16" borderId="24" xfId="0" applyFont="1" applyNumberFormat="1" applyFill="1" applyBorder="1" applyAlignment="1">
      <alignment textRotation="90" horizontal="center" vertical="center" indent="0" wrapText="1"/>
    </xf>
    <xf numFmtId="164" fontId="31" fillId="16" borderId="0" xfId="0" applyFont="1" applyNumberFormat="1" applyFill="1" applyAlignment="1">
      <alignment textRotation="0" horizontal="center" vertical="center" indent="0" wrapText="1"/>
    </xf>
    <xf numFmtId="164" fontId="45" fillId="0" borderId="69" xfId="0" applyFont="1" applyNumberFormat="1" applyBorder="1" applyAlignment="1">
      <alignment textRotation="0" horizontal="general" vertical="bottom" indent="0"/>
    </xf>
    <xf numFmtId="174" fontId="55" fillId="0" borderId="70" xfId="0" applyFont="1" applyNumberFormat="1" applyBorder="1" applyAlignment="1">
      <alignment textRotation="0" horizontal="right" vertical="center" indent="0"/>
    </xf>
    <xf numFmtId="164" fontId="31" fillId="16" borderId="72" xfId="0" applyFont="1" applyNumberFormat="1" applyFill="1" applyBorder="1" applyAlignment="1">
      <alignment textRotation="0" horizontal="center" vertical="center" indent="0"/>
    </xf>
    <xf numFmtId="164" fontId="31" fillId="33" borderId="72" xfId="0" applyFont="1" applyNumberFormat="1" applyFill="1" applyBorder="1" applyAlignment="1">
      <alignment textRotation="0" horizontal="center" vertical="center" indent="0"/>
    </xf>
    <xf numFmtId="172" fontId="55" fillId="0" borderId="70" xfId="0" applyFont="1" applyNumberFormat="1" applyBorder="1" applyAlignment="1">
      <alignment textRotation="0" horizontal="right" vertical="center" indent="0"/>
    </xf>
    <xf numFmtId="172" fontId="45" fillId="0" borderId="33" xfId="0" applyFont="1" applyNumberFormat="1" applyBorder="1" applyAlignment="1">
      <alignment textRotation="0" horizontal="right" vertical="center" indent="0"/>
    </xf>
    <xf numFmtId="164" fontId="31" fillId="10" borderId="24" xfId="0" applyFont="1" applyNumberFormat="1" applyFill="1" applyBorder="1" applyAlignment="1">
      <alignment textRotation="0" horizontal="center" vertical="center" indent="0"/>
    </xf>
    <xf numFmtId="164" fontId="55" fillId="15" borderId="24" xfId="0" applyFont="1" applyNumberFormat="1" applyFill="1" applyBorder="1" applyAlignment="1">
      <alignment textRotation="0" horizontal="center" vertical="center" indent="0" wrapText="1"/>
    </xf>
    <xf numFmtId="164" fontId="157" fillId="0" borderId="0" xfId="0" applyFont="1" applyNumberFormat="1" applyAlignment="1">
      <alignment textRotation="0" horizontal="right" vertical="bottom" indent="0"/>
    </xf>
    <xf numFmtId="164" fontId="157" fillId="0" borderId="0" xfId="0" applyFont="1" applyNumberFormat="1" applyAlignment="1">
      <alignment textRotation="0" horizontal="general" vertical="bottom" indent="0"/>
    </xf>
    <xf numFmtId="164" fontId="159" fillId="0" borderId="0" xfId="0" applyFont="1" applyNumberFormat="1" applyAlignment="1">
      <alignment textRotation="0" horizontal="left" vertical="bottom" indent="0"/>
    </xf>
    <xf numFmtId="164" fontId="157" fillId="0" borderId="0" xfId="0" applyFont="1" applyNumberFormat="1" applyAlignment="1">
      <alignment textRotation="0" horizontal="left" vertical="bottom" indent="0"/>
    </xf>
    <xf numFmtId="172" fontId="157" fillId="0" borderId="0" xfId="0" applyFont="1" applyNumberFormat="1" applyAlignment="1">
      <alignment textRotation="0" horizontal="right" vertical="bottom" indent="0"/>
    </xf>
    <xf numFmtId="172" fontId="157" fillId="0" borderId="0" xfId="0" applyFont="1" applyNumberFormat="1" applyAlignment="1">
      <alignment textRotation="0" horizontal="left" vertical="bottom" indent="0"/>
    </xf>
    <xf numFmtId="164" fontId="157" fillId="0" borderId="0" xfId="0" applyFont="1" applyNumberFormat="1" applyAlignment="1">
      <alignment textRotation="0" horizontal="right" vertical="center" indent="0"/>
    </xf>
    <xf numFmtId="164" fontId="157" fillId="0" borderId="0" xfId="0" applyFont="1" applyNumberFormat="1" applyAlignment="1">
      <alignment textRotation="0" horizontal="center" vertical="center" indent="0" wrapText="1"/>
    </xf>
    <xf numFmtId="174" fontId="157" fillId="0" borderId="0" xfId="0" applyFont="1" applyNumberFormat="1" applyAlignment="1">
      <alignment textRotation="0" horizontal="general" vertical="bottom" indent="0"/>
    </xf>
    <xf numFmtId="164" fontId="157" fillId="0" borderId="0" xfId="0" applyFont="1" applyNumberFormat="1" applyAlignment="1">
      <alignment textRotation="0" horizontal="center" vertical="bottom" indent="0"/>
    </xf>
    <xf numFmtId="172" fontId="157" fillId="0" borderId="0" xfId="0" applyFont="1" applyNumberFormat="1" applyAlignment="1">
      <alignment textRotation="0" horizontal="center" vertical="bottom" indent="0"/>
    </xf>
    <xf numFmtId="172" fontId="157" fillId="0" borderId="0" xfId="0" applyFont="1" applyNumberFormat="1" applyAlignment="1">
      <alignment textRotation="0" horizontal="general" vertical="bottom" indent="0"/>
    </xf>
    <xf numFmtId="167" fontId="157" fillId="0" borderId="0" xfId="0" applyFont="1" applyNumberFormat="1" applyAlignment="1">
      <alignment textRotation="0" horizontal="center" vertical="center" indent="0"/>
    </xf>
    <xf numFmtId="164" fontId="147" fillId="0" borderId="0" xfId="0" applyFont="1" applyNumberFormat="1" applyAlignment="1">
      <alignment textRotation="0" horizontal="right" vertical="center" indent="0"/>
    </xf>
    <xf numFmtId="164" fontId="147" fillId="0" borderId="0" xfId="0" applyFont="1" applyNumberFormat="1" applyAlignment="1">
      <alignment textRotation="0" horizontal="center" vertical="center" indent="0"/>
    </xf>
    <xf numFmtId="164" fontId="147" fillId="0" borderId="0" xfId="0" applyFont="1" applyNumberFormat="1" applyAlignment="1">
      <alignment textRotation="0" horizontal="left" vertical="center" indent="0"/>
    </xf>
    <xf numFmtId="164" fontId="147" fillId="0" borderId="0" xfId="0" applyFont="1" applyNumberFormat="1" applyAlignment="1">
      <alignment textRotation="0" horizontal="right" vertical="bottom" indent="0"/>
    </xf>
    <xf numFmtId="164" fontId="147" fillId="0" borderId="0" xfId="0" applyFont="1" applyNumberFormat="1" applyAlignment="1">
      <alignment textRotation="0" horizontal="center" vertical="bottom" indent="0"/>
    </xf>
    <xf numFmtId="164" fontId="147" fillId="0" borderId="0" xfId="0" applyFont="1" applyNumberFormat="1" applyAlignment="1">
      <alignment textRotation="0" horizontal="left" vertical="bottom" indent="0"/>
    </xf>
    <xf numFmtId="164" fontId="160" fillId="0" borderId="0" xfId="0" applyFont="1" applyNumberFormat="1" applyAlignment="1">
      <alignment textRotation="0" horizontal="right" vertical="bottom" indent="0"/>
    </xf>
    <xf numFmtId="167" fontId="160" fillId="0" borderId="0" xfId="0" applyFont="1" applyNumberFormat="1" applyAlignment="1">
      <alignment textRotation="0" horizontal="general" vertical="bottom" indent="0"/>
    </xf>
    <xf numFmtId="164" fontId="160" fillId="0" borderId="0" xfId="0" applyFont="1" applyNumberFormat="1" applyAlignment="1">
      <alignment textRotation="0" horizontal="center" vertical="center" indent="0"/>
    </xf>
    <xf numFmtId="164" fontId="160" fillId="0" borderId="0" xfId="0" applyFont="1" applyNumberFormat="1" applyAlignment="1">
      <alignment textRotation="0" horizontal="center" vertical="center" indent="0" wrapText="1"/>
    </xf>
    <xf numFmtId="164" fontId="160" fillId="0" borderId="0" xfId="0" applyFont="1" applyNumberFormat="1" applyAlignment="1">
      <alignment textRotation="0" horizontal="center" vertical="bottom" indent="0"/>
    </xf>
    <xf numFmtId="164" fontId="9" fillId="7" borderId="24" xfId="0" applyFont="1" applyNumberFormat="1" applyFill="1" applyBorder="1" applyAlignment="1">
      <alignment textRotation="0" horizontal="center" vertical="bottom" indent="0" wrapText="1"/>
    </xf>
    <xf numFmtId="164" fontId="31" fillId="15" borderId="24" xfId="0" applyFont="1" applyNumberFormat="1" applyFill="1" applyBorder="1" applyAlignment="1">
      <alignment textRotation="0" horizontal="center" vertical="bottom" indent="0"/>
    </xf>
    <xf numFmtId="164" fontId="31" fillId="15" borderId="70" xfId="0" applyFont="1" applyNumberFormat="1" applyFill="1" applyBorder="1" applyAlignment="1">
      <alignment textRotation="0" horizontal="center" vertical="bottom" indent="0"/>
    </xf>
    <xf numFmtId="164" fontId="31" fillId="15" borderId="34" xfId="0" applyFont="1" applyNumberFormat="1" applyFill="1" applyBorder="1" applyAlignment="1">
      <alignment textRotation="0" horizontal="center" vertical="bottom" indent="0"/>
    </xf>
    <xf numFmtId="164" fontId="31" fillId="15" borderId="0" xfId="0" applyFont="1" applyNumberFormat="1" applyFill="1" applyAlignment="1">
      <alignment textRotation="0" horizontal="center" vertical="bottom" indent="0"/>
    </xf>
    <xf numFmtId="164" fontId="151" fillId="15" borderId="24" xfId="0" applyFont="1" applyNumberFormat="1" applyFill="1" applyBorder="1" applyAlignment="1">
      <alignment textRotation="0" horizontal="center" vertical="bottom" indent="0"/>
    </xf>
    <xf numFmtId="164" fontId="31" fillId="15" borderId="57" xfId="0" applyFont="1" applyNumberFormat="1" applyFill="1" applyBorder="1" applyAlignment="1">
      <alignment textRotation="0" horizontal="center" vertical="bottom" indent="0"/>
    </xf>
    <xf numFmtId="170" fontId="3" fillId="0" borderId="15" xfId="0" applyFont="1" applyNumberFormat="1" applyBorder="1" applyAlignment="1">
      <alignment textRotation="0" horizontal="center" vertical="center" indent="0" wrapText="1"/>
    </xf>
    <xf numFmtId="170" fontId="3" fillId="0" borderId="61" xfId="0" applyFont="1" applyNumberFormat="1" applyBorder="1" applyAlignment="1">
      <alignment textRotation="0" horizontal="center" vertical="center" indent="0" wrapText="1"/>
    </xf>
    <xf numFmtId="164" fontId="7" fillId="0" borderId="42" xfId="0" applyFont="1" applyNumberFormat="1" applyBorder="1" applyAlignment="1">
      <alignment textRotation="0" horizontal="center" vertical="bottom" indent="0"/>
    </xf>
    <xf numFmtId="164" fontId="26" fillId="0" borderId="35" xfId="0" applyFont="1" applyNumberFormat="1" applyBorder="1" applyAlignment="1">
      <alignment textRotation="0" horizontal="general" vertical="bottom" indent="0"/>
    </xf>
    <xf numFmtId="174" fontId="7" fillId="0" borderId="58" xfId="0" applyFont="1" applyNumberFormat="1" applyBorder="1" applyAlignment="1">
      <alignment textRotation="0" horizontal="center" vertical="bottom" indent="0"/>
    </xf>
    <xf numFmtId="174" fontId="7" fillId="0" borderId="35" xfId="0" applyFont="1" applyNumberFormat="1" applyBorder="1" applyAlignment="1">
      <alignment textRotation="0" horizontal="center" vertical="bottom" indent="0"/>
    </xf>
    <xf numFmtId="170" fontId="3" fillId="0" borderId="30" xfId="0" applyFont="1" applyNumberFormat="1" applyBorder="1" applyAlignment="1">
      <alignment textRotation="0" horizontal="center" vertical="center" indent="0" wrapText="1"/>
    </xf>
    <xf numFmtId="170" fontId="3" fillId="0" borderId="0" xfId="0" applyFont="1" applyNumberFormat="1" applyAlignment="1">
      <alignment textRotation="0" horizontal="center" vertical="center" indent="0" wrapText="1"/>
    </xf>
    <xf numFmtId="164" fontId="7" fillId="0" borderId="39" xfId="0" applyFont="1" applyNumberFormat="1" applyBorder="1" applyAlignment="1">
      <alignment textRotation="0" horizontal="center" vertical="bottom" indent="0"/>
    </xf>
    <xf numFmtId="164" fontId="7" fillId="0" borderId="77" xfId="0" applyFont="1" applyNumberFormat="1" applyBorder="1" applyAlignment="1">
      <alignment textRotation="0" horizontal="general" vertical="bottom" indent="0"/>
    </xf>
    <xf numFmtId="164" fontId="26" fillId="0" borderId="39" xfId="0" applyFont="1" applyNumberFormat="1" applyBorder="1" applyAlignment="1">
      <alignment textRotation="0" horizontal="general" vertical="bottom" indent="0"/>
    </xf>
    <xf numFmtId="174" fontId="7" fillId="0" borderId="16" xfId="0" applyFont="1" applyNumberFormat="1" applyBorder="1" applyAlignment="1">
      <alignment textRotation="0" horizontal="center" vertical="bottom" indent="0"/>
    </xf>
    <xf numFmtId="170" fontId="3" fillId="0" borderId="60" xfId="0" applyFont="1" applyNumberFormat="1" applyBorder="1" applyAlignment="1">
      <alignment textRotation="0" horizontal="center" vertical="center" indent="0" wrapText="1"/>
    </xf>
    <xf numFmtId="164" fontId="7" fillId="0" borderId="39" xfId="0" applyFont="1" applyNumberFormat="1" applyBorder="1" applyAlignment="1">
      <alignment textRotation="0" horizontal="center" vertical="center" indent="0"/>
    </xf>
    <xf numFmtId="164" fontId="7" fillId="0" borderId="77" xfId="0" applyFont="1" applyNumberFormat="1" applyBorder="1" applyAlignment="1">
      <alignment textRotation="0" horizontal="general" vertical="center" indent="0"/>
    </xf>
    <xf numFmtId="164" fontId="26" fillId="0" borderId="39" xfId="0" applyFont="1" applyNumberFormat="1" applyBorder="1" applyAlignment="1">
      <alignment textRotation="0" horizontal="general" vertical="center" indent="0" wrapText="1"/>
    </xf>
    <xf numFmtId="174" fontId="7" fillId="0" borderId="16" xfId="0" applyFont="1" applyNumberFormat="1" applyBorder="1" applyAlignment="1">
      <alignment textRotation="0" horizontal="center" vertical="center" indent="0"/>
    </xf>
    <xf numFmtId="164" fontId="13" fillId="0" borderId="42" xfId="0" applyFont="1" applyNumberFormat="1" applyBorder="1" applyAlignment="1">
      <alignment textRotation="0" horizontal="center" vertical="bottom" indent="0"/>
    </xf>
    <xf numFmtId="174" fontId="13" fillId="0" borderId="58" xfId="0" applyFont="1" applyNumberFormat="1" applyBorder="1" applyAlignment="1">
      <alignment textRotation="0" horizontal="center" vertical="bottom" indent="0"/>
    </xf>
    <xf numFmtId="164" fontId="13" fillId="0" borderId="39" xfId="0" applyFont="1" applyNumberFormat="1" applyBorder="1" applyAlignment="1">
      <alignment textRotation="0" horizontal="center" vertical="bottom" indent="0"/>
    </xf>
    <xf numFmtId="174" fontId="13" fillId="0" borderId="16" xfId="0" applyFont="1" applyNumberFormat="1" applyBorder="1" applyAlignment="1">
      <alignment textRotation="0" horizontal="center" vertical="bottom" indent="0"/>
    </xf>
    <xf numFmtId="164" fontId="13" fillId="0" borderId="40" xfId="0" applyFont="1" applyNumberFormat="1" applyBorder="1" applyAlignment="1">
      <alignment textRotation="0" horizontal="center" vertical="bottom" indent="0"/>
    </xf>
    <xf numFmtId="174" fontId="13" fillId="0" borderId="129" xfId="0" applyFont="1" applyNumberFormat="1" applyBorder="1" applyAlignment="1">
      <alignment textRotation="0" horizontal="center" vertical="bottom" indent="0"/>
    </xf>
    <xf numFmtId="164" fontId="13" fillId="0" borderId="42" xfId="0" applyFont="1" applyNumberFormat="1" applyBorder="1" applyAlignment="1">
      <alignment textRotation="0" horizontal="center" vertical="center" indent="0"/>
    </xf>
    <xf numFmtId="174" fontId="13" fillId="0" borderId="58" xfId="0" applyFont="1" applyNumberFormat="1" applyBorder="1" applyAlignment="1">
      <alignment textRotation="0" horizontal="center" vertical="center" indent="0"/>
    </xf>
    <xf numFmtId="164" fontId="13" fillId="0" borderId="39" xfId="0" applyFont="1" applyNumberFormat="1" applyBorder="1" applyAlignment="1">
      <alignment textRotation="0" horizontal="center" vertical="center" indent="0"/>
    </xf>
    <xf numFmtId="174" fontId="13" fillId="0" borderId="16" xfId="0" applyFont="1" applyNumberFormat="1" applyBorder="1" applyAlignment="1">
      <alignment textRotation="0" horizontal="center" vertical="center" indent="0"/>
    </xf>
    <xf numFmtId="164" fontId="7" fillId="0" borderId="40" xfId="0" applyFont="1" applyNumberFormat="1" applyBorder="1" applyAlignment="1">
      <alignment textRotation="0" horizontal="center" vertical="bottom" indent="0"/>
    </xf>
    <xf numFmtId="164" fontId="7" fillId="0" borderId="78" xfId="0" applyFont="1" applyNumberFormat="1" applyBorder="1" applyAlignment="1">
      <alignment textRotation="0" horizontal="general" vertical="bottom" indent="0"/>
    </xf>
    <xf numFmtId="164" fontId="26" fillId="0" borderId="40" xfId="0" applyFont="1" applyNumberFormat="1" applyBorder="1" applyAlignment="1">
      <alignment textRotation="0" horizontal="general" vertical="bottom" indent="0"/>
    </xf>
    <xf numFmtId="174" fontId="7" fillId="0" borderId="129" xfId="0" applyFont="1" applyNumberFormat="1" applyBorder="1" applyAlignment="1">
      <alignment textRotation="0" horizontal="center" vertical="bottom" indent="0"/>
    </xf>
    <xf numFmtId="164" fontId="13" fillId="0" borderId="40" xfId="0" applyFont="1" applyNumberFormat="1" applyBorder="1" applyAlignment="1">
      <alignment textRotation="0" horizontal="center" vertical="center" indent="0"/>
    </xf>
    <xf numFmtId="174" fontId="13" fillId="0" borderId="129" xfId="0" applyFont="1" applyNumberFormat="1" applyBorder="1" applyAlignment="1">
      <alignment textRotation="0" horizontal="center" vertical="center" indent="0"/>
    </xf>
    <xf numFmtId="164" fontId="13" fillId="0" borderId="86" xfId="0" applyFont="1" applyNumberFormat="1" applyBorder="1" applyAlignment="1">
      <alignment textRotation="0" horizontal="center" vertical="bottom" indent="0"/>
    </xf>
    <xf numFmtId="174" fontId="13" fillId="0" borderId="15" xfId="0" applyFont="1" applyNumberFormat="1" applyBorder="1" applyAlignment="1">
      <alignment textRotation="0" horizontal="center" vertical="bottom" indent="0"/>
    </xf>
    <xf numFmtId="164" fontId="13" fillId="0" borderId="33" xfId="0" applyFont="1" applyNumberFormat="1" applyBorder="1" applyAlignment="1">
      <alignment textRotation="0" horizontal="center" vertical="bottom" indent="0"/>
    </xf>
    <xf numFmtId="174" fontId="13" fillId="0" borderId="30" xfId="0" applyFont="1" applyNumberFormat="1" applyBorder="1" applyAlignment="1">
      <alignment textRotation="0" horizontal="center" vertical="bottom" indent="0"/>
    </xf>
    <xf numFmtId="164" fontId="7" fillId="0" borderId="33" xfId="0" applyFont="1" applyNumberFormat="1" applyBorder="1" applyAlignment="1">
      <alignment textRotation="0" horizontal="center" vertical="bottom" indent="0"/>
    </xf>
    <xf numFmtId="164" fontId="26" fillId="0" borderId="44" xfId="0" applyFont="1" applyNumberFormat="1" applyBorder="1" applyAlignment="1">
      <alignment textRotation="0" horizontal="general" vertical="center" indent="0"/>
    </xf>
    <xf numFmtId="164" fontId="7" fillId="0" borderId="77" xfId="0" applyFont="1" applyNumberFormat="1" applyBorder="1" applyAlignment="1">
      <alignment textRotation="0" horizontal="center" vertical="bottom" indent="0"/>
    </xf>
    <xf numFmtId="164" fontId="26" fillId="0" borderId="48" xfId="0" applyFont="1" applyNumberFormat="1" applyBorder="1" applyAlignment="1">
      <alignment textRotation="0" horizontal="general" vertical="center" indent="0"/>
    </xf>
    <xf numFmtId="164" fontId="26" fillId="0" borderId="14" xfId="0" applyFont="1" applyNumberFormat="1" applyBorder="1" applyAlignment="1">
      <alignment textRotation="0" horizontal="center" vertical="center" indent="0"/>
    </xf>
    <xf numFmtId="174" fontId="13" fillId="0" borderId="0" xfId="0" applyFont="1" applyNumberFormat="1" applyAlignment="1">
      <alignment textRotation="0" horizontal="center" vertical="bottom" indent="0"/>
    </xf>
    <xf numFmtId="164" fontId="13" fillId="5" borderId="86" xfId="0" applyFont="1" applyNumberFormat="1" applyFill="1" applyBorder="1" applyAlignment="1">
      <alignment textRotation="0" horizontal="center" vertical="center" indent="0" wrapText="1"/>
    </xf>
    <xf numFmtId="174" fontId="13" fillId="5" borderId="15" xfId="0" applyFont="1" applyNumberFormat="1" applyFill="1" applyBorder="1" applyAlignment="1">
      <alignment textRotation="0" horizontal="center" vertical="center" indent="0" wrapText="1"/>
    </xf>
    <xf numFmtId="164" fontId="3" fillId="5" borderId="33" xfId="0" applyFont="1" applyNumberFormat="1" applyFill="1" applyBorder="1" applyAlignment="1">
      <alignment textRotation="0" horizontal="center" vertical="center" indent="0"/>
    </xf>
    <xf numFmtId="174" fontId="3" fillId="5" borderId="30" xfId="0" applyFont="1" applyNumberFormat="1" applyFill="1" applyBorder="1" applyAlignment="1">
      <alignment textRotation="0" horizontal="center" vertical="center" indent="0"/>
    </xf>
    <xf numFmtId="164" fontId="3" fillId="5" borderId="0" xfId="0" applyFont="1" applyNumberFormat="1" applyFill="1" applyAlignment="1">
      <alignment textRotation="0" horizontal="center" vertical="center" indent="0"/>
    </xf>
    <xf numFmtId="174" fontId="3" fillId="5" borderId="0" xfId="0" applyFont="1" applyNumberFormat="1" applyFill="1" applyAlignment="1">
      <alignment textRotation="0" horizontal="center" vertical="center" indent="0"/>
    </xf>
    <xf numFmtId="164" fontId="3" fillId="5" borderId="86" xfId="0" applyFont="1" applyNumberFormat="1" applyFill="1" applyBorder="1" applyAlignment="1">
      <alignment textRotation="0" horizontal="center" vertical="center" indent="0"/>
    </xf>
    <xf numFmtId="174" fontId="3" fillId="5" borderId="15" xfId="0" applyFont="1" applyNumberFormat="1" applyFill="1" applyBorder="1" applyAlignment="1">
      <alignment textRotation="0" horizontal="center" vertical="center" indent="0"/>
    </xf>
    <xf numFmtId="174" fontId="13" fillId="0" borderId="61" xfId="0" applyFont="1" applyNumberFormat="1" applyBorder="1" applyAlignment="1">
      <alignment textRotation="0" horizontal="center" vertical="bottom" indent="0"/>
    </xf>
    <xf numFmtId="174" fontId="13" fillId="0" borderId="60" xfId="0" applyFont="1" applyNumberFormat="1" applyBorder="1" applyAlignment="1">
      <alignment textRotation="0" horizontal="center" vertical="bottom" indent="0"/>
    </xf>
    <xf numFmtId="172" fontId="7" fillId="0" borderId="39" xfId="0" applyFont="1" applyNumberFormat="1" applyBorder="1" applyAlignment="1">
      <alignment textRotation="0" horizontal="center" vertical="bottom" indent="0"/>
    </xf>
    <xf numFmtId="164" fontId="26" fillId="0" borderId="52" xfId="0" applyFont="1" applyNumberFormat="1" applyBorder="1" applyAlignment="1">
      <alignment textRotation="0" horizontal="general" vertical="center" indent="0"/>
    </xf>
    <xf numFmtId="164" fontId="26" fillId="0" borderId="54" xfId="0" applyFont="1" applyNumberFormat="1" applyBorder="1" applyAlignment="1">
      <alignment textRotation="0" horizontal="center" vertical="center" indent="0"/>
    </xf>
    <xf numFmtId="0" fontId="161" fillId="35" borderId="130" xfId="0" applyFont="1" applyFill="1" applyBorder="1" applyAlignment="1">
      <alignment horizontal="center"/>
    </xf>
    <xf numFmtId="0" fontId="7" fillId="0" borderId="131" xfId="0" applyFont="1" applyBorder="1"/>
  </cellXfs>
  <cellStyles count="1">
    <cellStyle name="Normal" xfId="0" builtinId="0"/>
  </cellStyles>
  <dxfs count="9">
    <dxf>
      <font>
        <sz val="10"/>
        <color rgb="FF000000"/>
        <name val="Arial"/>
      </font>
      <fill>
        <patternFill patternType="solid">
          <bgColor rgb="FF2E9C15"/>
        </patternFill>
      </fill>
    </dxf>
    <dxf>
      <font>
        <sz val="10"/>
        <color rgb="FF000000"/>
        <name val="Arial"/>
      </font>
      <fill>
        <patternFill patternType="solid">
          <bgColor rgb="FF5077FE"/>
        </patternFill>
      </fill>
    </dxf>
    <dxf>
      <font>
        <sz val="10"/>
        <color rgb="FF000000"/>
        <name val="Arial"/>
      </font>
      <fill>
        <patternFill patternType="solid">
          <bgColor rgb="FFFE962B"/>
        </patternFill>
      </fill>
    </dxf>
    <dxf>
      <font>
        <sz val="10"/>
        <color rgb="FF000000"/>
        <name val="Arial"/>
      </font>
      <fill>
        <patternFill patternType="solid">
          <bgColor rgb="FF1CDA53"/>
        </patternFill>
      </fill>
    </dxf>
    <dxf>
      <font>
        <sz val="10"/>
        <color rgb="FF000000"/>
        <name val="Arial"/>
      </font>
      <fill>
        <patternFill patternType="solid">
          <bgColor rgb="FFFF6348"/>
        </patternFill>
      </fill>
    </dxf>
    <dxf>
      <font>
        <sz val="10"/>
        <color rgb="FF000000"/>
        <name val="Arial"/>
      </font>
      <fill>
        <patternFill patternType="solid">
          <bgColor rgb="FFFFA300"/>
        </patternFill>
      </fill>
    </dxf>
    <dxf>
      <font>
        <sz val="10"/>
        <color rgb="FF000000"/>
        <name val="Arial"/>
      </font>
      <fill>
        <patternFill patternType="solid">
          <bgColor rgb="FF0D8A00"/>
        </patternFill>
      </fill>
    </dxf>
    <dxf>
      <font>
        <sz val="10"/>
        <color rgb="FF000000"/>
        <name val="Arial"/>
      </font>
      <fill>
        <patternFill patternType="solid">
          <bgColor rgb="FFFF0000"/>
        </patternFill>
      </fill>
    </dxf>
    <dxf>
      <font>
        <sz val="10"/>
        <color rgb="FF000000"/>
        <name val="Arial"/>
      </font>
      <fill>
        <patternFill patternType="solid">
          <bgColor rgb="FFCECECE"/>
        </patternFill>
      </fill>
    </dxf>
  </dxfs>
  <colors>
    <indexedColors>
      <rgbColor rgb="FF000000"/>
      <rgbColor rgb="FFFFFFFF"/>
      <rgbColor rgb="FFFF0000"/>
      <rgbColor rgb="FF00FF00"/>
      <rgbColor rgb="FF0000FF"/>
      <rgbColor rgb="FFFFFF00"/>
      <rgbColor rgb="FFFF00FF"/>
      <rgbColor rgb="FF92D050"/>
      <rgbColor rgb="FF800000"/>
      <rgbColor rgb="FF008000"/>
      <rgbColor rgb="FF000080"/>
      <rgbColor rgb="FF808000"/>
      <rgbColor rgb="FF800080"/>
      <rgbColor rgb="FF008080"/>
      <rgbColor rgb="FFC0C0C0"/>
      <rgbColor rgb="FF808080"/>
      <rgbColor rgb="FFB9CDE5"/>
      <rgbColor rgb="FFC0504D"/>
      <rgbColor rgb="FFFFFFCC"/>
      <rgbColor rgb="FFCCFFFF"/>
      <rgbColor rgb="FF660066"/>
      <rgbColor rgb="FFFF8080"/>
      <rgbColor rgb="FF0066CC"/>
      <rgbColor rgb="FFCCCCFF"/>
      <rgbColor rgb="FF000080"/>
      <rgbColor rgb="FFFCD5B5"/>
      <rgbColor rgb="FFFFC000"/>
      <rgbColor rgb="FFD7E4BD"/>
      <rgbColor rgb="FF600C7A"/>
      <rgbColor rgb="FFFEFEFE"/>
      <rgbColor rgb="FF9BBB59"/>
      <rgbColor rgb="FF0000FF"/>
      <rgbColor rgb="FF00CCFF"/>
      <rgbColor rgb="FFEBF1DE"/>
      <rgbColor rgb="FFCCFFCC"/>
      <rgbColor rgb="FFFFFF99"/>
      <rgbColor rgb="FF99CCFF"/>
      <rgbColor rgb="FFFF99CC"/>
      <rgbColor rgb="FFCC99FF"/>
      <rgbColor rgb="FFFFCC99"/>
      <rgbColor rgb="FF3366FF"/>
      <rgbColor rgb="FF33CCCC"/>
      <rgbColor rgb="FF99CC00"/>
      <rgbColor rgb="FFFFCC00"/>
      <rgbColor rgb="FFFF9900"/>
      <rgbColor rgb="FFFF6600"/>
      <rgbColor rgb="FF4F81BD"/>
      <rgbColor rgb="FF969696"/>
      <rgbColor rgb="FF003366"/>
      <rgbColor rgb="FF339966"/>
      <rgbColor rgb="FF17375E"/>
      <rgbColor rgb="FF333300"/>
      <rgbColor rgb="FFE46C0A"/>
      <rgbColor rgb="FFFFCC98"/>
      <rgbColor rgb="FF333399"/>
      <rgbColor rgb="FF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theme" Target="theme/theme1.xml"/><Relationship Id="rId20" Type="http://schemas.openxmlformats.org/officeDocument/2006/relationships/styles" Target="styles.xml"/><Relationship Id="rId21"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200" spc="-1" strike="noStrike">
                <a:solidFill>
                  <a:srgbClr val="000000"/>
                </a:solidFill>
                <a:latin typeface="Calibri"/>
              </a:defRPr>
            </a:pPr>
            <a:r>
              <a:rPr b="1" sz="1200" spc="-1" strike="noStrike">
                <a:solidFill>
                  <a:srgbClr val="000000"/>
                </a:solidFill>
                <a:latin typeface="Calibri"/>
              </a:rPr>
              <a:t>Représentation graphique des dimensions de la durabilité de l'exploitation agricole</a:t>
            </a:r>
          </a:p>
        </c:rich>
      </c:tx>
      <c:layout>
        <c:manualLayout>
          <c:xMode val="edge"/>
          <c:yMode val="edge"/>
          <c:x val="0.147452062615978"/>
          <c:y val="0.0949439270100741"/>
        </c:manualLayout>
      </c:layout>
      <c:overlay val="0"/>
      <c:spPr>
        <a:noFill/>
        <a:ln>
          <a:noFill/>
        </a:ln>
      </c:spPr>
    </c:title>
    <c:autoTitleDeleted val="0"/>
    <c:plotArea>
      <c:layout>
        <c:manualLayout>
          <c:xMode val="edge"/>
          <c:yMode val="edge"/>
          <c:x val="0.053623257363087"/>
          <c:y val="0.249952480517012"/>
          <c:w val="0.924584859875339"/>
          <c:h val="0.729994297662041"/>
        </c:manualLayout>
      </c:layout>
      <c:barChart>
        <c:barDir val="col"/>
        <c:grouping val="stacked"/>
        <c:varyColors val="0"/>
        <c:ser>
          <c:idx val="0"/>
          <c:order val="0"/>
          <c:spPr>
            <a:gradFill>
              <a:gsLst>
                <a:gs pos="0">
                  <a:srgbClr val="ffcc98"/>
                </a:gs>
                <a:gs pos="100000">
                  <a:srgbClr val="ffc000"/>
                </a:gs>
              </a:gsLst>
              <a:lin ang="5400000"/>
            </a:gradFill>
            <a:ln w="12600">
              <a:solidFill>
                <a:srgbClr val="ffcc00"/>
              </a:solidFill>
              <a:round/>
            </a:ln>
          </c:spPr>
          <c:invertIfNegative val="0"/>
          <c:dLbls>
            <c:numFmt formatCode="0" sourceLinked="1"/>
            <c:txPr>
              <a:bodyPr/>
              <a:lstStyle/>
              <a:p>
                <a:pPr>
                  <a:defRPr b="0" sz="1000" spc="-1" strike="noStrike">
                    <a:solidFill>
                      <a:srgbClr val="000000"/>
                    </a:solidFill>
                    <a:latin typeface="Calibri"/>
                  </a:defRPr>
                </a:pPr>
              </a:p>
            </c:txPr>
            <c:dLblPos val="ctr"/>
            <c:showLegendKey val="0"/>
            <c:showVal val="1"/>
            <c:showCatName val="0"/>
            <c:showSerName val="0"/>
            <c:showPercent val="0"/>
            <c:separator>
</c:separator>
            <c:showLeaderLines val="0"/>
          </c:dLbls>
          <c:cat>
            <c:strRef>
              <c:f>'Bilan durabilité'!$D$85:$D$87</c:f>
              <c:strCache>
                <c:ptCount val="3"/>
                <c:pt idx="0">
                  <c:v>Durabilité agroécologique</c:v>
                </c:pt>
                <c:pt idx="1">
                  <c:v>Durabilité socioterritoriale</c:v>
                </c:pt>
                <c:pt idx="2">
                  <c:v>Durabilité économique</c:v>
                </c:pt>
              </c:strCache>
            </c:strRef>
          </c:cat>
          <c:val>
            <c:numRef>
              <c:f>'Bilan durabilité'!$E$85:$E$87</c:f>
              <c:numCache>
                <c:formatCode>General</c:formatCode>
                <c:ptCount val="3"/>
                <c:pt idx="0">
                  <c:v>52</c:v>
                </c:pt>
                <c:pt idx="1">
                  <c:v>72</c:v>
                </c:pt>
                <c:pt idx="2">
                  <c:v>68</c:v>
                </c:pt>
              </c:numCache>
            </c:numRef>
          </c:val>
        </c:ser>
        <c:gapWidth val="55"/>
        <c:overlap val="100"/>
        <c:axId val="47293748"/>
        <c:axId val="47133564"/>
      </c:barChart>
      <c:lineChart>
        <c:grouping val="stacked"/>
        <c:varyColors val="0"/>
        <c:ser>
          <c:idx val="1"/>
          <c:order val="1"/>
          <c:tx>
            <c:strRef>
              <c:f>'Bilan durabilité'!$D$88</c:f>
              <c:strCache>
                <c:ptCount val="1"/>
                <c:pt idx="0">
                  <c:v>Durabilité globale</c:v>
                </c:pt>
              </c:strCache>
            </c:strRef>
          </c:tx>
          <c:spPr>
            <a:solidFill>
              <a:srgbClr val="ff8080"/>
            </a:solidFill>
            <a:ln w="37800">
              <a:solidFill>
                <a:srgbClr val="ff8080"/>
              </a:solidFill>
              <a:round/>
            </a:ln>
          </c:spPr>
          <c:marker>
            <c:symbol val="dash"/>
            <c:size val="24"/>
            <c:spPr>
              <a:solidFill>
                <a:srgbClr val="ff8080"/>
              </a:solidFill>
            </c:spPr>
          </c:marker>
          <c:dLbls>
            <c:numFmt formatCode="General" sourceLinked="1"/>
            <c:txPr>
              <a:bodyPr/>
              <a:lstStyle/>
              <a:p>
                <a:pPr>
                  <a:defRPr b="0" sz="1000" spc="-1" strike="noStrike">
                    <a:latin typeface="Arial"/>
                  </a:defRPr>
                </a:pPr>
              </a:p>
            </c:txPr>
            <c:dLblPos val="r"/>
            <c:showLegendKey val="0"/>
            <c:showVal val="0"/>
            <c:showCatName val="0"/>
            <c:showSerName val="0"/>
            <c:showPercent val="0"/>
            <c:separator> </c:separator>
            <c:showLeaderLines val="0"/>
          </c:dLbls>
          <c:cat>
            <c:strRef>
              <c:f>'Bilan durabilité'!$D$85:$D$87</c:f>
              <c:strCache>
                <c:ptCount val="3"/>
                <c:pt idx="0">
                  <c:v>Durabilité agroécologique</c:v>
                </c:pt>
                <c:pt idx="1">
                  <c:v>Durabilité socioterritoriale</c:v>
                </c:pt>
                <c:pt idx="2">
                  <c:v>Durabilité économique</c:v>
                </c:pt>
              </c:strCache>
            </c:strRef>
          </c:cat>
          <c:val>
            <c:numRef>
              <c:f>'Bilan durabilité'!$D$81:$D$83</c:f>
              <c:numCache>
                <c:formatCode>General</c:formatCode>
                <c:ptCount val="3"/>
                <c:pt idx="0">
                  <c:v/>
                </c:pt>
                <c:pt idx="1">
                  <c:v/>
                </c:pt>
                <c:pt idx="2">
                  <c:v/>
                </c:pt>
              </c:numCache>
            </c:numRef>
          </c:val>
          <c:smooth val="0"/>
        </c:ser>
        <c:hiLowLines>
          <c:spPr>
            <a:ln>
              <a:noFill/>
            </a:ln>
          </c:spPr>
        </c:hiLowLines>
        <c:marker val="1"/>
        <c:axId val="47293748"/>
        <c:axId val="47133564"/>
      </c:lineChart>
      <c:catAx>
        <c:axId val="47293748"/>
        <c:scaling>
          <c:orientation val="minMax"/>
        </c:scaling>
        <c:delete val="0"/>
        <c:axPos val="b"/>
        <c:numFmt formatCode="General" sourceLinked="1"/>
        <c:majorTickMark val="none"/>
        <c:minorTickMark val="none"/>
        <c:tickLblPos val="nextTo"/>
        <c:spPr>
          <a:ln w="12600">
            <a:solidFill>
              <a:srgbClr val="808080"/>
            </a:solidFill>
            <a:round/>
          </a:ln>
        </c:spPr>
        <c:txPr>
          <a:bodyPr/>
          <a:lstStyle/>
          <a:p>
            <a:pPr>
              <a:defRPr b="0" sz="1000" spc="-1" strike="noStrike">
                <a:solidFill>
                  <a:srgbClr val="000000"/>
                </a:solidFill>
                <a:latin typeface="Calibri"/>
              </a:defRPr>
            </a:pPr>
          </a:p>
        </c:txPr>
        <c:crossAx val="47133564"/>
        <c:crosses val="autoZero"/>
        <c:auto val="1"/>
        <c:lblAlgn val="ctr"/>
        <c:lblOffset val="100"/>
      </c:catAx>
      <c:valAx>
        <c:axId val="47133564"/>
        <c:scaling>
          <c:orientation val="minMax"/>
          <c:max val="100"/>
        </c:scaling>
        <c:delete val="0"/>
        <c:axPos val="l"/>
        <c:majorGridlines>
          <c:spPr>
            <a:ln w="12600">
              <a:solidFill>
                <a:srgbClr val="808080"/>
              </a:solidFill>
              <a:round/>
            </a:ln>
          </c:spPr>
        </c:majorGridlines>
        <c:numFmt formatCode="General" sourceLinked="0"/>
        <c:majorTickMark val="none"/>
        <c:minorTickMark val="none"/>
        <c:tickLblPos val="nextTo"/>
        <c:spPr>
          <a:ln w="12600">
            <a:solidFill>
              <a:srgbClr val="808080"/>
            </a:solidFill>
            <a:round/>
          </a:ln>
        </c:spPr>
        <c:txPr>
          <a:bodyPr/>
          <a:lstStyle/>
          <a:p>
            <a:pPr>
              <a:defRPr b="0" sz="1000" spc="-1" strike="noStrike">
                <a:solidFill>
                  <a:srgbClr val="000000"/>
                </a:solidFill>
                <a:latin typeface="Calibri"/>
              </a:defRPr>
            </a:pPr>
          </a:p>
        </c:txPr>
        <c:crossAx val="47293748"/>
        <c:crossesAt val="1"/>
      </c:valAx>
      <c:spPr>
        <a:solidFill>
          <a:srgbClr val="ffffff"/>
        </a:solidFill>
        <a:ln>
          <a:noFill/>
        </a:ln>
      </c:spPr>
    </c:plotArea>
    <c:plotVisOnly val="1"/>
    <c:dispBlanksAs val="gap"/>
  </c:chart>
  <c:spPr>
    <a:solidFill>
      <a:srgbClr val="ffffff"/>
    </a:solidFill>
    <a:ln>
      <a:noFill/>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800" spc="-1" strike="noStrike">
                <a:solidFill>
                  <a:srgbClr val="000000"/>
                </a:solidFill>
                <a:latin typeface="Calibri"/>
              </a:defRPr>
            </a:pPr>
            <a:r>
              <a:rPr b="1" sz="1800" spc="-1" strike="noStrike">
                <a:solidFill>
                  <a:srgbClr val="000000"/>
                </a:solidFill>
                <a:latin typeface="Calibri"/>
              </a:rPr>
              <a:t>Résultats des indicateurs agroécologiques</a:t>
            </a:r>
          </a:p>
        </c:rich>
      </c:tx>
      <c:layout>
        <c:manualLayout>
          <c:xMode val="edge"/>
          <c:yMode val="edge"/>
          <c:x val="0.241325883844312"/>
          <c:y val="0.0420927884826406"/>
        </c:manualLayout>
      </c:layout>
      <c:overlay val="0"/>
      <c:spPr>
        <a:noFill/>
        <a:ln>
          <a:noFill/>
        </a:ln>
      </c:spPr>
    </c:title>
    <c:autoTitleDeleted val="0"/>
    <c:plotArea>
      <c:layout>
        <c:manualLayout>
          <c:xMode val="edge"/>
          <c:yMode val="edge"/>
          <c:x val="0"/>
          <c:y val="0.135188517754466"/>
          <c:w val="0.999953049438941"/>
          <c:h val="0.864284773734802"/>
        </c:manualLayout>
      </c:layout>
      <c:barChart>
        <c:barDir val="bar"/>
        <c:grouping val="stacked"/>
        <c:varyColors val="0"/>
        <c:ser>
          <c:idx val="0"/>
          <c:order val="0"/>
          <c:tx>
            <c:strRef>
              <c:f>"Note de l'exploitation"</c:f>
              <c:strCache>
                <c:ptCount val="1"/>
                <c:pt idx="0">
                  <c:v>Note de l'exploitation</c:v>
                </c:pt>
              </c:strCache>
            </c:strRef>
          </c:tx>
          <c:spPr>
            <a:solidFill>
              <a:srgbClr val="9bbb59"/>
            </a:solidFill>
            <a:ln>
              <a:noFill/>
            </a:ln>
          </c:spPr>
          <c:invertIfNegative val="0"/>
          <c:dLbls>
            <c:numFmt formatCode="General" sourceLinked="1"/>
            <c:txPr>
              <a:bodyPr/>
              <a:lstStyle/>
              <a:p>
                <a:pPr>
                  <a:defRPr b="0" sz="1000" spc="-1" strike="noStrike">
                    <a:latin typeface="Arial"/>
                  </a:defRPr>
                </a:pPr>
              </a:p>
            </c:txPr>
            <c:dLblPos val="ctr"/>
            <c:showLegendKey val="0"/>
            <c:showVal val="0"/>
            <c:showCatName val="0"/>
            <c:showSerName val="0"/>
            <c:showPercent val="0"/>
            <c:separator> </c:separator>
            <c:showLeaderLines val="0"/>
          </c:dLbls>
          <c:cat>
            <c:strRef>
              <c:f>'Bilan durabilité'!$D$151:$D$169</c:f>
              <c:strCache>
                <c:ptCount val="19"/>
                <c:pt idx="0">
                  <c:v>Diversité des espèces cultivées</c:v>
                </c:pt>
                <c:pt idx="1">
                  <c:v>Diversité génétique</c:v>
                </c:pt>
                <c:pt idx="2">
                  <c:v>Diversité temporelle des cultures</c:v>
                </c:pt>
                <c:pt idx="3">
                  <c:v>Qualité de l'organisation spatiale</c:v>
                </c:pt>
                <c:pt idx="4">
                  <c:v>Gestion des insectes pollinisateurs et des auxiliaires des cultures</c:v>
                </c:pt>
                <c:pt idx="5">
                  <c:v>Autonomie en énergie, matériaux, matériels, semences et plants</c:v>
                </c:pt>
                <c:pt idx="6">
                  <c:v>Autonomie alimentaire de l’élevage</c:v>
                </c:pt>
                <c:pt idx="7">
                  <c:v>Autonomie en azote</c:v>
                </c:pt>
                <c:pt idx="8">
                  <c:v>Sobriété dans l'usage de l'eau et partage de la ressource</c:v>
                </c:pt>
                <c:pt idx="9">
                  <c:v>Sobriété dans l'utilisation du phosphore</c:v>
                </c:pt>
                <c:pt idx="10">
                  <c:v>Sobriété dans la consommation en énergie</c:v>
                </c:pt>
                <c:pt idx="11">
                  <c:v>Raisonner l'utilisation de l'eau</c:v>
                </c:pt>
                <c:pt idx="12">
                  <c:v>Favoriser la fertilité du sol</c:v>
                </c:pt>
                <c:pt idx="13">
                  <c:v>Maintenir l'efficacité de la protection sanitaire 
des cultures et des animaux</c:v>
                </c:pt>
                <c:pt idx="14">
                  <c:v>Sécuriser la disponibilité des moyens matériels de production</c:v>
                </c:pt>
                <c:pt idx="15">
                  <c:v>Réduire l'impact des pratiques sur la qualité de l'eau</c:v>
                </c:pt>
                <c:pt idx="16">
                  <c:v>Réduire l'impact des pratiques sur la qualité de l'air</c:v>
                </c:pt>
                <c:pt idx="17">
                  <c:v>Réduire l'impact des pratiques sur le changement climatique</c:v>
                </c:pt>
                <c:pt idx="18">
                  <c:v>Réduire l'usage des produits phytosanitaires 
et des traitements vétérinaires</c:v>
                </c:pt>
              </c:strCache>
            </c:strRef>
          </c:cat>
          <c:val>
            <c:numRef>
              <c:f>'Bilan durabilité'!$F$151:$F$169</c:f>
              <c:numCache>
                <c:formatCode>General</c:formatCode>
                <c:ptCount val="19"/>
                <c:pt idx="0">
                  <c:v>3</c:v>
                </c:pt>
                <c:pt idx="1">
                  <c:v>2</c:v>
                </c:pt>
                <c:pt idx="2">
                  <c:v>0</c:v>
                </c:pt>
                <c:pt idx="3">
                  <c:v>1</c:v>
                </c:pt>
                <c:pt idx="4">
                  <c:v>2</c:v>
                </c:pt>
                <c:pt idx="5">
                  <c:v>2</c:v>
                </c:pt>
                <c:pt idx="6">
                  <c:v>0</c:v>
                </c:pt>
                <c:pt idx="7">
                  <c:v>3</c:v>
                </c:pt>
                <c:pt idx="8">
                  <c:v>0</c:v>
                </c:pt>
                <c:pt idx="9">
                  <c:v>6</c:v>
                </c:pt>
                <c:pt idx="10">
                  <c:v>5</c:v>
                </c:pt>
                <c:pt idx="11">
                  <c:v>8</c:v>
                </c:pt>
                <c:pt idx="12">
                  <c:v>2</c:v>
                </c:pt>
                <c:pt idx="13">
                  <c:v>2</c:v>
                </c:pt>
                <c:pt idx="14">
                  <c:v>4</c:v>
                </c:pt>
                <c:pt idx="15">
                  <c:v>1</c:v>
                </c:pt>
                <c:pt idx="16">
                  <c:v>3</c:v>
                </c:pt>
                <c:pt idx="17">
                  <c:v>5</c:v>
                </c:pt>
                <c:pt idx="18">
                  <c:v>3</c:v>
                </c:pt>
              </c:numCache>
            </c:numRef>
          </c:val>
        </c:ser>
        <c:ser>
          <c:idx val="1"/>
          <c:order val="1"/>
          <c:tx>
            <c:strRef>
              <c:f>"Note max"</c:f>
              <c:strCache>
                <c:ptCount val="1"/>
                <c:pt idx="0">
                  <c:v>Note max</c:v>
                </c:pt>
              </c:strCache>
            </c:strRef>
          </c:tx>
          <c:spPr>
            <a:solidFill>
              <a:srgbClr val="ebf1de"/>
            </a:solidFill>
            <a:ln>
              <a:noFill/>
            </a:ln>
          </c:spPr>
          <c:invertIfNegative val="0"/>
          <c:dLbls>
            <c:numFmt formatCode="General" sourceLinked="1"/>
            <c:txPr>
              <a:bodyPr/>
              <a:lstStyle/>
              <a:p>
                <a:pPr>
                  <a:defRPr b="0" sz="1000" spc="-1" strike="noStrike">
                    <a:latin typeface="Arial"/>
                  </a:defRPr>
                </a:pPr>
              </a:p>
            </c:txPr>
            <c:dLblPos val="ctr"/>
            <c:showLegendKey val="0"/>
            <c:showVal val="0"/>
            <c:showCatName val="0"/>
            <c:showSerName val="0"/>
            <c:showPercent val="0"/>
            <c:separator> </c:separator>
            <c:showLeaderLines val="0"/>
          </c:dLbls>
          <c:cat>
            <c:strRef>
              <c:f>'Bilan durabilité'!$D$151:$D$169</c:f>
              <c:strCache>
                <c:ptCount val="19"/>
                <c:pt idx="0">
                  <c:v>Diversité des espèces cultivées</c:v>
                </c:pt>
                <c:pt idx="1">
                  <c:v>Diversité génétique</c:v>
                </c:pt>
                <c:pt idx="2">
                  <c:v>Diversité temporelle des cultures</c:v>
                </c:pt>
                <c:pt idx="3">
                  <c:v>Qualité de l'organisation spatiale</c:v>
                </c:pt>
                <c:pt idx="4">
                  <c:v>Gestion des insectes pollinisateurs et des auxiliaires des cultures</c:v>
                </c:pt>
                <c:pt idx="5">
                  <c:v>Autonomie en énergie, matériaux, matériels, semences et plants</c:v>
                </c:pt>
                <c:pt idx="6">
                  <c:v>Autonomie alimentaire de l’élevage</c:v>
                </c:pt>
                <c:pt idx="7">
                  <c:v>Autonomie en azote</c:v>
                </c:pt>
                <c:pt idx="8">
                  <c:v>Sobriété dans l'usage de l'eau et partage de la ressource</c:v>
                </c:pt>
                <c:pt idx="9">
                  <c:v>Sobriété dans l'utilisation du phosphore</c:v>
                </c:pt>
                <c:pt idx="10">
                  <c:v>Sobriété dans la consommation en énergie</c:v>
                </c:pt>
                <c:pt idx="11">
                  <c:v>Raisonner l'utilisation de l'eau</c:v>
                </c:pt>
                <c:pt idx="12">
                  <c:v>Favoriser la fertilité du sol</c:v>
                </c:pt>
                <c:pt idx="13">
                  <c:v>Maintenir l'efficacité de la protection sanitaire 
des cultures et des animaux</c:v>
                </c:pt>
                <c:pt idx="14">
                  <c:v>Sécuriser la disponibilité des moyens matériels de production</c:v>
                </c:pt>
                <c:pt idx="15">
                  <c:v>Réduire l'impact des pratiques sur la qualité de l'eau</c:v>
                </c:pt>
                <c:pt idx="16">
                  <c:v>Réduire l'impact des pratiques sur la qualité de l'air</c:v>
                </c:pt>
                <c:pt idx="17">
                  <c:v>Réduire l'impact des pratiques sur le changement climatique</c:v>
                </c:pt>
                <c:pt idx="18">
                  <c:v>Réduire l'usage des produits phytosanitaires 
et des traitements vétérinaires</c:v>
                </c:pt>
              </c:strCache>
            </c:strRef>
          </c:cat>
          <c:val>
            <c:numRef>
              <c:f>'Bilan durabilité'!$K$151:$K$169</c:f>
              <c:numCache>
                <c:formatCode>General</c:formatCode>
                <c:ptCount val="19"/>
                <c:pt idx="0">
                  <c:v>2</c:v>
                </c:pt>
                <c:pt idx="1">
                  <c:v>3</c:v>
                </c:pt>
                <c:pt idx="2">
                  <c:v>5</c:v>
                </c:pt>
                <c:pt idx="3">
                  <c:v>4</c:v>
                </c:pt>
                <c:pt idx="4">
                  <c:v>3</c:v>
                </c:pt>
                <c:pt idx="5">
                  <c:v>6</c:v>
                </c:pt>
                <c:pt idx="6">
                  <c:v>8</c:v>
                </c:pt>
                <c:pt idx="7">
                  <c:v>5</c:v>
                </c:pt>
                <c:pt idx="8">
                  <c:v>8</c:v>
                </c:pt>
                <c:pt idx="9">
                  <c:v>2</c:v>
                </c:pt>
                <c:pt idx="10">
                  <c:v>3</c:v>
                </c:pt>
                <c:pt idx="11">
                  <c:v>0</c:v>
                </c:pt>
                <c:pt idx="12">
                  <c:v>6</c:v>
                </c:pt>
                <c:pt idx="13">
                  <c:v>2</c:v>
                </c:pt>
                <c:pt idx="14">
                  <c:v>0</c:v>
                </c:pt>
                <c:pt idx="15">
                  <c:v>5</c:v>
                </c:pt>
                <c:pt idx="16">
                  <c:v>3</c:v>
                </c:pt>
                <c:pt idx="17">
                  <c:v>1</c:v>
                </c:pt>
                <c:pt idx="18">
                  <c:v>3</c:v>
                </c:pt>
              </c:numCache>
            </c:numRef>
          </c:val>
        </c:ser>
        <c:gapWidth val="150"/>
        <c:overlap val="100"/>
        <c:axId val="17565279"/>
        <c:axId val="95819874"/>
      </c:barChart>
      <c:catAx>
        <c:axId val="17565279"/>
        <c:scaling>
          <c:orientation val="maxMin"/>
        </c:scaling>
        <c:delete val="0"/>
        <c:axPos val="b"/>
        <c:numFmt formatCode="General" sourceLinked="1"/>
        <c:majorTickMark val="out"/>
        <c:minorTickMark val="out"/>
        <c:tickLblPos val="low"/>
        <c:spPr>
          <a:ln>
            <a:solidFill>
              <a:srgbClr val="808080"/>
            </a:solidFill>
          </a:ln>
        </c:spPr>
        <c:txPr>
          <a:bodyPr/>
          <a:lstStyle/>
          <a:p>
            <a:pPr>
              <a:defRPr b="0" sz="900" spc="-1" strike="noStrike">
                <a:solidFill>
                  <a:srgbClr val="000000"/>
                </a:solidFill>
                <a:latin typeface="Arial"/>
              </a:defRPr>
            </a:pPr>
          </a:p>
        </c:txPr>
        <c:crossAx val="95819874"/>
        <c:crosses val="autoZero"/>
        <c:auto val="1"/>
        <c:lblAlgn val="ctr"/>
        <c:lblOffset val="100"/>
      </c:catAx>
      <c:valAx>
        <c:axId val="95819874"/>
        <c:scaling>
          <c:orientation val="minMax"/>
          <c:max val="8"/>
          <c:min val="0"/>
        </c:scaling>
        <c:delete val="0"/>
        <c:axPos val="l"/>
        <c:majorGridlines>
          <c:spPr>
            <a:ln w="12600">
              <a:solidFill>
                <a:srgbClr val="808080"/>
              </a:solidFill>
              <a:round/>
            </a:ln>
          </c:spPr>
        </c:majorGridlines>
        <c:minorGridlines>
          <c:spPr>
            <a:ln>
              <a:solidFill>
                <a:srgbClr val="c0c0c0"/>
              </a:solidFill>
            </a:ln>
          </c:spPr>
        </c:minorGridlines>
        <c:numFmt formatCode="General" sourceLinked="0"/>
        <c:majorTickMark val="out"/>
        <c:minorTickMark val="none"/>
        <c:tickLblPos val="nextTo"/>
        <c:spPr>
          <a:ln w="12600">
            <a:solidFill>
              <a:srgbClr val="808080"/>
            </a:solidFill>
            <a:round/>
          </a:ln>
        </c:spPr>
        <c:txPr>
          <a:bodyPr/>
          <a:lstStyle/>
          <a:p>
            <a:pPr>
              <a:defRPr b="0" sz="1000" spc="-1" strike="noStrike">
                <a:solidFill>
                  <a:srgbClr val="000000"/>
                </a:solidFill>
                <a:latin typeface="Calibri"/>
              </a:defRPr>
            </a:pPr>
          </a:p>
        </c:txPr>
        <c:crossAx val="17565279"/>
        <c:crosses val="max"/>
        <c:majorUnit val="2"/>
        <c:minorUnit val="1"/>
      </c:valAx>
      <c:spPr>
        <a:solidFill>
          <a:srgbClr val="ffffff"/>
        </a:solidFill>
        <a:ln>
          <a:noFill/>
        </a:ln>
      </c:spPr>
    </c:plotArea>
    <c:legend>
      <c:legendPos val="r"/>
      <c:layout>
        <c:manualLayout>
          <c:xMode val="edge"/>
          <c:yMode val="edge"/>
          <c:x val="0.0180717236199775"/>
          <c:y val="0.126623946629213"/>
          <c:w val="0.170531355613969"/>
          <c:h val="0.046436095505618"/>
        </c:manualLayout>
      </c:layout>
      <c:overlay val="0"/>
      <c:spPr>
        <a:noFill/>
        <a:ln>
          <a:solidFill>
            <a:srgbClr val="000000"/>
          </a:solidFill>
        </a:ln>
      </c:spPr>
      <c:txPr>
        <a:bodyPr/>
        <a:lstStyle/>
        <a:p>
          <a:pPr>
            <a:defRPr b="0" sz="1000" spc="-1" strike="noStrike">
              <a:solidFill>
                <a:srgbClr val="000000"/>
              </a:solidFill>
              <a:latin typeface="Calibri"/>
            </a:defRPr>
          </a:pPr>
        </a:p>
      </c:txPr>
    </c:legend>
    <c:plotVisOnly val="1"/>
    <c:dispBlanksAs val="gap"/>
  </c:chart>
  <c:spPr>
    <a:solidFill>
      <a:srgbClr val="ffffff"/>
    </a:solidFill>
    <a:ln>
      <a:noFill/>
    </a:ln>
  </c:spPr>
</c:chartSpace>
</file>

<file path=xl/charts/chart3.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800" spc="-1" strike="noStrike">
                <a:solidFill>
                  <a:srgbClr val="000000"/>
                </a:solidFill>
                <a:latin typeface="Calibri"/>
              </a:defRPr>
            </a:pPr>
            <a:r>
              <a:rPr b="1" sz="1800" spc="-1" strike="noStrike">
                <a:solidFill>
                  <a:srgbClr val="000000"/>
                </a:solidFill>
                <a:latin typeface="Calibri"/>
              </a:rPr>
              <a:t>Résultats des indicateurs socio-territoriaux</a:t>
            </a:r>
          </a:p>
        </c:rich>
      </c:tx>
      <c:layout>
        <c:manualLayout>
          <c:xMode val="edge"/>
          <c:yMode val="edge"/>
          <c:x val="0.237278761061947"/>
          <c:y val="0.0291925739736297"/>
        </c:manualLayout>
      </c:layout>
      <c:overlay val="0"/>
      <c:spPr>
        <a:noFill/>
        <a:ln>
          <a:noFill/>
        </a:ln>
      </c:spPr>
    </c:title>
    <c:autoTitleDeleted val="0"/>
    <c:plotArea>
      <c:layout>
        <c:manualLayout>
          <c:xMode val="edge"/>
          <c:yMode val="edge"/>
          <c:x val="0"/>
          <c:y val="0.0895180138466287"/>
          <c:w val="0.99994971842317"/>
          <c:h val="0.901397892137408"/>
        </c:manualLayout>
      </c:layout>
      <c:barChart>
        <c:barDir val="bar"/>
        <c:grouping val="stacked"/>
        <c:varyColors val="0"/>
        <c:ser>
          <c:idx val="0"/>
          <c:order val="0"/>
          <c:tx>
            <c:strRef>
              <c:f>"Note de l'exploitation"</c:f>
              <c:strCache>
                <c:ptCount val="1"/>
                <c:pt idx="0">
                  <c:v>Note de l'exploitation</c:v>
                </c:pt>
              </c:strCache>
            </c:strRef>
          </c:tx>
          <c:spPr>
            <a:solidFill>
              <a:srgbClr val="333399"/>
            </a:solidFill>
            <a:ln>
              <a:noFill/>
            </a:ln>
          </c:spPr>
          <c:invertIfNegative val="0"/>
          <c:dLbls>
            <c:numFmt formatCode="General" sourceLinked="1"/>
            <c:txPr>
              <a:bodyPr/>
              <a:lstStyle/>
              <a:p>
                <a:pPr>
                  <a:defRPr b="0" sz="1000" spc="-1" strike="noStrike">
                    <a:latin typeface="Arial"/>
                  </a:defRPr>
                </a:pPr>
              </a:p>
            </c:txPr>
            <c:dLblPos val="ctr"/>
            <c:showLegendKey val="0"/>
            <c:showVal val="0"/>
            <c:showCatName val="0"/>
            <c:showSerName val="0"/>
            <c:showPercent val="0"/>
            <c:separator> </c:separator>
            <c:showLeaderLines val="0"/>
          </c:dLbls>
          <c:cat>
            <c:strRef>
              <c:f>'Bilan durabilité'!$D$173:$D$195</c:f>
              <c:strCache>
                <c:ptCount val="23"/>
                <c:pt idx="0">
                  <c:v>Production alimentaire de l'exploitation</c:v>
                </c:pt>
                <c:pt idx="1">
                  <c:v>Contribution à l’équilibre alimentaire mondial</c:v>
                </c:pt>
                <c:pt idx="2">
                  <c:v>Qualités de la production</c:v>
                </c:pt>
                <c:pt idx="3">
                  <c:v>Pertes et gaspillage</c:v>
                </c:pt>
                <c:pt idx="4">
                  <c:v>Liens sociaux, hédoniques et culturels à l'alimentation</c:v>
                </c:pt>
                <c:pt idx="5">
                  <c:v>Engagement dans des démarches 
environnementales contractualisées et territoriales</c:v>
                </c:pt>
                <c:pt idx="6">
                  <c:v>Services marchands au territoire</c:v>
                </c:pt>
                <c:pt idx="7">
                  <c:v>Valorisation par filières courtes ou de proximité</c:v>
                </c:pt>
                <c:pt idx="8">
                  <c:v>Valorisation des ressources locales</c:v>
                </c:pt>
                <c:pt idx="9">
                  <c:v>Valorisation et qualité du patrimoine 
(bâti, paysage et savoir-faire) et ressources naturelles</c:v>
                </c:pt>
                <c:pt idx="10">
                  <c:v>Accessibilité de l’espace</c:v>
                </c:pt>
                <c:pt idx="11">
                  <c:v>Gestion des déchets non organiques</c:v>
                </c:pt>
                <c:pt idx="12">
                  <c:v>Réseaux d'innovation et mutualisation du matériel</c:v>
                </c:pt>
                <c:pt idx="13">
                  <c:v>Contribution à l'emploi et gestion du salariat</c:v>
                </c:pt>
                <c:pt idx="14">
                  <c:v>Mutualisation du travail</c:v>
                </c:pt>
                <c:pt idx="15">
                  <c:v>Intensité et qualité au travail</c:v>
                </c:pt>
                <c:pt idx="16">
                  <c:v>Accueil, hygiène et sécurité</c:v>
                </c:pt>
                <c:pt idx="17">
                  <c:v>Formation</c:v>
                </c:pt>
                <c:pt idx="18">
                  <c:v>Implication sociale territoriale et solidarités</c:v>
                </c:pt>
                <c:pt idx="19">
                  <c:v>Démarche de transparence</c:v>
                </c:pt>
                <c:pt idx="20">
                  <c:v>Qualité de la vie</c:v>
                </c:pt>
                <c:pt idx="21">
                  <c:v>Isolement</c:v>
                </c:pt>
                <c:pt idx="22">
                  <c:v>Bien-être animal</c:v>
                </c:pt>
              </c:strCache>
            </c:strRef>
          </c:cat>
          <c:val>
            <c:numRef>
              <c:f>'Bilan durabilité'!$F$173:$F$195</c:f>
              <c:numCache>
                <c:formatCode>General</c:formatCode>
                <c:ptCount val="23"/>
                <c:pt idx="0">
                  <c:v>6</c:v>
                </c:pt>
                <c:pt idx="1">
                  <c:v>6</c:v>
                </c:pt>
                <c:pt idx="2">
                  <c:v>0</c:v>
                </c:pt>
                <c:pt idx="3">
                  <c:v>2</c:v>
                </c:pt>
                <c:pt idx="4">
                  <c:v>3</c:v>
                </c:pt>
                <c:pt idx="5">
                  <c:v>0</c:v>
                </c:pt>
                <c:pt idx="6">
                  <c:v>0</c:v>
                </c:pt>
                <c:pt idx="7">
                  <c:v>0</c:v>
                </c:pt>
                <c:pt idx="8">
                  <c:v>5</c:v>
                </c:pt>
                <c:pt idx="9">
                  <c:v>3</c:v>
                </c:pt>
                <c:pt idx="10">
                  <c:v>3</c:v>
                </c:pt>
                <c:pt idx="11">
                  <c:v>2</c:v>
                </c:pt>
                <c:pt idx="12">
                  <c:v>3</c:v>
                </c:pt>
                <c:pt idx="13">
                  <c:v>6</c:v>
                </c:pt>
                <c:pt idx="14">
                  <c:v>2</c:v>
                </c:pt>
                <c:pt idx="15">
                  <c:v>5</c:v>
                </c:pt>
                <c:pt idx="16">
                  <c:v>5</c:v>
                </c:pt>
                <c:pt idx="17">
                  <c:v>2</c:v>
                </c:pt>
                <c:pt idx="18">
                  <c:v>4</c:v>
                </c:pt>
                <c:pt idx="19">
                  <c:v>2</c:v>
                </c:pt>
                <c:pt idx="20">
                  <c:v>5</c:v>
                </c:pt>
                <c:pt idx="21">
                  <c:v>3</c:v>
                </c:pt>
                <c:pt idx="22">
                  <c:v>5</c:v>
                </c:pt>
              </c:numCache>
            </c:numRef>
          </c:val>
        </c:ser>
        <c:ser>
          <c:idx val="1"/>
          <c:order val="1"/>
          <c:tx>
            <c:strRef>
              <c:f>"Note max"</c:f>
              <c:strCache>
                <c:ptCount val="1"/>
                <c:pt idx="0">
                  <c:v>Note max</c:v>
                </c:pt>
              </c:strCache>
            </c:strRef>
          </c:tx>
          <c:spPr>
            <a:solidFill>
              <a:srgbClr val="99ccff"/>
            </a:solidFill>
            <a:ln>
              <a:noFill/>
            </a:ln>
          </c:spPr>
          <c:invertIfNegative val="0"/>
          <c:dLbls>
            <c:numFmt formatCode="General" sourceLinked="1"/>
            <c:txPr>
              <a:bodyPr/>
              <a:lstStyle/>
              <a:p>
                <a:pPr>
                  <a:defRPr b="0" sz="1000" spc="-1" strike="noStrike">
                    <a:latin typeface="Arial"/>
                  </a:defRPr>
                </a:pPr>
              </a:p>
            </c:txPr>
            <c:dLblPos val="ctr"/>
            <c:showLegendKey val="0"/>
            <c:showVal val="0"/>
            <c:showCatName val="0"/>
            <c:showSerName val="0"/>
            <c:showPercent val="0"/>
            <c:separator> </c:separator>
            <c:showLeaderLines val="0"/>
          </c:dLbls>
          <c:cat>
            <c:strRef>
              <c:f>'Bilan durabilité'!$D$173:$D$195</c:f>
              <c:strCache>
                <c:ptCount val="23"/>
                <c:pt idx="0">
                  <c:v>Production alimentaire de l'exploitation</c:v>
                </c:pt>
                <c:pt idx="1">
                  <c:v>Contribution à l’équilibre alimentaire mondial</c:v>
                </c:pt>
                <c:pt idx="2">
                  <c:v>Qualités de la production</c:v>
                </c:pt>
                <c:pt idx="3">
                  <c:v>Pertes et gaspillage</c:v>
                </c:pt>
                <c:pt idx="4">
                  <c:v>Liens sociaux, hédoniques et culturels à l'alimentation</c:v>
                </c:pt>
                <c:pt idx="5">
                  <c:v>Engagement dans des démarches 
environnementales contractualisées et territoriales</c:v>
                </c:pt>
                <c:pt idx="6">
                  <c:v>Services marchands au territoire</c:v>
                </c:pt>
                <c:pt idx="7">
                  <c:v>Valorisation par filières courtes ou de proximité</c:v>
                </c:pt>
                <c:pt idx="8">
                  <c:v>Valorisation des ressources locales</c:v>
                </c:pt>
                <c:pt idx="9">
                  <c:v>Valorisation et qualité du patrimoine 
(bâti, paysage et savoir-faire) et ressources naturelles</c:v>
                </c:pt>
                <c:pt idx="10">
                  <c:v>Accessibilité de l’espace</c:v>
                </c:pt>
                <c:pt idx="11">
                  <c:v>Gestion des déchets non organiques</c:v>
                </c:pt>
                <c:pt idx="12">
                  <c:v>Réseaux d'innovation et mutualisation du matériel</c:v>
                </c:pt>
                <c:pt idx="13">
                  <c:v>Contribution à l'emploi et gestion du salariat</c:v>
                </c:pt>
                <c:pt idx="14">
                  <c:v>Mutualisation du travail</c:v>
                </c:pt>
                <c:pt idx="15">
                  <c:v>Intensité et qualité au travail</c:v>
                </c:pt>
                <c:pt idx="16">
                  <c:v>Accueil, hygiène et sécurité</c:v>
                </c:pt>
                <c:pt idx="17">
                  <c:v>Formation</c:v>
                </c:pt>
                <c:pt idx="18">
                  <c:v>Implication sociale territoriale et solidarités</c:v>
                </c:pt>
                <c:pt idx="19">
                  <c:v>Démarche de transparence</c:v>
                </c:pt>
                <c:pt idx="20">
                  <c:v>Qualité de la vie</c:v>
                </c:pt>
                <c:pt idx="21">
                  <c:v>Isolement</c:v>
                </c:pt>
                <c:pt idx="22">
                  <c:v>Bien-être animal</c:v>
                </c:pt>
              </c:strCache>
            </c:strRef>
          </c:cat>
          <c:val>
            <c:numRef>
              <c:f>'Bilan durabilité'!$K$173:$K$195</c:f>
              <c:numCache>
                <c:formatCode>General</c:formatCode>
                <c:ptCount val="23"/>
                <c:pt idx="0">
                  <c:v>0</c:v>
                </c:pt>
                <c:pt idx="1">
                  <c:v>0</c:v>
                </c:pt>
                <c:pt idx="2">
                  <c:v>6</c:v>
                </c:pt>
                <c:pt idx="3">
                  <c:v>4</c:v>
                </c:pt>
                <c:pt idx="4">
                  <c:v>3</c:v>
                </c:pt>
                <c:pt idx="5">
                  <c:v>5</c:v>
                </c:pt>
                <c:pt idx="6">
                  <c:v>3</c:v>
                </c:pt>
                <c:pt idx="7">
                  <c:v>5</c:v>
                </c:pt>
                <c:pt idx="8">
                  <c:v>0</c:v>
                </c:pt>
                <c:pt idx="9">
                  <c:v>0</c:v>
                </c:pt>
                <c:pt idx="10">
                  <c:v>0</c:v>
                </c:pt>
                <c:pt idx="11">
                  <c:v>1</c:v>
                </c:pt>
                <c:pt idx="12">
                  <c:v>0</c:v>
                </c:pt>
                <c:pt idx="13">
                  <c:v>0</c:v>
                </c:pt>
                <c:pt idx="14">
                  <c:v>4</c:v>
                </c:pt>
                <c:pt idx="15">
                  <c:v>1</c:v>
                </c:pt>
                <c:pt idx="16">
                  <c:v>0</c:v>
                </c:pt>
                <c:pt idx="17">
                  <c:v>3</c:v>
                </c:pt>
                <c:pt idx="18">
                  <c:v>2</c:v>
                </c:pt>
                <c:pt idx="19">
                  <c:v>4</c:v>
                </c:pt>
                <c:pt idx="20">
                  <c:v>1</c:v>
                </c:pt>
                <c:pt idx="21">
                  <c:v>3</c:v>
                </c:pt>
                <c:pt idx="22">
                  <c:v>1</c:v>
                </c:pt>
              </c:numCache>
            </c:numRef>
          </c:val>
        </c:ser>
        <c:gapWidth val="150"/>
        <c:overlap val="100"/>
        <c:axId val="36867161"/>
        <c:axId val="32206488"/>
      </c:barChart>
      <c:catAx>
        <c:axId val="36867161"/>
        <c:scaling>
          <c:orientation val="maxMin"/>
        </c:scaling>
        <c:delete val="0"/>
        <c:axPos val="b"/>
        <c:numFmt formatCode="General" sourceLinked="1"/>
        <c:majorTickMark val="out"/>
        <c:minorTickMark val="out"/>
        <c:tickLblPos val="nextTo"/>
        <c:spPr>
          <a:ln>
            <a:solidFill>
              <a:srgbClr val="808080"/>
            </a:solidFill>
          </a:ln>
        </c:spPr>
        <c:txPr>
          <a:bodyPr/>
          <a:lstStyle/>
          <a:p>
            <a:pPr>
              <a:defRPr b="0" sz="1000" spc="-1" strike="noStrike">
                <a:solidFill>
                  <a:srgbClr val="000000"/>
                </a:solidFill>
                <a:latin typeface="Arial"/>
              </a:defRPr>
            </a:pPr>
          </a:p>
        </c:txPr>
        <c:crossAx val="32206488"/>
        <c:crosses val="autoZero"/>
        <c:auto val="1"/>
        <c:lblAlgn val="ctr"/>
        <c:lblOffset val="100"/>
      </c:catAx>
      <c:valAx>
        <c:axId val="32206488"/>
        <c:scaling>
          <c:orientation val="minMax"/>
          <c:max val="7"/>
          <c:min val="0"/>
        </c:scaling>
        <c:delete val="0"/>
        <c:axPos val="l"/>
        <c:majorGridlines>
          <c:spPr>
            <a:ln w="12600">
              <a:solidFill>
                <a:srgbClr val="808080"/>
              </a:solidFill>
              <a:round/>
            </a:ln>
          </c:spPr>
        </c:majorGridlines>
        <c:numFmt formatCode="General" sourceLinked="0"/>
        <c:majorTickMark val="out"/>
        <c:minorTickMark val="none"/>
        <c:tickLblPos val="nextTo"/>
        <c:spPr>
          <a:ln w="12600">
            <a:solidFill>
              <a:srgbClr val="808080"/>
            </a:solidFill>
            <a:round/>
          </a:ln>
        </c:spPr>
        <c:txPr>
          <a:bodyPr/>
          <a:lstStyle/>
          <a:p>
            <a:pPr>
              <a:defRPr b="0" sz="1000" spc="-1" strike="noStrike">
                <a:solidFill>
                  <a:srgbClr val="000000"/>
                </a:solidFill>
                <a:latin typeface="Calibri"/>
              </a:defRPr>
            </a:pPr>
          </a:p>
        </c:txPr>
        <c:crossAx val="36867161"/>
        <c:crosses val="max"/>
        <c:majorUnit val="1"/>
        <c:minorUnit val="1"/>
      </c:valAx>
      <c:spPr>
        <a:solidFill>
          <a:srgbClr val="ffffff"/>
        </a:solidFill>
        <a:ln>
          <a:noFill/>
        </a:ln>
      </c:spPr>
    </c:plotArea>
    <c:legend>
      <c:legendPos val="r"/>
      <c:layout>
        <c:manualLayout>
          <c:xMode val="edge"/>
          <c:yMode val="edge"/>
          <c:x val="0.0225730229752149"/>
          <c:y val="0.920539730134932"/>
          <c:w val="0.200392137147454"/>
          <c:h val="0.0497398359643708"/>
        </c:manualLayout>
      </c:layout>
      <c:overlay val="0"/>
      <c:spPr>
        <a:noFill/>
        <a:ln>
          <a:solidFill>
            <a:srgbClr val="000000"/>
          </a:solidFill>
        </a:ln>
      </c:spPr>
      <c:txPr>
        <a:bodyPr/>
        <a:lstStyle/>
        <a:p>
          <a:pPr>
            <a:defRPr b="0" sz="1000" spc="-1" strike="noStrike">
              <a:solidFill>
                <a:srgbClr val="000000"/>
              </a:solidFill>
              <a:latin typeface="Calibri"/>
            </a:defRPr>
          </a:pPr>
        </a:p>
      </c:txPr>
    </c:legend>
    <c:plotVisOnly val="1"/>
    <c:dispBlanksAs val="gap"/>
  </c:chart>
  <c:spPr>
    <a:solidFill>
      <a:srgbClr val="ffffff"/>
    </a:solidFill>
    <a:ln>
      <a:noFill/>
    </a:ln>
  </c:spPr>
</c:chartSpace>
</file>

<file path=xl/charts/chart4.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800" spc="-1" strike="noStrike">
                <a:solidFill>
                  <a:srgbClr val="000000"/>
                </a:solidFill>
                <a:latin typeface="Calibri"/>
              </a:defRPr>
            </a:pPr>
            <a:r>
              <a:rPr b="1" sz="1800" spc="-1" strike="noStrike">
                <a:solidFill>
                  <a:srgbClr val="000000"/>
                </a:solidFill>
                <a:latin typeface="Calibri"/>
              </a:rPr>
              <a:t>Résultats des indicateurs économiques</a:t>
            </a:r>
          </a:p>
        </c:rich>
      </c:tx>
      <c:layout>
        <c:manualLayout>
          <c:xMode val="edge"/>
          <c:yMode val="edge"/>
          <c:x val="0.284663436277658"/>
          <c:y val="0.0553065355696935"/>
        </c:manualLayout>
      </c:layout>
      <c:overlay val="0"/>
      <c:spPr>
        <a:noFill/>
        <a:ln>
          <a:noFill/>
        </a:ln>
      </c:spPr>
    </c:title>
    <c:autoTitleDeleted val="0"/>
    <c:plotArea>
      <c:layout>
        <c:manualLayout>
          <c:xMode val="edge"/>
          <c:yMode val="edge"/>
          <c:x val="0"/>
          <c:y val="0.18074031231926"/>
          <c:w val="0.999941619475743"/>
          <c:h val="0.806897050318103"/>
        </c:manualLayout>
      </c:layout>
      <c:barChart>
        <c:barDir val="bar"/>
        <c:grouping val="stacked"/>
        <c:varyColors val="0"/>
        <c:ser>
          <c:idx val="0"/>
          <c:order val="0"/>
          <c:tx>
            <c:strRef>
              <c:f>"Note de l'exploitation"</c:f>
              <c:strCache>
                <c:ptCount val="1"/>
                <c:pt idx="0">
                  <c:v>Note de l'exploitation</c:v>
                </c:pt>
              </c:strCache>
            </c:strRef>
          </c:tx>
          <c:spPr>
            <a:solidFill>
              <a:srgbClr val="ff8080"/>
            </a:solidFill>
            <a:ln>
              <a:noFill/>
            </a:ln>
          </c:spPr>
          <c:invertIfNegative val="0"/>
          <c:dLbls>
            <c:numFmt formatCode="General" sourceLinked="1"/>
            <c:txPr>
              <a:bodyPr/>
              <a:lstStyle/>
              <a:p>
                <a:pPr>
                  <a:defRPr b="0" sz="1000" spc="-1" strike="noStrike">
                    <a:latin typeface="Arial"/>
                  </a:defRPr>
                </a:pPr>
              </a:p>
            </c:txPr>
            <c:dLblPos val="ctr"/>
            <c:showLegendKey val="0"/>
            <c:showVal val="0"/>
            <c:showCatName val="0"/>
            <c:showSerName val="0"/>
            <c:showPercent val="0"/>
            <c:separator> </c:separator>
            <c:showLeaderLines val="0"/>
          </c:dLbls>
          <c:cat>
            <c:strRef>
              <c:f>'Bilan durabilité'!$D$199:$D$209</c:f>
              <c:strCache>
                <c:ptCount val="11"/>
                <c:pt idx="0">
                  <c:v>Capacité économique</c:v>
                </c:pt>
                <c:pt idx="1">
                  <c:v>Poids de la dette</c:v>
                </c:pt>
                <c:pt idx="2">
                  <c:v>Taux d'endettement structurel</c:v>
                </c:pt>
                <c:pt idx="3">
                  <c:v>Diversification productive</c:v>
                </c:pt>
                <c:pt idx="4">
                  <c:v>Diversification et relations contractuelles</c:v>
                </c:pt>
                <c:pt idx="5">
                  <c:v>Sensibilité aux aides</c:v>
                </c:pt>
                <c:pt idx="6">
                  <c:v>Contribution de revenus extérieurs à l'indépendance</c:v>
                </c:pt>
                <c:pt idx="7">
                  <c:v>Transmissibilité économique</c:v>
                </c:pt>
                <c:pt idx="8">
                  <c:v>Pérennité probable</c:v>
                </c:pt>
                <c:pt idx="9">
                  <c:v>Efficience brute du processus productif</c:v>
                </c:pt>
                <c:pt idx="10">
                  <c:v>Sobriété en intrants dans le processus productif</c:v>
                </c:pt>
              </c:strCache>
            </c:strRef>
          </c:cat>
          <c:val>
            <c:numRef>
              <c:f>'Bilan durabilité'!$F$199:$F$209</c:f>
              <c:numCache>
                <c:formatCode>General</c:formatCode>
                <c:ptCount val="11"/>
                <c:pt idx="0">
                  <c:v>16</c:v>
                </c:pt>
                <c:pt idx="1">
                  <c:v>0</c:v>
                </c:pt>
                <c:pt idx="2">
                  <c:v>6</c:v>
                </c:pt>
                <c:pt idx="3">
                  <c:v>6</c:v>
                </c:pt>
                <c:pt idx="4">
                  <c:v>4</c:v>
                </c:pt>
                <c:pt idx="5">
                  <c:v>6</c:v>
                </c:pt>
                <c:pt idx="6">
                  <c:v>4</c:v>
                </c:pt>
                <c:pt idx="7">
                  <c:v>6</c:v>
                </c:pt>
                <c:pt idx="8">
                  <c:v>8</c:v>
                </c:pt>
                <c:pt idx="9">
                  <c:v>12</c:v>
                </c:pt>
                <c:pt idx="10">
                  <c:v>0</c:v>
                </c:pt>
              </c:numCache>
            </c:numRef>
          </c:val>
        </c:ser>
        <c:ser>
          <c:idx val="1"/>
          <c:order val="1"/>
          <c:tx>
            <c:strRef>
              <c:f>"Note max"</c:f>
              <c:strCache>
                <c:ptCount val="1"/>
                <c:pt idx="0">
                  <c:v>Note max</c:v>
                </c:pt>
              </c:strCache>
            </c:strRef>
          </c:tx>
          <c:spPr>
            <a:solidFill>
              <a:srgbClr val="ffcc99"/>
            </a:solidFill>
            <a:ln>
              <a:noFill/>
            </a:ln>
          </c:spPr>
          <c:invertIfNegative val="0"/>
          <c:dLbls>
            <c:numFmt formatCode="General" sourceLinked="1"/>
            <c:txPr>
              <a:bodyPr/>
              <a:lstStyle/>
              <a:p>
                <a:pPr>
                  <a:defRPr b="0" sz="1000" spc="-1" strike="noStrike">
                    <a:latin typeface="Arial"/>
                  </a:defRPr>
                </a:pPr>
              </a:p>
            </c:txPr>
            <c:dLblPos val="ctr"/>
            <c:showLegendKey val="0"/>
            <c:showVal val="0"/>
            <c:showCatName val="0"/>
            <c:showSerName val="0"/>
            <c:showPercent val="0"/>
            <c:separator> </c:separator>
            <c:showLeaderLines val="0"/>
          </c:dLbls>
          <c:cat>
            <c:strRef>
              <c:f>'Bilan durabilité'!$D$199:$D$209</c:f>
              <c:strCache>
                <c:ptCount val="11"/>
                <c:pt idx="0">
                  <c:v>Capacité économique</c:v>
                </c:pt>
                <c:pt idx="1">
                  <c:v>Poids de la dette</c:v>
                </c:pt>
                <c:pt idx="2">
                  <c:v>Taux d'endettement structurel</c:v>
                </c:pt>
                <c:pt idx="3">
                  <c:v>Diversification productive</c:v>
                </c:pt>
                <c:pt idx="4">
                  <c:v>Diversification et relations contractuelles</c:v>
                </c:pt>
                <c:pt idx="5">
                  <c:v>Sensibilité aux aides</c:v>
                </c:pt>
                <c:pt idx="6">
                  <c:v>Contribution de revenus extérieurs à l'indépendance</c:v>
                </c:pt>
                <c:pt idx="7">
                  <c:v>Transmissibilité économique</c:v>
                </c:pt>
                <c:pt idx="8">
                  <c:v>Pérennité probable</c:v>
                </c:pt>
                <c:pt idx="9">
                  <c:v>Efficience brute du processus productif</c:v>
                </c:pt>
                <c:pt idx="10">
                  <c:v>Sobriété en intrants dans le processus productif</c:v>
                </c:pt>
              </c:strCache>
            </c:strRef>
          </c:cat>
          <c:val>
            <c:numRef>
              <c:f>'Bilan durabilité'!$K$199:$K$209</c:f>
              <c:numCache>
                <c:formatCode>General</c:formatCode>
                <c:ptCount val="11"/>
                <c:pt idx="0">
                  <c:v>4</c:v>
                </c:pt>
                <c:pt idx="1">
                  <c:v>12</c:v>
                </c:pt>
                <c:pt idx="2">
                  <c:v>0</c:v>
                </c:pt>
                <c:pt idx="3">
                  <c:v>4</c:v>
                </c:pt>
                <c:pt idx="4">
                  <c:v>6</c:v>
                </c:pt>
                <c:pt idx="5">
                  <c:v>0</c:v>
                </c:pt>
                <c:pt idx="6">
                  <c:v>0</c:v>
                </c:pt>
                <c:pt idx="7">
                  <c:v>9</c:v>
                </c:pt>
                <c:pt idx="8">
                  <c:v>0</c:v>
                </c:pt>
                <c:pt idx="9">
                  <c:v>0</c:v>
                </c:pt>
                <c:pt idx="10">
                  <c:v>8</c:v>
                </c:pt>
              </c:numCache>
            </c:numRef>
          </c:val>
        </c:ser>
        <c:gapWidth val="150"/>
        <c:overlap val="100"/>
        <c:axId val="48923411"/>
        <c:axId val="79497210"/>
      </c:barChart>
      <c:catAx>
        <c:axId val="48923411"/>
        <c:scaling>
          <c:orientation val="maxMin"/>
        </c:scaling>
        <c:delete val="0"/>
        <c:axPos val="b"/>
        <c:numFmt formatCode="General" sourceLinked="1"/>
        <c:majorTickMark val="out"/>
        <c:minorTickMark val="out"/>
        <c:tickLblPos val="low"/>
        <c:spPr>
          <a:ln>
            <a:solidFill>
              <a:srgbClr val="808080"/>
            </a:solidFill>
          </a:ln>
        </c:spPr>
        <c:txPr>
          <a:bodyPr/>
          <a:lstStyle/>
          <a:p>
            <a:pPr>
              <a:defRPr b="0" sz="1000" spc="-1" strike="noStrike">
                <a:solidFill>
                  <a:srgbClr val="000000"/>
                </a:solidFill>
                <a:latin typeface="Arial"/>
              </a:defRPr>
            </a:pPr>
          </a:p>
        </c:txPr>
        <c:crossAx val="79497210"/>
        <c:crosses val="autoZero"/>
        <c:auto val="1"/>
        <c:lblAlgn val="ctr"/>
        <c:lblOffset val="100"/>
      </c:catAx>
      <c:valAx>
        <c:axId val="79497210"/>
        <c:scaling>
          <c:orientation val="minMax"/>
          <c:max val="20"/>
          <c:min val="0"/>
        </c:scaling>
        <c:delete val="0"/>
        <c:axPos val="l"/>
        <c:majorGridlines>
          <c:spPr>
            <a:ln w="12600">
              <a:solidFill>
                <a:srgbClr val="808080"/>
              </a:solidFill>
              <a:round/>
            </a:ln>
          </c:spPr>
        </c:majorGridlines>
        <c:numFmt formatCode="General" sourceLinked="0"/>
        <c:majorTickMark val="out"/>
        <c:minorTickMark val="out"/>
        <c:tickLblPos val="nextTo"/>
        <c:spPr>
          <a:ln w="12600">
            <a:solidFill>
              <a:srgbClr val="808080"/>
            </a:solidFill>
            <a:round/>
          </a:ln>
        </c:spPr>
        <c:txPr>
          <a:bodyPr/>
          <a:lstStyle/>
          <a:p>
            <a:pPr>
              <a:defRPr b="0" sz="1000" spc="-1" strike="noStrike">
                <a:solidFill>
                  <a:srgbClr val="000000"/>
                </a:solidFill>
                <a:latin typeface="Calibri"/>
              </a:defRPr>
            </a:pPr>
          </a:p>
        </c:txPr>
        <c:crossAx val="48923411"/>
        <c:crosses val="max"/>
        <c:majorUnit val="2"/>
        <c:minorUnit val="1"/>
      </c:valAx>
      <c:spPr>
        <a:solidFill>
          <a:srgbClr val="ffffff"/>
        </a:solidFill>
        <a:ln>
          <a:noFill/>
        </a:ln>
      </c:spPr>
    </c:plotArea>
    <c:legend>
      <c:legendPos val="r"/>
      <c:layout>
        <c:manualLayout>
          <c:xMode val="edge"/>
          <c:yMode val="edge"/>
          <c:x val="0.0272037361354349"/>
          <c:y val="0.0983156220631822"/>
          <c:w val="0.214127262113252"/>
          <c:h val="0.0636882816453409"/>
        </c:manualLayout>
      </c:layout>
      <c:overlay val="0"/>
      <c:spPr>
        <a:noFill/>
        <a:ln>
          <a:solidFill>
            <a:srgbClr val="000000"/>
          </a:solidFill>
        </a:ln>
      </c:spPr>
      <c:txPr>
        <a:bodyPr/>
        <a:lstStyle/>
        <a:p>
          <a:pPr>
            <a:defRPr b="0" sz="1000" spc="-1" strike="noStrike">
              <a:solidFill>
                <a:srgbClr val="000000"/>
              </a:solidFill>
              <a:latin typeface="Calibri"/>
            </a:defRPr>
          </a:pPr>
        </a:p>
      </c:txPr>
    </c:legend>
    <c:plotVisOnly val="1"/>
    <c:dispBlanksAs val="gap"/>
  </c:chart>
  <c:spPr>
    <a:solidFill>
      <a:srgbClr val="ffffff"/>
    </a:solidFill>
    <a:ln>
      <a:noFill/>
    </a:ln>
  </c:spPr>
</c:chartSpace>
</file>

<file path=xl/charts/chart5.xml><?xml version="1.0" encoding="utf-8"?>
<c:chartSpace xmlns:c="http://schemas.openxmlformats.org/drawingml/2006/chart" xmlns:a="http://schemas.openxmlformats.org/drawingml/2006/main" xmlns:r="http://schemas.openxmlformats.org/officeDocument/2006/relationships">
  <c:lang val="en-US"/>
  <c:roundedCorners val="0"/>
  <c:chart>
    <c:plotArea>
      <c:layout>
        <c:manualLayout>
          <c:xMode val="edge"/>
          <c:yMode val="edge"/>
          <c:x val="0.00926142339605002"/>
          <c:y val="0"/>
          <c:w val="0.980600677807643"/>
          <c:h val="0.999937138546643"/>
        </c:manualLayout>
      </c:layout>
      <c:barChart>
        <c:barDir val="col"/>
        <c:grouping val="stacked"/>
        <c:varyColors val="0"/>
        <c:ser>
          <c:idx val="0"/>
          <c:order val="0"/>
          <c:tx>
            <c:strRef>
              <c:f>"Note exploitaton"</c:f>
              <c:strCache>
                <c:ptCount val="1"/>
                <c:pt idx="0">
                  <c:v>Note exploitaton</c:v>
                </c:pt>
              </c:strCache>
            </c:strRef>
          </c:tx>
          <c:spPr>
            <a:solidFill>
              <a:srgbClr val="c0504d"/>
            </a:solidFill>
            <a:ln>
              <a:noFill/>
            </a:ln>
          </c:spPr>
          <c:invertIfNegative val="0"/>
          <c:dPt>
            <c:idx val="0"/>
            <c:invertIfNegative val="0"/>
            <c:spPr>
              <a:solidFill>
                <a:srgbClr val="92d050"/>
              </a:solidFill>
              <a:ln>
                <a:noFill/>
              </a:ln>
            </c:spPr>
          </c:dPt>
          <c:dPt>
            <c:idx val="1"/>
            <c:invertIfNegative val="0"/>
            <c:spPr>
              <a:solidFill>
                <a:srgbClr val="92d050"/>
              </a:solidFill>
              <a:ln>
                <a:noFill/>
              </a:ln>
            </c:spPr>
          </c:dPt>
          <c:dPt>
            <c:idx val="2"/>
            <c:invertIfNegative val="0"/>
            <c:spPr>
              <a:solidFill>
                <a:srgbClr val="92d050"/>
              </a:solidFill>
              <a:ln>
                <a:noFill/>
              </a:ln>
            </c:spPr>
          </c:dPt>
          <c:dPt>
            <c:idx val="3"/>
            <c:invertIfNegative val="0"/>
            <c:spPr>
              <a:solidFill>
                <a:srgbClr val="92d050"/>
              </a:solidFill>
              <a:ln>
                <a:noFill/>
              </a:ln>
            </c:spPr>
          </c:dPt>
          <c:dPt>
            <c:idx val="4"/>
            <c:invertIfNegative val="0"/>
            <c:spPr>
              <a:solidFill>
                <a:srgbClr val="92d050"/>
              </a:solidFill>
              <a:ln>
                <a:noFill/>
              </a:ln>
            </c:spPr>
          </c:dPt>
          <c:dPt>
            <c:idx val="5"/>
            <c:invertIfNegative val="0"/>
            <c:spPr>
              <a:solidFill>
                <a:srgbClr val="17375e"/>
              </a:solidFill>
              <a:ln>
                <a:noFill/>
              </a:ln>
            </c:spPr>
          </c:dPt>
          <c:dPt>
            <c:idx val="6"/>
            <c:invertIfNegative val="0"/>
            <c:spPr>
              <a:solidFill>
                <a:srgbClr val="17375e"/>
              </a:solidFill>
              <a:ln>
                <a:noFill/>
              </a:ln>
            </c:spPr>
          </c:dPt>
          <c:dPt>
            <c:idx val="7"/>
            <c:invertIfNegative val="0"/>
            <c:spPr>
              <a:solidFill>
                <a:srgbClr val="17375e"/>
              </a:solidFill>
              <a:ln>
                <a:noFill/>
              </a:ln>
            </c:spPr>
          </c:dPt>
          <c:dPt>
            <c:idx val="8"/>
            <c:invertIfNegative val="0"/>
            <c:spPr>
              <a:solidFill>
                <a:srgbClr val="17375e"/>
              </a:solidFill>
              <a:ln>
                <a:noFill/>
              </a:ln>
            </c:spPr>
          </c:dPt>
          <c:dPt>
            <c:idx val="9"/>
            <c:invertIfNegative val="0"/>
            <c:spPr>
              <a:solidFill>
                <a:srgbClr val="e46c0a"/>
              </a:solidFill>
              <a:ln>
                <a:noFill/>
              </a:ln>
            </c:spPr>
          </c:dPt>
          <c:dPt>
            <c:idx val="10"/>
            <c:invertIfNegative val="0"/>
            <c:spPr>
              <a:solidFill>
                <a:srgbClr val="e46c0a"/>
              </a:solidFill>
              <a:ln>
                <a:noFill/>
              </a:ln>
            </c:spPr>
          </c:dPt>
          <c:dPt>
            <c:idx val="11"/>
            <c:invertIfNegative val="0"/>
            <c:spPr>
              <a:solidFill>
                <a:srgbClr val="e46c0a"/>
              </a:solidFill>
              <a:ln>
                <a:noFill/>
              </a:ln>
            </c:spPr>
          </c:dPt>
          <c:dPt>
            <c:idx val="12"/>
            <c:invertIfNegative val="0"/>
            <c:spPr>
              <a:solidFill>
                <a:srgbClr val="e46c0a"/>
              </a:solidFill>
              <a:ln>
                <a:noFill/>
              </a:ln>
            </c:spPr>
          </c:dPt>
          <c:dLbls>
            <c:numFmt formatCode="General" sourceLinked="1"/>
            <c:dLbl>
              <c:idx val="0"/>
              <c:txPr>
                <a:bodyPr/>
                <a:lstStyle/>
                <a:p>
                  <a:pPr>
                    <a:defRPr b="0" sz="1000" spc="-1" strike="noStrike">
                      <a:latin typeface="Arial"/>
                    </a:defRPr>
                  </a:pPr>
                </a:p>
              </c:txPr>
              <c:dLblPos val="ctr"/>
              <c:showLegendKey val="0"/>
              <c:showVal val="0"/>
              <c:showCatName val="0"/>
              <c:showSerName val="0"/>
              <c:showPercent val="0"/>
              <c:separator> </c:separator>
            </c:dLbl>
            <c:dLbl>
              <c:idx val="1"/>
              <c:txPr>
                <a:bodyPr/>
                <a:lstStyle/>
                <a:p>
                  <a:pPr>
                    <a:defRPr b="0" sz="1000" spc="-1" strike="noStrike">
                      <a:latin typeface="Arial"/>
                    </a:defRPr>
                  </a:pPr>
                </a:p>
              </c:txPr>
              <c:dLblPos val="ctr"/>
              <c:showLegendKey val="0"/>
              <c:showVal val="0"/>
              <c:showCatName val="0"/>
              <c:showSerName val="0"/>
              <c:showPercent val="0"/>
              <c:separator> </c:separator>
            </c:dLbl>
            <c:dLbl>
              <c:idx val="2"/>
              <c:txPr>
                <a:bodyPr/>
                <a:lstStyle/>
                <a:p>
                  <a:pPr>
                    <a:defRPr b="0" sz="1000" spc="-1" strike="noStrike">
                      <a:latin typeface="Arial"/>
                    </a:defRPr>
                  </a:pPr>
                </a:p>
              </c:txPr>
              <c:dLblPos val="ctr"/>
              <c:showLegendKey val="0"/>
              <c:showVal val="0"/>
              <c:showCatName val="0"/>
              <c:showSerName val="0"/>
              <c:showPercent val="0"/>
              <c:separator> </c:separator>
            </c:dLbl>
            <c:dLbl>
              <c:idx val="3"/>
              <c:txPr>
                <a:bodyPr/>
                <a:lstStyle/>
                <a:p>
                  <a:pPr>
                    <a:defRPr b="0" sz="1000" spc="-1" strike="noStrike">
                      <a:latin typeface="Arial"/>
                    </a:defRPr>
                  </a:pPr>
                </a:p>
              </c:txPr>
              <c:dLblPos val="ctr"/>
              <c:showLegendKey val="0"/>
              <c:showVal val="0"/>
              <c:showCatName val="0"/>
              <c:showSerName val="0"/>
              <c:showPercent val="0"/>
              <c:separator> </c:separator>
            </c:dLbl>
            <c:dLbl>
              <c:idx val="4"/>
              <c:txPr>
                <a:bodyPr/>
                <a:lstStyle/>
                <a:p>
                  <a:pPr>
                    <a:defRPr b="0" sz="1000" spc="-1" strike="noStrike">
                      <a:latin typeface="Arial"/>
                    </a:defRPr>
                  </a:pPr>
                </a:p>
              </c:txPr>
              <c:dLblPos val="ctr"/>
              <c:showLegendKey val="0"/>
              <c:showVal val="0"/>
              <c:showCatName val="0"/>
              <c:showSerName val="0"/>
              <c:showPercent val="0"/>
              <c:separator> </c:separator>
            </c:dLbl>
            <c:dLbl>
              <c:idx val="5"/>
              <c:txPr>
                <a:bodyPr/>
                <a:lstStyle/>
                <a:p>
                  <a:pPr>
                    <a:defRPr b="0" sz="1000" spc="-1" strike="noStrike">
                      <a:latin typeface="Arial"/>
                    </a:defRPr>
                  </a:pPr>
                </a:p>
              </c:txPr>
              <c:dLblPos val="ctr"/>
              <c:showLegendKey val="0"/>
              <c:showVal val="0"/>
              <c:showCatName val="0"/>
              <c:showSerName val="0"/>
              <c:showPercent val="0"/>
              <c:separator> </c:separator>
            </c:dLbl>
            <c:dLbl>
              <c:idx val="6"/>
              <c:txPr>
                <a:bodyPr/>
                <a:lstStyle/>
                <a:p>
                  <a:pPr>
                    <a:defRPr b="0" sz="1000" spc="-1" strike="noStrike">
                      <a:latin typeface="Arial"/>
                    </a:defRPr>
                  </a:pPr>
                </a:p>
              </c:txPr>
              <c:dLblPos val="ctr"/>
              <c:showLegendKey val="0"/>
              <c:showVal val="0"/>
              <c:showCatName val="0"/>
              <c:showSerName val="0"/>
              <c:showPercent val="0"/>
              <c:separator> </c:separator>
            </c:dLbl>
            <c:dLbl>
              <c:idx val="7"/>
              <c:txPr>
                <a:bodyPr/>
                <a:lstStyle/>
                <a:p>
                  <a:pPr>
                    <a:defRPr b="0" sz="1000" spc="-1" strike="noStrike">
                      <a:latin typeface="Arial"/>
                    </a:defRPr>
                  </a:pPr>
                </a:p>
              </c:txPr>
              <c:dLblPos val="ctr"/>
              <c:showLegendKey val="0"/>
              <c:showVal val="0"/>
              <c:showCatName val="0"/>
              <c:showSerName val="0"/>
              <c:showPercent val="0"/>
              <c:separator> </c:separator>
            </c:dLbl>
            <c:dLbl>
              <c:idx val="8"/>
              <c:txPr>
                <a:bodyPr/>
                <a:lstStyle/>
                <a:p>
                  <a:pPr>
                    <a:defRPr b="0" sz="1000" spc="-1" strike="noStrike">
                      <a:latin typeface="Arial"/>
                    </a:defRPr>
                  </a:pPr>
                </a:p>
              </c:txPr>
              <c:dLblPos val="ctr"/>
              <c:showLegendKey val="0"/>
              <c:showVal val="0"/>
              <c:showCatName val="0"/>
              <c:showSerName val="0"/>
              <c:showPercent val="0"/>
              <c:separator> </c:separator>
            </c:dLbl>
            <c:dLbl>
              <c:idx val="9"/>
              <c:txPr>
                <a:bodyPr/>
                <a:lstStyle/>
                <a:p>
                  <a:pPr>
                    <a:defRPr b="0" sz="1000" spc="-1" strike="noStrike">
                      <a:latin typeface="Arial"/>
                    </a:defRPr>
                  </a:pPr>
                </a:p>
              </c:txPr>
              <c:dLblPos val="ctr"/>
              <c:showLegendKey val="0"/>
              <c:showVal val="0"/>
              <c:showCatName val="0"/>
              <c:showSerName val="0"/>
              <c:showPercent val="0"/>
              <c:separator> </c:separator>
            </c:dLbl>
            <c:dLbl>
              <c:idx val="10"/>
              <c:txPr>
                <a:bodyPr/>
                <a:lstStyle/>
                <a:p>
                  <a:pPr>
                    <a:defRPr b="0" sz="1000" spc="-1" strike="noStrike">
                      <a:latin typeface="Arial"/>
                    </a:defRPr>
                  </a:pPr>
                </a:p>
              </c:txPr>
              <c:dLblPos val="ctr"/>
              <c:showLegendKey val="0"/>
              <c:showVal val="0"/>
              <c:showCatName val="0"/>
              <c:showSerName val="0"/>
              <c:showPercent val="0"/>
              <c:separator> </c:separator>
            </c:dLbl>
            <c:dLbl>
              <c:idx val="11"/>
              <c:txPr>
                <a:bodyPr/>
                <a:lstStyle/>
                <a:p>
                  <a:pPr>
                    <a:defRPr b="0" sz="1000" spc="-1" strike="noStrike">
                      <a:latin typeface="Arial"/>
                    </a:defRPr>
                  </a:pPr>
                </a:p>
              </c:txPr>
              <c:dLblPos val="ctr"/>
              <c:showLegendKey val="0"/>
              <c:showVal val="0"/>
              <c:showCatName val="0"/>
              <c:showSerName val="0"/>
              <c:showPercent val="0"/>
              <c:separator> </c:separator>
            </c:dLbl>
            <c:dLbl>
              <c:idx val="12"/>
              <c:txPr>
                <a:bodyPr/>
                <a:lstStyle/>
                <a:p>
                  <a:pPr>
                    <a:defRPr b="0" sz="1000" spc="-1" strike="noStrike">
                      <a:latin typeface="Arial"/>
                    </a:defRPr>
                  </a:pPr>
                </a:p>
              </c:txPr>
              <c:dLblPos val="ctr"/>
              <c:showLegendKey val="0"/>
              <c:showVal val="0"/>
              <c:showCatName val="0"/>
              <c:showSerName val="0"/>
              <c:showPercent val="0"/>
              <c:separator> </c:separator>
            </c:dLbl>
            <c:txPr>
              <a:bodyPr/>
              <a:lstStyle/>
              <a:p>
                <a:pPr>
                  <a:defRPr b="0" sz="1000" spc="-1" strike="noStrike">
                    <a:latin typeface="Arial"/>
                  </a:defRPr>
                </a:pPr>
              </a:p>
            </c:txPr>
            <c:dLblPos val="ctr"/>
            <c:showLegendKey val="0"/>
            <c:showVal val="0"/>
            <c:showCatName val="0"/>
            <c:showSerName val="0"/>
            <c:showPercent val="0"/>
            <c:separator> </c:separator>
            <c:showLeaderLines val="0"/>
          </c:dLbls>
          <c:cat>
            <c:strRef>
              <c:f>'Bilan durabilité'!$D$115:$D$127</c:f>
              <c:strCache>
                <c:ptCount val="13"/>
                <c:pt idx="0">
                  <c:v>Diversité fonctionnelle</c:v>
                </c:pt>
                <c:pt idx="1">
                  <c:v>Bouclage de flux de matières et d'énergie par une recherche d'autonomie</c:v>
                </c:pt>
                <c:pt idx="2">
                  <c:v>Sobriété dans l'utilisation des ressources</c:v>
                </c:pt>
                <c:pt idx="3">
                  <c:v>Assurer des conditions favorables à la production à moyen et long terme</c:v>
                </c:pt>
                <c:pt idx="4">
                  <c:v>Réduire les impacts sur la santé et les écosytèmes</c:v>
                </c:pt>
                <c:pt idx="5">
                  <c:v>Alimentation</c:v>
                </c:pt>
                <c:pt idx="6">
                  <c:v>Développement local et économie circulaire</c:v>
                </c:pt>
                <c:pt idx="7">
                  <c:v>Emploi et qualité au travail</c:v>
                </c:pt>
                <c:pt idx="8">
                  <c:v>Ethique et développement humain</c:v>
                </c:pt>
                <c:pt idx="9">
                  <c:v>Viabilité économique et financière</c:v>
                </c:pt>
                <c:pt idx="10">
                  <c:v>Indépendance</c:v>
                </c:pt>
                <c:pt idx="11">
                  <c:v>Transmissibilité</c:v>
                </c:pt>
                <c:pt idx="12">
                  <c:v>Efficience globale</c:v>
                </c:pt>
              </c:strCache>
            </c:strRef>
          </c:cat>
          <c:val>
            <c:numRef>
              <c:f>'Bilan durabilité'!$F$115:$F$127</c:f>
              <c:numCache>
                <c:formatCode>General</c:formatCode>
                <c:ptCount val="13"/>
                <c:pt idx="0">
                  <c:v>8</c:v>
                </c:pt>
                <c:pt idx="1">
                  <c:v>5</c:v>
                </c:pt>
                <c:pt idx="2">
                  <c:v>11</c:v>
                </c:pt>
                <c:pt idx="3">
                  <c:v>16</c:v>
                </c:pt>
                <c:pt idx="4">
                  <c:v>12</c:v>
                </c:pt>
                <c:pt idx="5">
                  <c:v>17</c:v>
                </c:pt>
                <c:pt idx="6">
                  <c:v>16</c:v>
                </c:pt>
                <c:pt idx="7">
                  <c:v>20</c:v>
                </c:pt>
                <c:pt idx="8">
                  <c:v>19</c:v>
                </c:pt>
                <c:pt idx="9">
                  <c:v>22</c:v>
                </c:pt>
                <c:pt idx="10">
                  <c:v>20</c:v>
                </c:pt>
                <c:pt idx="11">
                  <c:v>14</c:v>
                </c:pt>
                <c:pt idx="12">
                  <c:v>12</c:v>
                </c:pt>
              </c:numCache>
            </c:numRef>
          </c:val>
        </c:ser>
        <c:ser>
          <c:idx val="1"/>
          <c:order val="1"/>
          <c:tx>
            <c:strRef>
              <c:f>"Note max"</c:f>
              <c:strCache>
                <c:ptCount val="1"/>
                <c:pt idx="0">
                  <c:v>Note max</c:v>
                </c:pt>
              </c:strCache>
            </c:strRef>
          </c:tx>
          <c:spPr>
            <a:solidFill>
              <a:srgbClr val="4f81bd"/>
            </a:solidFill>
            <a:ln>
              <a:noFill/>
            </a:ln>
          </c:spPr>
          <c:invertIfNegative val="0"/>
          <c:dPt>
            <c:idx val="0"/>
            <c:invertIfNegative val="0"/>
            <c:spPr>
              <a:solidFill>
                <a:srgbClr val="d7e4bd"/>
              </a:solidFill>
              <a:ln>
                <a:noFill/>
              </a:ln>
            </c:spPr>
          </c:dPt>
          <c:dPt>
            <c:idx val="1"/>
            <c:invertIfNegative val="0"/>
            <c:spPr>
              <a:solidFill>
                <a:srgbClr val="d7e4bd"/>
              </a:solidFill>
              <a:ln>
                <a:noFill/>
              </a:ln>
            </c:spPr>
          </c:dPt>
          <c:dPt>
            <c:idx val="2"/>
            <c:invertIfNegative val="0"/>
            <c:spPr>
              <a:solidFill>
                <a:srgbClr val="d7e4bd"/>
              </a:solidFill>
              <a:ln>
                <a:noFill/>
              </a:ln>
            </c:spPr>
          </c:dPt>
          <c:dPt>
            <c:idx val="3"/>
            <c:invertIfNegative val="0"/>
            <c:spPr>
              <a:solidFill>
                <a:srgbClr val="d7e4bd"/>
              </a:solidFill>
              <a:ln>
                <a:noFill/>
              </a:ln>
            </c:spPr>
          </c:dPt>
          <c:dPt>
            <c:idx val="4"/>
            <c:invertIfNegative val="0"/>
            <c:spPr>
              <a:solidFill>
                <a:srgbClr val="d7e4bd"/>
              </a:solidFill>
              <a:ln>
                <a:noFill/>
              </a:ln>
            </c:spPr>
          </c:dPt>
          <c:dPt>
            <c:idx val="5"/>
            <c:invertIfNegative val="0"/>
            <c:spPr>
              <a:solidFill>
                <a:srgbClr val="b9cde5"/>
              </a:solidFill>
              <a:ln>
                <a:noFill/>
              </a:ln>
            </c:spPr>
          </c:dPt>
          <c:dPt>
            <c:idx val="6"/>
            <c:invertIfNegative val="0"/>
            <c:spPr>
              <a:solidFill>
                <a:srgbClr val="b9cde5"/>
              </a:solidFill>
              <a:ln>
                <a:noFill/>
              </a:ln>
            </c:spPr>
          </c:dPt>
          <c:dPt>
            <c:idx val="7"/>
            <c:invertIfNegative val="0"/>
            <c:spPr>
              <a:solidFill>
                <a:srgbClr val="b9cde5"/>
              </a:solidFill>
              <a:ln>
                <a:noFill/>
              </a:ln>
            </c:spPr>
          </c:dPt>
          <c:dPt>
            <c:idx val="8"/>
            <c:invertIfNegative val="0"/>
            <c:spPr>
              <a:solidFill>
                <a:srgbClr val="b9cde5"/>
              </a:solidFill>
              <a:ln>
                <a:noFill/>
              </a:ln>
            </c:spPr>
          </c:dPt>
          <c:dPt>
            <c:idx val="9"/>
            <c:invertIfNegative val="0"/>
            <c:spPr>
              <a:solidFill>
                <a:srgbClr val="fcd5b5"/>
              </a:solidFill>
              <a:ln>
                <a:noFill/>
              </a:ln>
            </c:spPr>
          </c:dPt>
          <c:dPt>
            <c:idx val="10"/>
            <c:invertIfNegative val="0"/>
            <c:spPr>
              <a:solidFill>
                <a:srgbClr val="fcd5b5"/>
              </a:solidFill>
              <a:ln>
                <a:noFill/>
              </a:ln>
            </c:spPr>
          </c:dPt>
          <c:dPt>
            <c:idx val="11"/>
            <c:invertIfNegative val="0"/>
            <c:spPr>
              <a:solidFill>
                <a:srgbClr val="fcd5b5"/>
              </a:solidFill>
              <a:ln>
                <a:noFill/>
              </a:ln>
            </c:spPr>
          </c:dPt>
          <c:dPt>
            <c:idx val="12"/>
            <c:invertIfNegative val="0"/>
            <c:spPr>
              <a:solidFill>
                <a:srgbClr val="fcd5b5"/>
              </a:solidFill>
              <a:ln>
                <a:noFill/>
              </a:ln>
            </c:spPr>
          </c:dPt>
          <c:dLbls>
            <c:numFmt formatCode="General" sourceLinked="1"/>
            <c:dLbl>
              <c:idx val="0"/>
              <c:txPr>
                <a:bodyPr/>
                <a:lstStyle/>
                <a:p>
                  <a:pPr>
                    <a:defRPr b="0" sz="1000" spc="-1" strike="noStrike">
                      <a:latin typeface="Arial"/>
                    </a:defRPr>
                  </a:pPr>
                </a:p>
              </c:txPr>
              <c:dLblPos val="ctr"/>
              <c:showLegendKey val="0"/>
              <c:showVal val="0"/>
              <c:showCatName val="0"/>
              <c:showSerName val="0"/>
              <c:showPercent val="0"/>
              <c:separator> </c:separator>
            </c:dLbl>
            <c:dLbl>
              <c:idx val="1"/>
              <c:txPr>
                <a:bodyPr/>
                <a:lstStyle/>
                <a:p>
                  <a:pPr>
                    <a:defRPr b="0" sz="1000" spc="-1" strike="noStrike">
                      <a:latin typeface="Arial"/>
                    </a:defRPr>
                  </a:pPr>
                </a:p>
              </c:txPr>
              <c:dLblPos val="ctr"/>
              <c:showLegendKey val="0"/>
              <c:showVal val="0"/>
              <c:showCatName val="0"/>
              <c:showSerName val="0"/>
              <c:showPercent val="0"/>
              <c:separator> </c:separator>
            </c:dLbl>
            <c:dLbl>
              <c:idx val="2"/>
              <c:txPr>
                <a:bodyPr/>
                <a:lstStyle/>
                <a:p>
                  <a:pPr>
                    <a:defRPr b="0" sz="1000" spc="-1" strike="noStrike">
                      <a:latin typeface="Arial"/>
                    </a:defRPr>
                  </a:pPr>
                </a:p>
              </c:txPr>
              <c:dLblPos val="ctr"/>
              <c:showLegendKey val="0"/>
              <c:showVal val="0"/>
              <c:showCatName val="0"/>
              <c:showSerName val="0"/>
              <c:showPercent val="0"/>
              <c:separator> </c:separator>
            </c:dLbl>
            <c:dLbl>
              <c:idx val="3"/>
              <c:txPr>
                <a:bodyPr/>
                <a:lstStyle/>
                <a:p>
                  <a:pPr>
                    <a:defRPr b="0" sz="1000" spc="-1" strike="noStrike">
                      <a:latin typeface="Arial"/>
                    </a:defRPr>
                  </a:pPr>
                </a:p>
              </c:txPr>
              <c:dLblPos val="ctr"/>
              <c:showLegendKey val="0"/>
              <c:showVal val="0"/>
              <c:showCatName val="0"/>
              <c:showSerName val="0"/>
              <c:showPercent val="0"/>
              <c:separator> </c:separator>
            </c:dLbl>
            <c:dLbl>
              <c:idx val="4"/>
              <c:txPr>
                <a:bodyPr/>
                <a:lstStyle/>
                <a:p>
                  <a:pPr>
                    <a:defRPr b="0" sz="1000" spc="-1" strike="noStrike">
                      <a:latin typeface="Arial"/>
                    </a:defRPr>
                  </a:pPr>
                </a:p>
              </c:txPr>
              <c:dLblPos val="ctr"/>
              <c:showLegendKey val="0"/>
              <c:showVal val="0"/>
              <c:showCatName val="0"/>
              <c:showSerName val="0"/>
              <c:showPercent val="0"/>
              <c:separator> </c:separator>
            </c:dLbl>
            <c:dLbl>
              <c:idx val="5"/>
              <c:txPr>
                <a:bodyPr/>
                <a:lstStyle/>
                <a:p>
                  <a:pPr>
                    <a:defRPr b="0" sz="1000" spc="-1" strike="noStrike">
                      <a:latin typeface="Arial"/>
                    </a:defRPr>
                  </a:pPr>
                </a:p>
              </c:txPr>
              <c:dLblPos val="ctr"/>
              <c:showLegendKey val="0"/>
              <c:showVal val="0"/>
              <c:showCatName val="0"/>
              <c:showSerName val="0"/>
              <c:showPercent val="0"/>
              <c:separator> </c:separator>
            </c:dLbl>
            <c:dLbl>
              <c:idx val="6"/>
              <c:txPr>
                <a:bodyPr/>
                <a:lstStyle/>
                <a:p>
                  <a:pPr>
                    <a:defRPr b="0" sz="1000" spc="-1" strike="noStrike">
                      <a:latin typeface="Arial"/>
                    </a:defRPr>
                  </a:pPr>
                </a:p>
              </c:txPr>
              <c:dLblPos val="ctr"/>
              <c:showLegendKey val="0"/>
              <c:showVal val="0"/>
              <c:showCatName val="0"/>
              <c:showSerName val="0"/>
              <c:showPercent val="0"/>
              <c:separator> </c:separator>
            </c:dLbl>
            <c:dLbl>
              <c:idx val="7"/>
              <c:txPr>
                <a:bodyPr/>
                <a:lstStyle/>
                <a:p>
                  <a:pPr>
                    <a:defRPr b="0" sz="1000" spc="-1" strike="noStrike">
                      <a:latin typeface="Arial"/>
                    </a:defRPr>
                  </a:pPr>
                </a:p>
              </c:txPr>
              <c:dLblPos val="ctr"/>
              <c:showLegendKey val="0"/>
              <c:showVal val="0"/>
              <c:showCatName val="0"/>
              <c:showSerName val="0"/>
              <c:showPercent val="0"/>
              <c:separator> </c:separator>
            </c:dLbl>
            <c:dLbl>
              <c:idx val="8"/>
              <c:txPr>
                <a:bodyPr/>
                <a:lstStyle/>
                <a:p>
                  <a:pPr>
                    <a:defRPr b="0" sz="1000" spc="-1" strike="noStrike">
                      <a:latin typeface="Arial"/>
                    </a:defRPr>
                  </a:pPr>
                </a:p>
              </c:txPr>
              <c:dLblPos val="ctr"/>
              <c:showLegendKey val="0"/>
              <c:showVal val="0"/>
              <c:showCatName val="0"/>
              <c:showSerName val="0"/>
              <c:showPercent val="0"/>
              <c:separator> </c:separator>
            </c:dLbl>
            <c:dLbl>
              <c:idx val="9"/>
              <c:txPr>
                <a:bodyPr/>
                <a:lstStyle/>
                <a:p>
                  <a:pPr>
                    <a:defRPr b="0" sz="1000" spc="-1" strike="noStrike">
                      <a:latin typeface="Arial"/>
                    </a:defRPr>
                  </a:pPr>
                </a:p>
              </c:txPr>
              <c:dLblPos val="ctr"/>
              <c:showLegendKey val="0"/>
              <c:showVal val="0"/>
              <c:showCatName val="0"/>
              <c:showSerName val="0"/>
              <c:showPercent val="0"/>
              <c:separator> </c:separator>
            </c:dLbl>
            <c:dLbl>
              <c:idx val="10"/>
              <c:txPr>
                <a:bodyPr/>
                <a:lstStyle/>
                <a:p>
                  <a:pPr>
                    <a:defRPr b="0" sz="1000" spc="-1" strike="noStrike">
                      <a:latin typeface="Arial"/>
                    </a:defRPr>
                  </a:pPr>
                </a:p>
              </c:txPr>
              <c:dLblPos val="ctr"/>
              <c:showLegendKey val="0"/>
              <c:showVal val="0"/>
              <c:showCatName val="0"/>
              <c:showSerName val="0"/>
              <c:showPercent val="0"/>
              <c:separator> </c:separator>
            </c:dLbl>
            <c:dLbl>
              <c:idx val="11"/>
              <c:txPr>
                <a:bodyPr/>
                <a:lstStyle/>
                <a:p>
                  <a:pPr>
                    <a:defRPr b="0" sz="1000" spc="-1" strike="noStrike">
                      <a:latin typeface="Arial"/>
                    </a:defRPr>
                  </a:pPr>
                </a:p>
              </c:txPr>
              <c:dLblPos val="ctr"/>
              <c:showLegendKey val="0"/>
              <c:showVal val="0"/>
              <c:showCatName val="0"/>
              <c:showSerName val="0"/>
              <c:showPercent val="0"/>
              <c:separator> </c:separator>
            </c:dLbl>
            <c:dLbl>
              <c:idx val="12"/>
              <c:txPr>
                <a:bodyPr/>
                <a:lstStyle/>
                <a:p>
                  <a:pPr>
                    <a:defRPr b="0" sz="1000" spc="-1" strike="noStrike">
                      <a:latin typeface="Arial"/>
                    </a:defRPr>
                  </a:pPr>
                </a:p>
              </c:txPr>
              <c:dLblPos val="ctr"/>
              <c:showLegendKey val="0"/>
              <c:showVal val="0"/>
              <c:showCatName val="0"/>
              <c:showSerName val="0"/>
              <c:showPercent val="0"/>
              <c:separator> </c:separator>
            </c:dLbl>
            <c:txPr>
              <a:bodyPr/>
              <a:lstStyle/>
              <a:p>
                <a:pPr>
                  <a:defRPr b="0" sz="1000" spc="-1" strike="noStrike">
                    <a:latin typeface="Arial"/>
                  </a:defRPr>
                </a:pPr>
              </a:p>
            </c:txPr>
            <c:dLblPos val="ctr"/>
            <c:showLegendKey val="0"/>
            <c:showVal val="0"/>
            <c:showCatName val="0"/>
            <c:showSerName val="0"/>
            <c:showPercent val="0"/>
            <c:separator> </c:separator>
            <c:showLeaderLines val="0"/>
          </c:dLbls>
          <c:cat>
            <c:strRef>
              <c:f>'Bilan durabilité'!$D$115:$D$127</c:f>
              <c:strCache>
                <c:ptCount val="13"/>
                <c:pt idx="0">
                  <c:v>Diversité fonctionnelle</c:v>
                </c:pt>
                <c:pt idx="1">
                  <c:v>Bouclage de flux de matières et d'énergie par une recherche d'autonomie</c:v>
                </c:pt>
                <c:pt idx="2">
                  <c:v>Sobriété dans l'utilisation des ressources</c:v>
                </c:pt>
                <c:pt idx="3">
                  <c:v>Assurer des conditions favorables à la production à moyen et long terme</c:v>
                </c:pt>
                <c:pt idx="4">
                  <c:v>Réduire les impacts sur la santé et les écosytèmes</c:v>
                </c:pt>
                <c:pt idx="5">
                  <c:v>Alimentation</c:v>
                </c:pt>
                <c:pt idx="6">
                  <c:v>Développement local et économie circulaire</c:v>
                </c:pt>
                <c:pt idx="7">
                  <c:v>Emploi et qualité au travail</c:v>
                </c:pt>
                <c:pt idx="8">
                  <c:v>Ethique et développement humain</c:v>
                </c:pt>
                <c:pt idx="9">
                  <c:v>Viabilité économique et financière</c:v>
                </c:pt>
                <c:pt idx="10">
                  <c:v>Indépendance</c:v>
                </c:pt>
                <c:pt idx="11">
                  <c:v>Transmissibilité</c:v>
                </c:pt>
                <c:pt idx="12">
                  <c:v>Efficience globale</c:v>
                </c:pt>
              </c:strCache>
            </c:strRef>
          </c:cat>
          <c:val>
            <c:numRef>
              <c:f>'Bilan durabilité'!$K$115:$K$127</c:f>
              <c:numCache>
                <c:formatCode>General</c:formatCode>
                <c:ptCount val="13"/>
                <c:pt idx="0">
                  <c:v>12</c:v>
                </c:pt>
                <c:pt idx="1">
                  <c:v>15</c:v>
                </c:pt>
                <c:pt idx="2">
                  <c:v>9</c:v>
                </c:pt>
                <c:pt idx="3">
                  <c:v>4</c:v>
                </c:pt>
                <c:pt idx="4">
                  <c:v>8</c:v>
                </c:pt>
                <c:pt idx="5">
                  <c:v>8</c:v>
                </c:pt>
                <c:pt idx="6">
                  <c:v>9</c:v>
                </c:pt>
                <c:pt idx="7">
                  <c:v>5</c:v>
                </c:pt>
                <c:pt idx="8">
                  <c:v>6</c:v>
                </c:pt>
                <c:pt idx="9">
                  <c:v>13</c:v>
                </c:pt>
                <c:pt idx="10">
                  <c:v>5</c:v>
                </c:pt>
                <c:pt idx="11">
                  <c:v>6</c:v>
                </c:pt>
                <c:pt idx="12">
                  <c:v>8</c:v>
                </c:pt>
              </c:numCache>
            </c:numRef>
          </c:val>
        </c:ser>
        <c:gapWidth val="150"/>
        <c:overlap val="100"/>
        <c:axId val="36500681"/>
        <c:axId val="12372371"/>
      </c:barChart>
      <c:catAx>
        <c:axId val="36500681"/>
        <c:scaling>
          <c:orientation val="minMax"/>
        </c:scaling>
        <c:delete val="0"/>
        <c:axPos val="b"/>
        <c:numFmt formatCode="General" sourceLinked="1"/>
        <c:majorTickMark val="out"/>
        <c:minorTickMark val="none"/>
        <c:tickLblPos val="nextTo"/>
        <c:spPr>
          <a:ln>
            <a:solidFill>
              <a:srgbClr val="808080"/>
            </a:solidFill>
          </a:ln>
        </c:spPr>
        <c:txPr>
          <a:bodyPr rot="-5400000"/>
          <a:lstStyle/>
          <a:p>
            <a:pPr>
              <a:defRPr b="0" sz="1100" spc="-1" strike="noStrike">
                <a:solidFill>
                  <a:srgbClr val="000000"/>
                </a:solidFill>
                <a:latin typeface="Calibri"/>
              </a:defRPr>
            </a:pPr>
          </a:p>
        </c:txPr>
        <c:crossAx val="12372371"/>
        <c:crosses val="autoZero"/>
        <c:auto val="1"/>
        <c:lblAlgn val="ctr"/>
        <c:lblOffset val="100"/>
      </c:catAx>
      <c:valAx>
        <c:axId val="12372371"/>
        <c:scaling>
          <c:orientation val="minMax"/>
          <c:max val="35"/>
        </c:scaling>
        <c:delete val="0"/>
        <c:axPos val="l"/>
        <c:majorGridlines>
          <c:spPr>
            <a:ln>
              <a:solidFill>
                <a:srgbClr val="808080"/>
              </a:solidFill>
            </a:ln>
          </c:spPr>
        </c:majorGridlines>
        <c:numFmt formatCode="General" sourceLinked="0"/>
        <c:majorTickMark val="out"/>
        <c:minorTickMark val="none"/>
        <c:tickLblPos val="nextTo"/>
        <c:spPr>
          <a:ln>
            <a:solidFill>
              <a:srgbClr val="808080"/>
            </a:solidFill>
          </a:ln>
        </c:spPr>
        <c:txPr>
          <a:bodyPr/>
          <a:lstStyle/>
          <a:p>
            <a:pPr>
              <a:defRPr b="0" sz="1000" spc="-1" strike="noStrike">
                <a:solidFill>
                  <a:srgbClr val="000000"/>
                </a:solidFill>
                <a:latin typeface="Calibri"/>
              </a:defRPr>
            </a:pPr>
          </a:p>
        </c:txPr>
        <c:crossAx val="36500681"/>
        <c:crossesAt val="1"/>
      </c:valAx>
      <c:spPr>
        <a:solidFill>
          <a:srgbClr val="ffffff"/>
        </a:solidFill>
        <a:ln>
          <a:noFill/>
        </a:ln>
      </c:spPr>
    </c:plotArea>
    <c:plotVisOnly val="1"/>
    <c:dispBlanksAs val="gap"/>
  </c:chart>
  <c:spPr>
    <a:solidFill>
      <a:srgbClr val="ffffff"/>
    </a:solidFill>
    <a:ln>
      <a:noFill/>
    </a:ln>
  </c:spPr>
</c:chartSpace>
</file>

<file path=xl/drawings/_rels/drawing2.xml.rels><?xml version="1.0" encoding="UTF-8" standalone="yes"?><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s>
</file>

<file path=xl/drawings/_rels/drawing3.xml.rels><?xml version="1.0" encoding="UTF-8" standalone="yes"?><Relationships xmlns="http://schemas.openxmlformats.org/package/2006/relationships"></Relationships>
</file>

<file path=xl/drawings/_rels/drawing6.xml.rels><?xml version="1.0" encoding="UTF-8" standalone="yes"?><Relationships xmlns="http://schemas.openxmlformats.org/package/2006/relationships"></Relationships>
</file>

<file path=xl/drawings/_rels/drawing7.xml.rels><?xml version="1.0" encoding="UTF-8" standalone="yes"?><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6.png"/><Relationship Id="rId3" Type="http://schemas.openxmlformats.org/officeDocument/2006/relationships/image" Target="../media/image7.png"/><Relationship Id="rId4" Type="http://schemas.openxmlformats.org/officeDocument/2006/relationships/image" Target="../media/image8.png"/><Relationship Id="rId5" Type="http://schemas.openxmlformats.org/officeDocument/2006/relationships/image" Target="../media/image9.png"/><Relationship Id="rId6" Type="http://schemas.openxmlformats.org/officeDocument/2006/relationships/image" Target="../media/image10.png"/><Relationship Id="rId7" Type="http://schemas.openxmlformats.org/officeDocument/2006/relationships/image" Target="../media/image11.png"/><Relationship Id="rId8" Type="http://schemas.openxmlformats.org/officeDocument/2006/relationships/image" Target="../media/image12.wmf"/><Relationship Id="rId9" Type="http://schemas.openxmlformats.org/officeDocument/2006/relationships/image" Target="../media/image13.wmf"/></Relationships>
</file>

<file path=xl/drawings/_rels/drawing11.xml.rels><?xml version="1.0" encoding="UTF-8" standalone="yes"?><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s>
</file>

<file path=xl/drawings/_rels/drawing13.xml.rels><?xml version="1.0" encoding="UTF-8" standalone="yes"?><Relationships xmlns="http://schemas.openxmlformats.org/package/2006/relationships"><Relationship Id="rId1" Type="http://schemas.openxmlformats.org/officeDocument/2006/relationships/image" Target="../media/image14.png"/></Relationships>
</file>

<file path=xl/drawings/_rels/drawing14.xml.rels><?xml version="1.0" encoding="UTF-8" standalone="yes"?><Relationships xmlns="http://schemas.openxmlformats.org/package/2006/relationships"><Relationship Id="rId1" Type="http://schemas.openxmlformats.org/officeDocument/2006/relationships/image" Target="../media/image15.png"/></Relationships>
</file>

<file path=xl/drawings/_rels/drawing15.xml.rels><?xml version="1.0" encoding="UTF-8" standalone="yes"?><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17.png"/><Relationship Id="rId3" Type="http://schemas.openxmlformats.org/officeDocument/2006/relationships/image" Target="../media/image18.png"/></Relationships>
</file>

<file path=xl/drawings/_rels/drawing16.xml.rels><?xml version="1.0" encoding="UTF-8" standalone="yes"?><Relationships xmlns="http://schemas.openxmlformats.org/package/2006/relationships"><Relationship Id="rId1" Type="http://schemas.openxmlformats.org/officeDocument/2006/relationships/image" Target="../media/image19.png"/></Relationships>
</file>

<file path=xl/drawings/_rels/drawing17.xml.rels><?xml version="1.0" encoding="UTF-8" standalone="yes"?><Relationships xmlns="http://schemas.openxmlformats.org/package/2006/relationships"><Relationship Id="rId1" Type="http://schemas.openxmlformats.org/officeDocument/2006/relationships/image" Target="../media/image20.png"/><Relationship Id="rId2" Type="http://schemas.openxmlformats.org/officeDocument/2006/relationships/image" Target="../media/image21.png"/></Relationships>
</file>

<file path=xl/drawings/_rels/drawing18.xml.rels><?xml version="1.0" encoding="UTF-8" standalone="yes"?><Relationships xmlns="http://schemas.openxmlformats.org/package/2006/relationships"><Relationship Id="rId1" Type="http://schemas.openxmlformats.org/officeDocument/2006/relationships/image" Target="../media/image22.png"/><Relationship Id="rId2" Type="http://schemas.openxmlformats.org/officeDocument/2006/relationships/image" Target="../media/image23.png"/></Relationships>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0</xdr:colOff>
      <xdr:row>22</xdr:row>
      <xdr:rowOff>114480</xdr:rowOff>
    </xdr:from>
    <xdr:to>
      <xdr:col>15</xdr:col>
      <xdr:colOff>779760</xdr:colOff>
      <xdr:row>34</xdr:row>
      <xdr:rowOff>86040</xdr:rowOff>
    </xdr:to>
    <xdr:sp>
      <xdr:nvSpPr>
        <xdr:cNvPr id="0" name="CustomShape 1"/>
        <xdr:cNvSpPr/>
      </xdr:nvSpPr>
      <xdr:spPr>
        <a:xfrm>
          <a:off x="779040" y="3676680"/>
          <a:ext cx="11687760" cy="1914480"/>
        </a:xfrm>
        <a:custGeom>
          <a:avLst/>
          <a:gdLst/>
          <a:ahLst/>
          <a:rect l="l" t="t" r="r" b="b"/>
          <a:pathLst>
            <a:path w="21600" h="21600">
              <a:moveTo>
                <a:pt x="0" y="0"/>
              </a:moveTo>
              <a:lnTo>
                <a:pt x="21600" y="0"/>
              </a:lnTo>
              <a:lnTo>
                <a:pt x="21600" y="21600"/>
              </a:lnTo>
              <a:lnTo>
                <a:pt x="0" y="21600"/>
              </a:lnTo>
              <a:lnTo>
                <a:pt x="0" y="0"/>
              </a:lnTo>
              <a:close/>
            </a:path>
          </a:pathLst>
        </a:custGeom>
        <a:solidFill>
          <a:srgbClr val="f2f2f2"/>
        </a:solidFill>
        <a:ln w="9360">
          <a:solidFill>
            <a:srgbClr val="bcbcbc"/>
          </a:solidFill>
          <a:miter/>
        </a:ln>
      </xdr:spPr>
      <xdr:style>
        <a:lnRef idx="0"/>
        <a:fillRef idx="0"/>
        <a:effectRef idx="0"/>
        <a:fontRef idx="minor"/>
      </xdr:style>
      <xdr:txBody>
        <a:bodyPr lIns="20160" rIns="20160" tIns="20160" bIns="20160">
          <a:noAutofit/>
        </a:bodyPr>
        <a:p>
          <a:pPr>
            <a:lnSpc>
              <a:spcPct val="100000"/>
            </a:lnSpc>
          </a:pPr>
          <a:r>
            <a:rPr b="1" lang="fr-FR" sz="1100" spc="-1" strike="noStrike">
              <a:solidFill>
                <a:srgbClr val="000000"/>
              </a:solidFill>
              <a:latin typeface="Calibri"/>
            </a:rPr>
            <a:t>Ce calculateur IDEA version 4  a bénéficié des soutiens financiers des différents partenaires suivants .</a:t>
          </a:r>
          <a:endParaRPr b="0" lang="fr-FR" sz="1100" spc="-1" strike="noStrike">
            <a:latin typeface="Times New Roman"/>
          </a:endParaRPr>
        </a:p>
      </xdr:txBody>
    </xdr:sp>
    <xdr:clientData/>
  </xdr:twoCellAnchor>
  <xdr:twoCellAnchor editAs="oneCell">
    <xdr:from>
      <xdr:col>0</xdr:col>
      <xdr:colOff>740160</xdr:colOff>
      <xdr:row>0</xdr:row>
      <xdr:rowOff>75960</xdr:rowOff>
    </xdr:from>
    <xdr:to>
      <xdr:col>15</xdr:col>
      <xdr:colOff>750600</xdr:colOff>
      <xdr:row>20</xdr:row>
      <xdr:rowOff>28440</xdr:rowOff>
    </xdr:to>
    <xdr:sp>
      <xdr:nvSpPr>
        <xdr:cNvPr id="1" name="CustomShape 1"/>
        <xdr:cNvSpPr/>
      </xdr:nvSpPr>
      <xdr:spPr>
        <a:xfrm>
          <a:off x="740160" y="75960"/>
          <a:ext cx="11697480" cy="3190680"/>
        </a:xfrm>
        <a:prstGeom prst="rect">
          <a:avLst/>
        </a:prstGeom>
        <a:solidFill>
          <a:srgbClr val="d9d9d9"/>
        </a:solidFill>
        <a:ln w="9360">
          <a:solidFill>
            <a:srgbClr val="bcbcbc"/>
          </a:solidFill>
          <a:round/>
        </a:ln>
      </xdr:spPr>
      <xdr:style>
        <a:lnRef idx="0"/>
        <a:fillRef idx="0"/>
        <a:effectRef idx="0"/>
        <a:fontRef idx="minor"/>
      </xdr:style>
      <xdr:txBody>
        <a:bodyPr lIns="90000" rIns="90000" tIns="45000" bIns="45000" anchor="ctr">
          <a:noAutofit/>
        </a:bodyPr>
        <a:p>
          <a:pPr>
            <a:lnSpc>
              <a:spcPct val="100000"/>
            </a:lnSpc>
          </a:pPr>
          <a:r>
            <a:rPr b="1" lang="fr-FR" sz="1400" spc="-1" strike="noStrike">
              <a:solidFill>
                <a:srgbClr val="000000"/>
              </a:solidFill>
              <a:latin typeface="Times New Roman"/>
            </a:rPr>
            <a:t>Conditions d'usage.</a:t>
          </a:r>
          <a:endParaRPr b="0" lang="fr-FR" sz="1400" spc="-1" strike="noStrike">
            <a:latin typeface="Times New Roman"/>
          </a:endParaRPr>
        </a:p>
        <a:p>
          <a:pPr>
            <a:lnSpc>
              <a:spcPct val="100000"/>
            </a:lnSpc>
          </a:pPr>
          <a:endParaRPr b="0" lang="fr-FR" sz="1400" spc="-1" strike="noStrike">
            <a:latin typeface="Times New Roman"/>
          </a:endParaRPr>
        </a:p>
        <a:p>
          <a:pPr>
            <a:lnSpc>
              <a:spcPct val="100000"/>
            </a:lnSpc>
          </a:pPr>
          <a:r>
            <a:rPr b="0" lang="fr-FR" sz="1100" spc="-1" strike="noStrike">
              <a:solidFill>
                <a:srgbClr val="000000"/>
              </a:solidFill>
              <a:latin typeface="Times New Roman"/>
            </a:rPr>
            <a:t>Ce calculateur a été réalisé par le centre de recherche IRSTEA -  unité ETBX Bordeaux dans le cadre des activités conduites sur la méthode IDEA version 4 au sein du comité du comité scientifique.</a:t>
          </a:r>
          <a:endParaRPr b="0" lang="fr-FR" sz="1100" spc="-1" strike="noStrike">
            <a:latin typeface="Times New Roman"/>
          </a:endParaRPr>
        </a:p>
        <a:p>
          <a:pPr>
            <a:lnSpc>
              <a:spcPct val="100000"/>
            </a:lnSpc>
          </a:pPr>
          <a:endParaRPr b="0" lang="fr-FR" sz="1100" spc="-1" strike="noStrike">
            <a:latin typeface="Times New Roman"/>
          </a:endParaRPr>
        </a:p>
        <a:p>
          <a:pPr>
            <a:lnSpc>
              <a:spcPct val="100000"/>
            </a:lnSpc>
          </a:pPr>
          <a:r>
            <a:rPr b="0" lang="fr-FR" sz="1100" spc="-1" strike="noStrike">
              <a:solidFill>
                <a:srgbClr val="000000"/>
              </a:solidFill>
              <a:latin typeface="Times New Roman"/>
            </a:rPr>
            <a:t>Son développement est soutenu financièrement par Irstea, le LABEX COTE au titre des investissements d'avenir et par le Programme agir pour la ressource en eau de SUEZ France.</a:t>
          </a:r>
          <a:endParaRPr b="0" lang="fr-FR" sz="1100" spc="-1" strike="noStrike">
            <a:latin typeface="Times New Roman"/>
          </a:endParaRPr>
        </a:p>
        <a:p>
          <a:pPr>
            <a:lnSpc>
              <a:spcPct val="100000"/>
            </a:lnSpc>
          </a:pPr>
          <a:endParaRPr b="0" lang="fr-FR" sz="1100" spc="-1" strike="noStrike">
            <a:latin typeface="Times New Roman"/>
          </a:endParaRPr>
        </a:p>
        <a:p>
          <a:pPr>
            <a:lnSpc>
              <a:spcPct val="100000"/>
            </a:lnSpc>
          </a:pPr>
          <a:r>
            <a:rPr b="0" lang="fr-FR" sz="1100" spc="-1" strike="noStrike">
              <a:solidFill>
                <a:srgbClr val="000000"/>
              </a:solidFill>
              <a:latin typeface="Times New Roman"/>
            </a:rPr>
            <a:t>Il est mis à disposition des structures partenaires du Comité scientifique de la méthode IDEA et des structures partenaires du projet CASDAR ACTION dans les conditions décrites par les conditions générales d’utilisation (CGU).</a:t>
          </a:r>
          <a:endParaRPr b="0" lang="fr-FR" sz="1100" spc="-1" strike="noStrike">
            <a:latin typeface="Times New Roman"/>
          </a:endParaRPr>
        </a:p>
        <a:p>
          <a:pPr>
            <a:lnSpc>
              <a:spcPct val="100000"/>
            </a:lnSpc>
          </a:pPr>
          <a:endParaRPr b="0" lang="fr-FR" sz="1100" spc="-1" strike="noStrike">
            <a:latin typeface="Times New Roman"/>
          </a:endParaRPr>
        </a:p>
        <a:p>
          <a:pPr>
            <a:lnSpc>
              <a:spcPct val="100000"/>
            </a:lnSpc>
          </a:pPr>
          <a:r>
            <a:rPr b="0" lang="fr-FR" sz="1100" spc="-1" strike="noStrike">
              <a:solidFill>
                <a:srgbClr val="000000"/>
              </a:solidFill>
              <a:latin typeface="Times New Roman"/>
            </a:rPr>
            <a:t>Ce calculateur relève des droits d'auteurs et est en cours de dépôt à l’agence pour la Protection des Programmes. Il est confidentiel et ne doit pas être diffusé en dehors des membres du CS de la méthode IDEA et des partenaires du CASDAR ACTION sans la signature des CGU.</a:t>
          </a:r>
          <a:endParaRPr b="0" lang="fr-FR" sz="1100" spc="-1" strike="noStrike">
            <a:latin typeface="Times New Roman"/>
          </a:endParaRPr>
        </a:p>
        <a:p>
          <a:pPr>
            <a:lnSpc>
              <a:spcPct val="100000"/>
            </a:lnSpc>
          </a:pPr>
          <a:endParaRPr b="0" lang="fr-FR" sz="1100" spc="-1" strike="noStrike">
            <a:latin typeface="Times New Roman"/>
          </a:endParaRPr>
        </a:p>
        <a:p>
          <a:pPr>
            <a:lnSpc>
              <a:spcPct val="100000"/>
            </a:lnSpc>
          </a:pPr>
          <a:r>
            <a:rPr b="0" lang="fr-FR" sz="1100" spc="-1" strike="noStrike">
              <a:solidFill>
                <a:srgbClr val="000000"/>
              </a:solidFill>
              <a:latin typeface="Times New Roman"/>
            </a:rPr>
            <a:t>Pour toute question relative à ce calculateur ou à la méthode IDEA, vous pouvez contacter :</a:t>
          </a:r>
          <a:endParaRPr b="0" lang="fr-FR" sz="1100" spc="-1" strike="noStrike">
            <a:latin typeface="Times New Roman"/>
          </a:endParaRPr>
        </a:p>
        <a:p>
          <a:pPr>
            <a:lnSpc>
              <a:spcPct val="100000"/>
            </a:lnSpc>
          </a:pPr>
          <a:endParaRPr b="0" lang="fr-FR" sz="1100" spc="-1" strike="noStrike">
            <a:latin typeface="Times New Roman"/>
          </a:endParaRPr>
        </a:p>
        <a:p>
          <a:pPr>
            <a:lnSpc>
              <a:spcPct val="100000"/>
            </a:lnSpc>
          </a:pPr>
          <a:r>
            <a:rPr b="0" lang="fr-FR" sz="1100" spc="-1" strike="noStrike">
              <a:solidFill>
                <a:srgbClr val="000000"/>
              </a:solidFill>
              <a:latin typeface="Times New Roman"/>
            </a:rPr>
            <a:t>Frédéric Zahm,</a:t>
          </a:r>
          <a:r>
            <a:rPr b="0" lang="fr-FR" sz="1100" spc="-1" strike="noStrike">
              <a:solidFill>
                <a:srgbClr val="000000"/>
              </a:solidFill>
              <a:latin typeface="Times New Roman"/>
            </a:rPr>
            <a:t>	</a:t>
          </a:r>
          <a:r>
            <a:rPr b="0" lang="fr-FR" sz="1100" spc="-1" strike="noStrike">
              <a:solidFill>
                <a:srgbClr val="000000"/>
              </a:solidFill>
              <a:latin typeface="Times New Roman"/>
            </a:rPr>
            <a:t>Irstea Bordeaux</a:t>
          </a:r>
          <a:r>
            <a:rPr b="0" lang="fr-FR" sz="1100" spc="-1" strike="noStrike">
              <a:solidFill>
                <a:srgbClr val="000000"/>
              </a:solidFill>
              <a:latin typeface="Times New Roman"/>
            </a:rPr>
            <a:t>	</a:t>
          </a:r>
          <a:r>
            <a:rPr b="0" lang="fr-FR" sz="1100" spc="-1" strike="noStrike">
              <a:solidFill>
                <a:srgbClr val="000000"/>
              </a:solidFill>
              <a:latin typeface="Times New Roman"/>
            </a:rPr>
            <a:t>:</a:t>
          </a:r>
          <a:r>
            <a:rPr b="0" lang="fr-FR" sz="1100" spc="-1" strike="noStrike">
              <a:solidFill>
                <a:srgbClr val="000000"/>
              </a:solidFill>
              <a:latin typeface="Times New Roman"/>
            </a:rPr>
            <a:t>	</a:t>
          </a:r>
          <a:r>
            <a:rPr b="0" lang="fr-FR" sz="1100" spc="-1" strike="noStrike">
              <a:solidFill>
                <a:srgbClr val="000000"/>
              </a:solidFill>
              <a:latin typeface="Times New Roman"/>
            </a:rPr>
            <a:t>frederic.zahm@irstea.fr, </a:t>
          </a:r>
          <a:r>
            <a:rPr b="0" lang="fr-FR" sz="1100" spc="-1" strike="noStrike">
              <a:solidFill>
                <a:srgbClr val="000000"/>
              </a:solidFill>
              <a:latin typeface="Times New Roman"/>
            </a:rPr>
            <a:t>	</a:t>
          </a:r>
          <a:r>
            <a:rPr b="0" lang="fr-FR" sz="1100" spc="-1" strike="noStrike">
              <a:solidFill>
                <a:srgbClr val="000000"/>
              </a:solidFill>
              <a:latin typeface="Times New Roman"/>
            </a:rPr>
            <a:t>tel : 05.57.89.08.40</a:t>
          </a:r>
          <a:endParaRPr b="0" lang="fr-FR" sz="1100" spc="-1" strike="noStrike">
            <a:latin typeface="Times New Roman"/>
          </a:endParaRPr>
        </a:p>
        <a:p>
          <a:pPr>
            <a:lnSpc>
              <a:spcPct val="100000"/>
            </a:lnSpc>
          </a:pPr>
          <a:r>
            <a:rPr b="0" lang="fr-FR" sz="1100" spc="-1" strike="noStrike">
              <a:solidFill>
                <a:srgbClr val="000000"/>
              </a:solidFill>
              <a:latin typeface="Times New Roman"/>
            </a:rPr>
            <a:t>Sydney Girard, Irstea Bordeaux :</a:t>
          </a:r>
          <a:r>
            <a:rPr b="0" lang="fr-FR" sz="1100" spc="-1" strike="noStrike">
              <a:solidFill>
                <a:srgbClr val="000000"/>
              </a:solidFill>
              <a:latin typeface="Times New Roman"/>
            </a:rPr>
            <a:t>	</a:t>
          </a:r>
          <a:r>
            <a:rPr b="0" lang="fr-FR" sz="1100" spc="-1" strike="noStrike">
              <a:solidFill>
                <a:srgbClr val="000000"/>
              </a:solidFill>
              <a:latin typeface="Times New Roman"/>
            </a:rPr>
            <a:t>sydney.girard@irstea.fr, </a:t>
          </a:r>
          <a:r>
            <a:rPr b="0" lang="fr-FR" sz="1100" spc="-1" strike="noStrike">
              <a:solidFill>
                <a:srgbClr val="000000"/>
              </a:solidFill>
              <a:latin typeface="Times New Roman"/>
            </a:rPr>
            <a:t>	</a:t>
          </a:r>
          <a:r>
            <a:rPr b="0" lang="fr-FR" sz="1100" spc="-1" strike="noStrike">
              <a:solidFill>
                <a:srgbClr val="000000"/>
              </a:solidFill>
              <a:latin typeface="Times New Roman"/>
            </a:rPr>
            <a:t>tel : 05.57.89.27.21</a:t>
          </a:r>
          <a:endParaRPr b="0" lang="fr-FR" sz="1100" spc="-1" strike="noStrike">
            <a:latin typeface="Times New Roman"/>
          </a:endParaRPr>
        </a:p>
      </xdr:txBody>
    </xdr:sp>
    <xdr:clientData/>
  </xdr:twoCellAnchor>
  <xdr:twoCellAnchor editAs="oneCell">
    <xdr:from>
      <xdr:col>7</xdr:col>
      <xdr:colOff>409320</xdr:colOff>
      <xdr:row>24</xdr:row>
      <xdr:rowOff>95400</xdr:rowOff>
    </xdr:from>
    <xdr:to>
      <xdr:col>9</xdr:col>
      <xdr:colOff>234360</xdr:colOff>
      <xdr:row>34</xdr:row>
      <xdr:rowOff>56880</xdr:rowOff>
    </xdr:to>
    <xdr:pic>
      <xdr:nvPicPr>
        <xdr:cNvPr id="2" name="Image 2" descr=""/>
        <xdr:cNvPicPr/>
      </xdr:nvPicPr>
      <xdr:blipFill>
        <a:blip r:embed="rId1"/>
        <a:stretch/>
      </xdr:blipFill>
      <xdr:spPr>
        <a:xfrm>
          <a:off x="5863320" y="3981600"/>
          <a:ext cx="1383120" cy="1580400"/>
        </a:xfrm>
        <a:prstGeom prst="rect">
          <a:avLst/>
        </a:prstGeom>
        <a:ln>
          <a:noFill/>
        </a:ln>
      </xdr:spPr>
    </xdr:pic>
    <xdr:clientData/>
  </xdr:twoCellAnchor>
  <xdr:twoCellAnchor editAs="oneCell">
    <xdr:from>
      <xdr:col>1</xdr:col>
      <xdr:colOff>204840</xdr:colOff>
      <xdr:row>24</xdr:row>
      <xdr:rowOff>75960</xdr:rowOff>
    </xdr:from>
    <xdr:to>
      <xdr:col>3</xdr:col>
      <xdr:colOff>205560</xdr:colOff>
      <xdr:row>34</xdr:row>
      <xdr:rowOff>28440</xdr:rowOff>
    </xdr:to>
    <xdr:pic>
      <xdr:nvPicPr>
        <xdr:cNvPr id="3" name="Image 3" descr=""/>
        <xdr:cNvPicPr/>
      </xdr:nvPicPr>
      <xdr:blipFill>
        <a:blip r:embed="rId2"/>
        <a:stretch/>
      </xdr:blipFill>
      <xdr:spPr>
        <a:xfrm>
          <a:off x="983880" y="3962160"/>
          <a:ext cx="1558800" cy="1571400"/>
        </a:xfrm>
        <a:prstGeom prst="rect">
          <a:avLst/>
        </a:prstGeom>
        <a:ln>
          <a:noFill/>
        </a:ln>
      </xdr:spPr>
    </xdr:pic>
    <xdr:clientData/>
  </xdr:twoCellAnchor>
  <xdr:twoCellAnchor editAs="oneCell">
    <xdr:from>
      <xdr:col>10</xdr:col>
      <xdr:colOff>312120</xdr:colOff>
      <xdr:row>26</xdr:row>
      <xdr:rowOff>124200</xdr:rowOff>
    </xdr:from>
    <xdr:to>
      <xdr:col>15</xdr:col>
      <xdr:colOff>721080</xdr:colOff>
      <xdr:row>34</xdr:row>
      <xdr:rowOff>28440</xdr:rowOff>
    </xdr:to>
    <xdr:pic>
      <xdr:nvPicPr>
        <xdr:cNvPr id="4" name="Image 4" descr=""/>
        <xdr:cNvPicPr/>
      </xdr:nvPicPr>
      <xdr:blipFill>
        <a:blip r:embed="rId3"/>
        <a:stretch/>
      </xdr:blipFill>
      <xdr:spPr>
        <a:xfrm>
          <a:off x="8103240" y="4334040"/>
          <a:ext cx="4304880" cy="1199520"/>
        </a:xfrm>
        <a:prstGeom prst="rect">
          <a:avLst/>
        </a:prstGeom>
        <a:ln>
          <a:noFill/>
        </a:ln>
      </xdr:spPr>
    </xdr:pic>
    <xdr:clientData/>
  </xdr:twoCellAnchor>
  <xdr:twoCellAnchor editAs="oneCell">
    <xdr:from>
      <xdr:col>5</xdr:col>
      <xdr:colOff>263520</xdr:colOff>
      <xdr:row>24</xdr:row>
      <xdr:rowOff>95400</xdr:rowOff>
    </xdr:from>
    <xdr:to>
      <xdr:col>7</xdr:col>
      <xdr:colOff>419040</xdr:colOff>
      <xdr:row>34</xdr:row>
      <xdr:rowOff>56880</xdr:rowOff>
    </xdr:to>
    <xdr:pic>
      <xdr:nvPicPr>
        <xdr:cNvPr id="5" name="Image 5" descr=""/>
        <xdr:cNvPicPr/>
      </xdr:nvPicPr>
      <xdr:blipFill>
        <a:blip r:embed="rId4"/>
        <a:stretch/>
      </xdr:blipFill>
      <xdr:spPr>
        <a:xfrm>
          <a:off x="4159080" y="3981600"/>
          <a:ext cx="1713960" cy="158040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20160</xdr:colOff>
      <xdr:row>2</xdr:row>
      <xdr:rowOff>37800</xdr:rowOff>
    </xdr:from>
    <xdr:to>
      <xdr:col>7</xdr:col>
      <xdr:colOff>1692360</xdr:colOff>
      <xdr:row>8</xdr:row>
      <xdr:rowOff>162000</xdr:rowOff>
    </xdr:to>
    <xdr:sp>
      <xdr:nvSpPr>
        <xdr:cNvPr id="6" name="CustomShape 1"/>
        <xdr:cNvSpPr/>
      </xdr:nvSpPr>
      <xdr:spPr>
        <a:xfrm>
          <a:off x="1097640" y="495000"/>
          <a:ext cx="7570080" cy="1267200"/>
        </a:xfrm>
        <a:prstGeom prst="rect">
          <a:avLst/>
        </a:prstGeom>
        <a:solidFill>
          <a:srgbClr val="ffffff"/>
        </a:solidFill>
        <a:ln w="9360">
          <a:solidFill>
            <a:srgbClr val="bcbcbc"/>
          </a:solidFill>
          <a:round/>
        </a:ln>
      </xdr:spPr>
      <xdr:style>
        <a:lnRef idx="0"/>
        <a:fillRef idx="0"/>
        <a:effectRef idx="0"/>
        <a:fontRef idx="minor"/>
      </xdr:style>
      <xdr:txBody>
        <a:bodyPr lIns="90000" rIns="90000" tIns="45000" bIns="45000" anchor="ctr">
          <a:noAutofit/>
        </a:bodyPr>
        <a:p>
          <a:pPr>
            <a:lnSpc>
              <a:spcPct val="100000"/>
            </a:lnSpc>
          </a:pPr>
          <a:r>
            <a:rPr b="0" lang="fr-FR" sz="1100" spc="-1" strike="noStrike">
              <a:solidFill>
                <a:srgbClr val="000000"/>
              </a:solidFill>
              <a:latin typeface="Times New Roman"/>
            </a:rPr>
            <a:t>Ce calculcateur prend en compte les informations de calcul des indicateurs de la version 4 d'IDEA au  07 janvier 2020.</a:t>
          </a:r>
          <a:endParaRPr b="0" lang="fr-FR" sz="1100" spc="-1" strike="noStrike">
            <a:latin typeface="Times New Roman"/>
          </a:endParaRPr>
        </a:p>
        <a:p>
          <a:pPr>
            <a:lnSpc>
              <a:spcPct val="100000"/>
            </a:lnSpc>
          </a:pPr>
          <a:r>
            <a:rPr b="0" lang="fr-FR" sz="1100" spc="-1" strike="noStrike">
              <a:solidFill>
                <a:srgbClr val="000000"/>
              </a:solidFill>
              <a:latin typeface="Times New Roman"/>
            </a:rPr>
            <a:t>Cette version du calculateur reste </a:t>
          </a:r>
          <a:r>
            <a:rPr b="0" lang="fr-FR" sz="1100" spc="-1" strike="noStrike">
              <a:solidFill>
                <a:srgbClr val="ff0000"/>
              </a:solidFill>
              <a:latin typeface="Times New Roman"/>
            </a:rPr>
            <a:t>expérimentale </a:t>
          </a:r>
          <a:r>
            <a:rPr b="0" lang="fr-FR" sz="1100" spc="-1" strike="noStrike">
              <a:solidFill>
                <a:srgbClr val="000000"/>
              </a:solidFill>
              <a:latin typeface="Times New Roman"/>
            </a:rPr>
            <a:t>et de nombreux onglets ne sont pas encore à jour.</a:t>
          </a:r>
          <a:endParaRPr b="0" lang="fr-FR" sz="1100" spc="-1" strike="noStrike">
            <a:latin typeface="Times New Roman"/>
          </a:endParaRPr>
        </a:p>
        <a:p>
          <a:pPr>
            <a:lnSpc>
              <a:spcPct val="100000"/>
            </a:lnSpc>
          </a:pPr>
          <a:r>
            <a:rPr b="0" lang="fr-FR" sz="1100" spc="-1" strike="noStrike">
              <a:solidFill>
                <a:srgbClr val="000000"/>
              </a:solidFill>
              <a:latin typeface="Times New Roman"/>
            </a:rPr>
            <a:t>Des modifications seront apportées au calculateur au fur et à mesure de l'évolution de la méthode.</a:t>
          </a:r>
          <a:endParaRPr b="0" lang="fr-FR" sz="1100" spc="-1" strike="noStrike">
            <a:latin typeface="Times New Roman"/>
          </a:endParaRPr>
        </a:p>
        <a:p>
          <a:pPr>
            <a:lnSpc>
              <a:spcPct val="100000"/>
            </a:lnSpc>
          </a:pPr>
          <a:r>
            <a:rPr b="0" lang="fr-FR" sz="1100" spc="-1" strike="noStrike">
              <a:solidFill>
                <a:srgbClr val="000000"/>
              </a:solidFill>
              <a:latin typeface="Times New Roman"/>
            </a:rPr>
            <a:t>Cette notice détaille le fonctionnement de ce calculateur, onglet par onglet.</a:t>
          </a:r>
          <a:endParaRPr b="0" lang="fr-FR" sz="1100" spc="-1" strike="noStrike">
            <a:latin typeface="Times New Roman"/>
          </a:endParaRPr>
        </a:p>
        <a:p>
          <a:pPr>
            <a:lnSpc>
              <a:spcPct val="100000"/>
            </a:lnSpc>
          </a:pPr>
          <a:r>
            <a:rPr b="0" lang="fr-FR" sz="1100" spc="-1" strike="noStrike">
              <a:solidFill>
                <a:srgbClr val="000000"/>
              </a:solidFill>
              <a:latin typeface="Times New Roman"/>
            </a:rPr>
            <a:t>Les données doivent seulement être saisies dans les onglets </a:t>
          </a:r>
          <a:r>
            <a:rPr b="0" lang="fr-FR" sz="1100" spc="-1" strike="noStrike">
              <a:solidFill>
                <a:srgbClr val="ff0000"/>
              </a:solidFill>
              <a:latin typeface="Times New Roman"/>
            </a:rPr>
            <a:t>"Saisie et Calculateur" </a:t>
          </a:r>
          <a:r>
            <a:rPr b="0" lang="fr-FR" sz="1100" spc="-1" strike="noStrike">
              <a:solidFill>
                <a:srgbClr val="000000"/>
              </a:solidFill>
              <a:latin typeface="Times New Roman"/>
            </a:rPr>
            <a:t>et </a:t>
          </a:r>
          <a:r>
            <a:rPr b="0" lang="fr-FR" sz="1100" spc="-1" strike="noStrike">
              <a:solidFill>
                <a:srgbClr val="ff0000"/>
              </a:solidFill>
              <a:latin typeface="Times New Roman"/>
            </a:rPr>
            <a:t>"Bilan apparent"</a:t>
          </a:r>
          <a:r>
            <a:rPr b="0" lang="fr-FR" sz="1100" spc="-1" strike="noStrike">
              <a:solidFill>
                <a:srgbClr val="000000"/>
              </a:solidFill>
              <a:latin typeface="Times New Roman"/>
            </a:rPr>
            <a:t>.</a:t>
          </a:r>
          <a:endParaRPr b="0" lang="fr-FR" sz="1100" spc="-1" strike="noStrike">
            <a:latin typeface="Times New Roman"/>
          </a:endParaRPr>
        </a:p>
        <a:p>
          <a:pPr>
            <a:lnSpc>
              <a:spcPct val="100000"/>
            </a:lnSpc>
          </a:pPr>
          <a:r>
            <a:rPr b="0" lang="fr-FR" sz="1100" spc="-1" strike="noStrike">
              <a:solidFill>
                <a:srgbClr val="000000"/>
              </a:solidFill>
              <a:latin typeface="Times New Roman"/>
            </a:rPr>
            <a:t>Les autres onglets sont autonomes et permettent de calculer et de présenter les résultats de la méthode IDEA 4.</a:t>
          </a:r>
          <a:endParaRPr b="0" lang="fr-FR" sz="1100" spc="-1" strike="noStrike">
            <a:latin typeface="Times New Roman"/>
          </a:endParaRPr>
        </a:p>
      </xdr:txBody>
    </xdr:sp>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5</xdr:col>
      <xdr:colOff>473040</xdr:colOff>
      <xdr:row>0</xdr:row>
      <xdr:rowOff>124200</xdr:rowOff>
    </xdr:from>
    <xdr:to>
      <xdr:col>10</xdr:col>
      <xdr:colOff>302400</xdr:colOff>
      <xdr:row>7</xdr:row>
      <xdr:rowOff>123840</xdr:rowOff>
    </xdr:to>
    <xdr:sp>
      <xdr:nvSpPr>
        <xdr:cNvPr id="7" name="CustomShape 1"/>
        <xdr:cNvSpPr/>
      </xdr:nvSpPr>
      <xdr:spPr>
        <a:xfrm>
          <a:off x="6792840" y="124200"/>
          <a:ext cx="3601440" cy="1199520"/>
        </a:xfrm>
        <a:prstGeom prst="rect">
          <a:avLst/>
        </a:prstGeom>
        <a:solidFill>
          <a:srgbClr val="ffff00"/>
        </a:solidFill>
        <a:ln w="9360">
          <a:solidFill>
            <a:srgbClr val="bcbcbc"/>
          </a:solidFill>
          <a:round/>
        </a:ln>
      </xdr:spPr>
      <xdr:style>
        <a:lnRef idx="0"/>
        <a:fillRef idx="0"/>
        <a:effectRef idx="0"/>
        <a:fontRef idx="minor"/>
      </xdr:style>
      <xdr:txBody>
        <a:bodyPr lIns="90000" rIns="90000" tIns="45000" bIns="45000">
          <a:noAutofit/>
        </a:bodyPr>
        <a:p>
          <a:pPr>
            <a:lnSpc>
              <a:spcPct val="100000"/>
            </a:lnSpc>
          </a:pPr>
          <a:r>
            <a:rPr b="1" lang="fr-FR" sz="1100" spc="-1" strike="noStrike">
              <a:solidFill>
                <a:srgbClr val="ff0000"/>
              </a:solidFill>
              <a:latin typeface="Calibri"/>
            </a:rPr>
            <a:t>A remplir : </a:t>
          </a:r>
          <a:endParaRPr b="0" lang="fr-FR" sz="1100" spc="-1" strike="noStrike">
            <a:latin typeface="Times New Roman"/>
          </a:endParaRPr>
        </a:p>
        <a:p>
          <a:pPr>
            <a:lnSpc>
              <a:spcPct val="100000"/>
            </a:lnSpc>
          </a:pPr>
          <a:r>
            <a:rPr b="1" lang="fr-FR" sz="1100" spc="-1" strike="noStrike">
              <a:solidFill>
                <a:srgbClr val="ff0000"/>
              </a:solidFill>
              <a:latin typeface="Calibri"/>
            </a:rPr>
            <a:t>E1 - Engrais minéraux achetés</a:t>
          </a:r>
          <a:endParaRPr b="0" lang="fr-FR" sz="1100" spc="-1" strike="noStrike">
            <a:latin typeface="Times New Roman"/>
          </a:endParaRPr>
        </a:p>
        <a:p>
          <a:pPr>
            <a:lnSpc>
              <a:spcPct val="100000"/>
            </a:lnSpc>
          </a:pPr>
          <a:r>
            <a:rPr b="1" lang="fr-FR" sz="1100" spc="-1" strike="noStrike">
              <a:solidFill>
                <a:srgbClr val="ff0000"/>
              </a:solidFill>
              <a:latin typeface="Calibri"/>
            </a:rPr>
            <a:t>S3 - Sortie par les fruits et légumes</a:t>
          </a:r>
          <a:endParaRPr b="0" lang="fr-FR" sz="1100" spc="-1" strike="noStrike">
            <a:latin typeface="Times New Roman"/>
          </a:endParaRPr>
        </a:p>
        <a:p>
          <a:pPr>
            <a:lnSpc>
              <a:spcPct val="100000"/>
            </a:lnSpc>
          </a:pPr>
          <a:r>
            <a:rPr b="1" lang="fr-FR" sz="1100" spc="-1" strike="noStrike">
              <a:solidFill>
                <a:srgbClr val="ff0000"/>
              </a:solidFill>
              <a:latin typeface="Calibri"/>
            </a:rPr>
            <a:t>S4 - Détail des ventes d'oeuf  par espèces</a:t>
          </a:r>
          <a:endParaRPr b="0" lang="fr-FR" sz="1100" spc="-1" strike="noStrike">
            <a:latin typeface="Times New Roman"/>
          </a:endParaRPr>
        </a:p>
        <a:p>
          <a:pPr>
            <a:lnSpc>
              <a:spcPct val="100000"/>
            </a:lnSpc>
          </a:pPr>
          <a:r>
            <a:rPr b="1" lang="fr-FR" sz="1100" spc="-1" strike="noStrike">
              <a:solidFill>
                <a:srgbClr val="ff0000"/>
              </a:solidFill>
              <a:latin typeface="Calibri"/>
            </a:rPr>
            <a:t>Les autres tableaux au cas par cas si vous avez remplis une case autre dans l'onglet de saisie</a:t>
          </a:r>
          <a:endParaRPr b="0" lang="fr-FR" sz="1100" spc="-1" strike="noStrike">
            <a:latin typeface="Times New Roman"/>
          </a:endParaRPr>
        </a:p>
      </xdr:txBody>
    </xdr:sp>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30600</xdr:colOff>
      <xdr:row>339</xdr:row>
      <xdr:rowOff>47520</xdr:rowOff>
    </xdr:from>
    <xdr:to>
      <xdr:col>5</xdr:col>
      <xdr:colOff>1380240</xdr:colOff>
      <xdr:row>386</xdr:row>
      <xdr:rowOff>152280</xdr:rowOff>
    </xdr:to>
    <xdr:pic>
      <xdr:nvPicPr>
        <xdr:cNvPr id="8" name="Image 2" descr=""/>
        <xdr:cNvPicPr/>
      </xdr:nvPicPr>
      <xdr:blipFill>
        <a:blip r:embed="rId1"/>
        <a:srcRect l="24586" t="10280" r="40254" b="4617"/>
        <a:stretch/>
      </xdr:blipFill>
      <xdr:spPr>
        <a:xfrm>
          <a:off x="30600" y="62562600"/>
          <a:ext cx="6431400" cy="8743680"/>
        </a:xfrm>
        <a:prstGeom prst="rect">
          <a:avLst/>
        </a:prstGeom>
        <a:ln>
          <a:noFill/>
        </a:ln>
      </xdr:spPr>
    </xdr:pic>
    <xdr:clientData/>
  </xdr:twoCellAnchor>
  <xdr:twoCellAnchor editAs="oneCell">
    <xdr:from>
      <xdr:col>9</xdr:col>
      <xdr:colOff>664200</xdr:colOff>
      <xdr:row>671</xdr:row>
      <xdr:rowOff>152640</xdr:rowOff>
    </xdr:from>
    <xdr:to>
      <xdr:col>14</xdr:col>
      <xdr:colOff>584640</xdr:colOff>
      <xdr:row>685</xdr:row>
      <xdr:rowOff>9360</xdr:rowOff>
    </xdr:to>
    <xdr:pic>
      <xdr:nvPicPr>
        <xdr:cNvPr id="9" name="Image 5" descr=""/>
        <xdr:cNvPicPr/>
      </xdr:nvPicPr>
      <xdr:blipFill>
        <a:blip r:embed="rId2"/>
        <a:srcRect l="13057" t="33004" r="33810" b="30992"/>
        <a:stretch/>
      </xdr:blipFill>
      <xdr:spPr>
        <a:xfrm>
          <a:off x="11251440" y="119204640"/>
          <a:ext cx="5102640" cy="2152440"/>
        </a:xfrm>
        <a:prstGeom prst="rect">
          <a:avLst/>
        </a:prstGeom>
        <a:ln>
          <a:noFill/>
        </a:ln>
      </xdr:spPr>
    </xdr:pic>
    <xdr:clientData/>
  </xdr:twoCellAnchor>
  <xdr:twoCellAnchor editAs="oneCell">
    <xdr:from>
      <xdr:col>7</xdr:col>
      <xdr:colOff>1096920</xdr:colOff>
      <xdr:row>805</xdr:row>
      <xdr:rowOff>76680</xdr:rowOff>
    </xdr:from>
    <xdr:to>
      <xdr:col>10</xdr:col>
      <xdr:colOff>1118520</xdr:colOff>
      <xdr:row>840</xdr:row>
      <xdr:rowOff>104760</xdr:rowOff>
    </xdr:to>
    <xdr:pic>
      <xdr:nvPicPr>
        <xdr:cNvPr id="10" name="Image 6" descr=""/>
        <xdr:cNvPicPr/>
      </xdr:nvPicPr>
      <xdr:blipFill>
        <a:blip r:embed="rId3"/>
        <a:srcRect l="16530" t="9446" r="49230" b="5208"/>
        <a:stretch/>
      </xdr:blipFill>
      <xdr:spPr>
        <a:xfrm>
          <a:off x="8805600" y="142408080"/>
          <a:ext cx="3704760" cy="5733360"/>
        </a:xfrm>
        <a:prstGeom prst="rect">
          <a:avLst/>
        </a:prstGeom>
        <a:ln>
          <a:noFill/>
        </a:ln>
      </xdr:spPr>
    </xdr:pic>
    <xdr:clientData/>
  </xdr:twoCellAnchor>
  <xdr:twoCellAnchor editAs="oneCell">
    <xdr:from>
      <xdr:col>5</xdr:col>
      <xdr:colOff>1258200</xdr:colOff>
      <xdr:row>111</xdr:row>
      <xdr:rowOff>104400</xdr:rowOff>
    </xdr:from>
    <xdr:to>
      <xdr:col>8</xdr:col>
      <xdr:colOff>284040</xdr:colOff>
      <xdr:row>123</xdr:row>
      <xdr:rowOff>75960</xdr:rowOff>
    </xdr:to>
    <xdr:pic>
      <xdr:nvPicPr>
        <xdr:cNvPr id="11" name="Image 4" descr=""/>
        <xdr:cNvPicPr/>
      </xdr:nvPicPr>
      <xdr:blipFill>
        <a:blip r:embed="rId4"/>
        <a:srcRect l="13752" t="55580" r="60688" b="15095"/>
        <a:stretch/>
      </xdr:blipFill>
      <xdr:spPr>
        <a:xfrm>
          <a:off x="6339960" y="18478080"/>
          <a:ext cx="2850480" cy="2028960"/>
        </a:xfrm>
        <a:prstGeom prst="rect">
          <a:avLst/>
        </a:prstGeom>
        <a:ln>
          <a:noFill/>
        </a:ln>
      </xdr:spPr>
    </xdr:pic>
    <xdr:clientData/>
  </xdr:twoCellAnchor>
  <xdr:twoCellAnchor editAs="oneCell">
    <xdr:from>
      <xdr:col>9</xdr:col>
      <xdr:colOff>111240</xdr:colOff>
      <xdr:row>111</xdr:row>
      <xdr:rowOff>38160</xdr:rowOff>
    </xdr:from>
    <xdr:to>
      <xdr:col>11</xdr:col>
      <xdr:colOff>382680</xdr:colOff>
      <xdr:row>124</xdr:row>
      <xdr:rowOff>123840</xdr:rowOff>
    </xdr:to>
    <xdr:pic>
      <xdr:nvPicPr>
        <xdr:cNvPr id="12" name="Image 7" descr=""/>
        <xdr:cNvPicPr/>
      </xdr:nvPicPr>
      <xdr:blipFill>
        <a:blip r:embed="rId5"/>
        <a:srcRect l="38485" t="56701" r="40827" b="13877"/>
        <a:stretch/>
      </xdr:blipFill>
      <xdr:spPr>
        <a:xfrm>
          <a:off x="10698480" y="18411840"/>
          <a:ext cx="2625840" cy="2314440"/>
        </a:xfrm>
        <a:prstGeom prst="rect">
          <a:avLst/>
        </a:prstGeom>
        <a:ln>
          <a:noFill/>
        </a:ln>
      </xdr:spPr>
    </xdr:pic>
    <xdr:clientData/>
  </xdr:twoCellAnchor>
  <xdr:twoCellAnchor editAs="oneCell">
    <xdr:from>
      <xdr:col>7</xdr:col>
      <xdr:colOff>60840</xdr:colOff>
      <xdr:row>540</xdr:row>
      <xdr:rowOff>86400</xdr:rowOff>
    </xdr:from>
    <xdr:to>
      <xdr:col>11</xdr:col>
      <xdr:colOff>352800</xdr:colOff>
      <xdr:row>565</xdr:row>
      <xdr:rowOff>9000</xdr:rowOff>
    </xdr:to>
    <xdr:pic>
      <xdr:nvPicPr>
        <xdr:cNvPr id="13" name="Image 8" descr=""/>
        <xdr:cNvPicPr/>
      </xdr:nvPicPr>
      <xdr:blipFill>
        <a:blip r:embed="rId6"/>
        <a:srcRect l="15348" t="12445" r="32422" b="17435"/>
        <a:stretch/>
      </xdr:blipFill>
      <xdr:spPr>
        <a:xfrm>
          <a:off x="7769520" y="96570000"/>
          <a:ext cx="5524920" cy="4622400"/>
        </a:xfrm>
        <a:prstGeom prst="rect">
          <a:avLst/>
        </a:prstGeom>
        <a:ln>
          <a:noFill/>
        </a:ln>
      </xdr:spPr>
    </xdr:pic>
    <xdr:clientData/>
  </xdr:twoCellAnchor>
  <xdr:twoCellAnchor editAs="oneCell">
    <xdr:from>
      <xdr:col>0</xdr:col>
      <xdr:colOff>61200</xdr:colOff>
      <xdr:row>154</xdr:row>
      <xdr:rowOff>47520</xdr:rowOff>
    </xdr:from>
    <xdr:to>
      <xdr:col>4</xdr:col>
      <xdr:colOff>272160</xdr:colOff>
      <xdr:row>171</xdr:row>
      <xdr:rowOff>28440</xdr:rowOff>
    </xdr:to>
    <xdr:pic>
      <xdr:nvPicPr>
        <xdr:cNvPr id="14" name="Image 9" descr=""/>
        <xdr:cNvPicPr/>
      </xdr:nvPicPr>
      <xdr:blipFill>
        <a:blip r:embed="rId7"/>
        <a:srcRect l="15905" t="22042" r="31104" b="26658"/>
        <a:stretch/>
      </xdr:blipFill>
      <xdr:spPr>
        <a:xfrm>
          <a:off x="61200" y="25841160"/>
          <a:ext cx="4538160" cy="2733480"/>
        </a:xfrm>
        <a:prstGeom prst="rect">
          <a:avLst/>
        </a:prstGeom>
        <a:ln>
          <a:noFill/>
        </a:ln>
      </xdr:spPr>
    </xdr:pic>
    <xdr:clientData/>
  </xdr:twoCellAnchor>
  <xdr:twoCellAnchor editAs="oneCell">
    <xdr:from>
      <xdr:col>0</xdr:col>
      <xdr:colOff>0</xdr:colOff>
      <xdr:row>958</xdr:row>
      <xdr:rowOff>360</xdr:rowOff>
    </xdr:from>
    <xdr:to>
      <xdr:col>11</xdr:col>
      <xdr:colOff>503640</xdr:colOff>
      <xdr:row>1185</xdr:row>
      <xdr:rowOff>28080</xdr:rowOff>
    </xdr:to>
    <xdr:pic>
      <xdr:nvPicPr>
        <xdr:cNvPr id="15" name="Image 12" descr=""/>
        <xdr:cNvPicPr/>
      </xdr:nvPicPr>
      <xdr:blipFill>
        <a:blip r:embed="rId8"/>
        <a:stretch/>
      </xdr:blipFill>
      <xdr:spPr>
        <a:xfrm>
          <a:off x="0" y="169087320"/>
          <a:ext cx="13445280" cy="36784800"/>
        </a:xfrm>
        <a:prstGeom prst="rect">
          <a:avLst/>
        </a:prstGeom>
        <a:ln>
          <a:noFill/>
        </a:ln>
      </xdr:spPr>
    </xdr:pic>
    <xdr:clientData/>
  </xdr:twoCellAnchor>
  <xdr:twoCellAnchor editAs="oneCell">
    <xdr:from>
      <xdr:col>0</xdr:col>
      <xdr:colOff>0</xdr:colOff>
      <xdr:row>1188</xdr:row>
      <xdr:rowOff>360</xdr:rowOff>
    </xdr:from>
    <xdr:to>
      <xdr:col>5</xdr:col>
      <xdr:colOff>1460160</xdr:colOff>
      <xdr:row>1230</xdr:row>
      <xdr:rowOff>37800</xdr:rowOff>
    </xdr:to>
    <xdr:pic>
      <xdr:nvPicPr>
        <xdr:cNvPr id="16" name="Image 9" descr=""/>
        <xdr:cNvPicPr/>
      </xdr:nvPicPr>
      <xdr:blipFill>
        <a:blip r:embed="rId9"/>
        <a:stretch/>
      </xdr:blipFill>
      <xdr:spPr>
        <a:xfrm>
          <a:off x="0" y="206330040"/>
          <a:ext cx="6541920" cy="683820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443520</xdr:colOff>
      <xdr:row>76</xdr:row>
      <xdr:rowOff>172440</xdr:rowOff>
    </xdr:from>
    <xdr:to>
      <xdr:col>8</xdr:col>
      <xdr:colOff>504000</xdr:colOff>
      <xdr:row>100</xdr:row>
      <xdr:rowOff>56520</xdr:rowOff>
    </xdr:to>
    <xdr:graphicFrame>
      <xdr:nvGraphicFramePr>
        <xdr:cNvPr id="17" name="Graphique 1"/>
        <xdr:cNvGraphicFramePr/>
      </xdr:nvGraphicFramePr>
      <xdr:xfrm>
        <a:off x="1288440" y="15268680"/>
        <a:ext cx="7565760" cy="37875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221040</xdr:colOff>
      <xdr:row>147</xdr:row>
      <xdr:rowOff>66960</xdr:rowOff>
    </xdr:from>
    <xdr:to>
      <xdr:col>5</xdr:col>
      <xdr:colOff>502920</xdr:colOff>
      <xdr:row>211</xdr:row>
      <xdr:rowOff>18720</xdr:rowOff>
    </xdr:to>
    <xdr:graphicFrame>
      <xdr:nvGraphicFramePr>
        <xdr:cNvPr id="18" name="Graphique 3"/>
        <xdr:cNvGraphicFramePr/>
      </xdr:nvGraphicFramePr>
      <xdr:xfrm>
        <a:off x="221040" y="27237240"/>
        <a:ext cx="7667280" cy="820152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29880</xdr:colOff>
      <xdr:row>146</xdr:row>
      <xdr:rowOff>114840</xdr:rowOff>
    </xdr:from>
    <xdr:to>
      <xdr:col>19</xdr:col>
      <xdr:colOff>483120</xdr:colOff>
      <xdr:row>210</xdr:row>
      <xdr:rowOff>28440</xdr:rowOff>
    </xdr:to>
    <xdr:graphicFrame>
      <xdr:nvGraphicFramePr>
        <xdr:cNvPr id="19" name="Graphique 4"/>
        <xdr:cNvGraphicFramePr/>
      </xdr:nvGraphicFramePr>
      <xdr:xfrm>
        <a:off x="7938000" y="27156240"/>
        <a:ext cx="7159320" cy="81633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19</xdr:col>
      <xdr:colOff>382320</xdr:colOff>
      <xdr:row>148</xdr:row>
      <xdr:rowOff>66960</xdr:rowOff>
    </xdr:from>
    <xdr:to>
      <xdr:col>27</xdr:col>
      <xdr:colOff>513360</xdr:colOff>
      <xdr:row>187</xdr:row>
      <xdr:rowOff>18720</xdr:rowOff>
    </xdr:to>
    <xdr:graphicFrame>
      <xdr:nvGraphicFramePr>
        <xdr:cNvPr id="20" name="Graphique 5"/>
        <xdr:cNvGraphicFramePr/>
      </xdr:nvGraphicFramePr>
      <xdr:xfrm>
        <a:off x="14996520" y="27366120"/>
        <a:ext cx="6166080" cy="497916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39960</xdr:colOff>
      <xdr:row>106</xdr:row>
      <xdr:rowOff>86040</xdr:rowOff>
    </xdr:from>
    <xdr:to>
      <xdr:col>18</xdr:col>
      <xdr:colOff>452880</xdr:colOff>
      <xdr:row>140</xdr:row>
      <xdr:rowOff>133200</xdr:rowOff>
    </xdr:to>
    <xdr:graphicFrame>
      <xdr:nvGraphicFramePr>
        <xdr:cNvPr id="21" name="Graphique 1"/>
        <xdr:cNvGraphicFramePr/>
      </xdr:nvGraphicFramePr>
      <xdr:xfrm>
        <a:off x="1991160" y="20266920"/>
        <a:ext cx="12321720" cy="572652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4</xdr:col>
      <xdr:colOff xmlns:xdr="http://schemas.openxmlformats.org/drawingml/2006/spreadsheetDrawing">0</xdr:colOff>
      <xdr:row xmlns:xdr="http://schemas.openxmlformats.org/drawingml/2006/spreadsheetDrawing">1</xdr:row>
      <xdr:rowOff xmlns:xdr="http://schemas.openxmlformats.org/drawingml/2006/spreadsheetDrawing">0</xdr:rowOff>
    </xdr:from>
    <xdr:ext xmlns:xdr="http://schemas.openxmlformats.org/drawingml/2006/spreadsheetDrawing" cx="5979600" cy="36756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6</xdr:col>
      <xdr:colOff xmlns:xdr="http://schemas.openxmlformats.org/drawingml/2006/spreadsheetDrawing">0</xdr:colOff>
      <xdr:row xmlns:xdr="http://schemas.openxmlformats.org/drawingml/2006/spreadsheetDrawing">1</xdr:row>
      <xdr:rowOff xmlns:xdr="http://schemas.openxmlformats.org/drawingml/2006/spreadsheetDrawing">0</xdr:rowOff>
    </xdr:from>
    <xdr:ext xmlns:xdr="http://schemas.openxmlformats.org/drawingml/2006/spreadsheetDrawing" cx="5875200" cy="45072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7</xdr:col>
      <xdr:colOff xmlns:xdr="http://schemas.openxmlformats.org/drawingml/2006/spreadsheetDrawing">0</xdr:colOff>
      <xdr:row xmlns:xdr="http://schemas.openxmlformats.org/drawingml/2006/spreadsheetDrawing">1</xdr:row>
      <xdr:rowOff xmlns:xdr="http://schemas.openxmlformats.org/drawingml/2006/spreadsheetDrawing">0</xdr:rowOff>
    </xdr:from>
    <xdr:ext xmlns:xdr="http://schemas.openxmlformats.org/drawingml/2006/spreadsheetDrawing" cx="5151600" cy="57852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7</xdr:col>
      <xdr:colOff xmlns:xdr="http://schemas.openxmlformats.org/drawingml/2006/spreadsheetDrawing">0</xdr:colOff>
      <xdr:row xmlns:xdr="http://schemas.openxmlformats.org/drawingml/2006/spreadsheetDrawing">38</xdr:row>
      <xdr:rowOff xmlns:xdr="http://schemas.openxmlformats.org/drawingml/2006/spreadsheetDrawing">0</xdr:rowOff>
    </xdr:from>
    <xdr:ext xmlns:xdr="http://schemas.openxmlformats.org/drawingml/2006/spreadsheetDrawing" cx="5151600" cy="65088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3</xdr:col>
      <xdr:colOff xmlns:xdr="http://schemas.openxmlformats.org/drawingml/2006/spreadsheetDrawing">0</xdr:colOff>
      <xdr:row xmlns:xdr="http://schemas.openxmlformats.org/drawingml/2006/spreadsheetDrawing">56</xdr:row>
      <xdr:rowOff xmlns:xdr="http://schemas.openxmlformats.org/drawingml/2006/spreadsheetDrawing">0</xdr:rowOff>
    </xdr:from>
    <xdr:ext xmlns:xdr="http://schemas.openxmlformats.org/drawingml/2006/spreadsheetDrawing" cx="5151600" cy="4352400"/>
    <xdr:pic xmlns:xdr="http://schemas.openxmlformats.org/drawingml/2006/spreadsheetDrawing">
      <xdr:nvPicPr xmlns:xdr="http://schemas.openxmlformats.org/drawingml/2006/spreadsheetDrawing">
        <xdr:cNvPr xmlns:xdr="http://schemas.openxmlformats.org/drawingml/2006/spreadsheetDrawing" id="3" name="Picture 3"/>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3">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4</xdr:col>
      <xdr:colOff xmlns:xdr="http://schemas.openxmlformats.org/drawingml/2006/spreadsheetDrawing">0</xdr:colOff>
      <xdr:row xmlns:xdr="http://schemas.openxmlformats.org/drawingml/2006/spreadsheetDrawing">1</xdr:row>
      <xdr:rowOff xmlns:xdr="http://schemas.openxmlformats.org/drawingml/2006/spreadsheetDrawing">0</xdr:rowOff>
    </xdr:from>
    <xdr:ext xmlns:xdr="http://schemas.openxmlformats.org/drawingml/2006/spreadsheetDrawing" cx="8161200" cy="54936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5</xdr:col>
      <xdr:colOff xmlns:xdr="http://schemas.openxmlformats.org/drawingml/2006/spreadsheetDrawing">0</xdr:colOff>
      <xdr:row xmlns:xdr="http://schemas.openxmlformats.org/drawingml/2006/spreadsheetDrawing">1</xdr:row>
      <xdr:rowOff xmlns:xdr="http://schemas.openxmlformats.org/drawingml/2006/spreadsheetDrawing">0</xdr:rowOff>
    </xdr:from>
    <xdr:ext xmlns:xdr="http://schemas.openxmlformats.org/drawingml/2006/spreadsheetDrawing" cx="6789600" cy="48564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1</xdr:col>
      <xdr:colOff xmlns:xdr="http://schemas.openxmlformats.org/drawingml/2006/spreadsheetDrawing">0</xdr:colOff>
      <xdr:row xmlns:xdr="http://schemas.openxmlformats.org/drawingml/2006/spreadsheetDrawing">29</xdr:row>
      <xdr:rowOff xmlns:xdr="http://schemas.openxmlformats.org/drawingml/2006/spreadsheetDrawing">0</xdr:rowOff>
    </xdr:from>
    <xdr:ext xmlns:xdr="http://schemas.openxmlformats.org/drawingml/2006/spreadsheetDrawing" cx="8431200" cy="39852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5</xdr:col>
      <xdr:colOff xmlns:xdr="http://schemas.openxmlformats.org/drawingml/2006/spreadsheetDrawing">0</xdr:colOff>
      <xdr:row xmlns:xdr="http://schemas.openxmlformats.org/drawingml/2006/spreadsheetDrawing">1</xdr:row>
      <xdr:rowOff xmlns:xdr="http://schemas.openxmlformats.org/drawingml/2006/spreadsheetDrawing">0</xdr:rowOff>
    </xdr:from>
    <xdr:ext xmlns:xdr="http://schemas.openxmlformats.org/drawingml/2006/spreadsheetDrawing" cx="6829200" cy="38304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1</xdr:col>
      <xdr:colOff xmlns:xdr="http://schemas.openxmlformats.org/drawingml/2006/spreadsheetDrawing">0</xdr:colOff>
      <xdr:row xmlns:xdr="http://schemas.openxmlformats.org/drawingml/2006/spreadsheetDrawing">17</xdr:row>
      <xdr:rowOff xmlns:xdr="http://schemas.openxmlformats.org/drawingml/2006/spreadsheetDrawing">0</xdr:rowOff>
    </xdr:from>
    <xdr:ext xmlns:xdr="http://schemas.openxmlformats.org/drawingml/2006/spreadsheetDrawing" cx="8431200" cy="39852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 Id="rIdcomment" Type="http://schemas.openxmlformats.org/officeDocument/2006/relationships/comments" Target="../comments4.x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 Id="rIdcomment" Type="http://schemas.openxmlformats.org/officeDocument/2006/relationships/comments" Target="../comments5.xml"/><Relationship Id="rId4h" Type="http://schemas.openxmlformats.org/officeDocument/2006/relationships/hyperlink" Target="https://occitanie.chambre-agriculture.fr/fileadmin/user_upload/National/FAL_commun/publications/Occitanie/18_Teneur_Azote_tab.pdf?fbclid=IwAR3lq9yl7t9s8zVlXyprFadCAVJCC_wo2kFLcK8c19H2ltDQTPgbXpuZV2g" TargetMode="Externa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 Id="rIdcomment" Type="http://schemas.openxmlformats.org/officeDocument/2006/relationships/comments" Target="../comments6.x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 Id="rIdcomment" Type="http://schemas.openxmlformats.org/officeDocument/2006/relationships/comments" Target="../comments7.x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 Id="rIdcomment" Type="http://schemas.openxmlformats.org/officeDocument/2006/relationships/comments" Target="../comments10.x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1"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44.38" hidden="false" outlineLevel="1" customWidth="1"/>
    <col min="2" max="2" width="6.13" hidden="false" outlineLevel="1" customWidth="1"/>
    <col min="3" max="3" width="23.54" hidden="false" outlineLevel="1" customWidth="1"/>
    <col min="4" max="4" width="7.84" hidden="false" outlineLevel="1" customWidth="1"/>
    <col min="5" max="5" width="10.55" hidden="false" outlineLevel="1" customWidth="1"/>
    <col min="6" max="6" width="10.55" hidden="false" outlineLevel="1" customWidth="1"/>
    <col min="7" max="7" width="10.55" hidden="false" outlineLevel="1" customWidth="1"/>
    <col min="8" max="8" width="10.55" hidden="false" outlineLevel="1" customWidth="1"/>
    <col min="9" max="9" width="10.55" hidden="false" outlineLevel="1" customWidth="1"/>
    <col min="10" max="10" width="10.55" hidden="false" outlineLevel="1" customWidth="1"/>
    <col min="11" max="11" width="10.55" hidden="false" outlineLevel="1" customWidth="1"/>
    <col min="12" max="12" width="10.55" hidden="false" outlineLevel="1" customWidth="1"/>
    <col min="13" max="13" width="10.55" hidden="false" outlineLevel="1" customWidth="1"/>
    <col min="14" max="14" width="10.55" hidden="false" outlineLevel="1" customWidth="1"/>
    <col min="15" max="15" width="10.55" hidden="false" outlineLevel="1" customWidth="1"/>
    <col min="16" max="16" width="10.55" hidden="false" outlineLevel="1" customWidth="1"/>
    <col min="17" max="17" width="10.55" hidden="false" outlineLevel="1" customWidth="1"/>
    <col min="18" max="18" width="10.55" hidden="false" outlineLevel="1" customWidth="1"/>
    <col min="19" max="19" width="10.55" hidden="false" outlineLevel="1" customWidth="1"/>
    <col min="20" max="20" width="10.55" hidden="false" outlineLevel="1" customWidth="1"/>
    <col min="21" max="21" width="10.55" hidden="false" outlineLevel="1" customWidth="1"/>
    <col min="22" max="22" width="10.55" hidden="false" outlineLevel="1" customWidth="1"/>
    <col min="23" max="23" width="10.55" hidden="false" outlineLevel="1" customWidth="1"/>
    <col min="24" max="24" width="10.55" hidden="false" outlineLevel="1" customWidth="1"/>
    <col min="25" max="25" width="10.55" hidden="false" outlineLevel="1" customWidth="1"/>
    <col min="26" max="26" width="10.55" hidden="false" outlineLevel="1" customWidth="1"/>
    <col min="27" max="27" width="10.55" hidden="false" outlineLevel="1" customWidth="1"/>
    <col min="28" max="28" width="10.55" hidden="false" outlineLevel="1" customWidth="1"/>
    <col min="29" max="29" width="10.55" hidden="false" outlineLevel="1" customWidth="1"/>
    <col min="30" max="30" width="10.55" hidden="false" outlineLevel="1" customWidth="1"/>
    <col min="31" max="31" width="10.55" hidden="false" outlineLevel="1" customWidth="1"/>
    <col min="32" max="32" width="10.55" hidden="false" outlineLevel="1" customWidth="1"/>
    <col min="33" max="33" width="10.55" hidden="false" outlineLevel="1" customWidth="1"/>
    <col min="34" max="34" width="10.55" hidden="false" outlineLevel="1" customWidth="1"/>
    <col min="35" max="35" width="10.55" hidden="false" outlineLevel="1" customWidth="1"/>
    <col min="36" max="36" width="10.55" hidden="false" outlineLevel="1" customWidth="1"/>
    <col min="37" max="37" width="10.55" hidden="false" outlineLevel="1" customWidth="1"/>
    <col min="38" max="38" width="10.55" hidden="false" outlineLevel="1" customWidth="1"/>
    <col min="39" max="39" width="10.55" hidden="false" outlineLevel="1" customWidth="1"/>
    <col min="40" max="40" width="10.55" hidden="false" outlineLevel="1" customWidth="1"/>
    <col min="41" max="41" width="10.55" hidden="false" outlineLevel="1" customWidth="1"/>
    <col min="42" max="42" width="10.55" hidden="false" outlineLevel="1" customWidth="1"/>
    <col min="43" max="43" width="10.55" hidden="false" outlineLevel="1" customWidth="1"/>
    <col min="44" max="44" width="10.55" hidden="false" outlineLevel="1" customWidth="1"/>
    <col min="45" max="45" width="10.55" hidden="false" outlineLevel="1" customWidth="1"/>
    <col min="46" max="46" width="10.55" hidden="false" outlineLevel="1" customWidth="1"/>
    <col min="47" max="47" width="10.55" hidden="false" outlineLevel="1" customWidth="1"/>
    <col min="48" max="48" width="10.55" hidden="false" outlineLevel="1" customWidth="1"/>
    <col min="49" max="49" width="10.55" hidden="false" outlineLevel="1" customWidth="1"/>
    <col min="50" max="50" width="10.55" hidden="false" outlineLevel="1" customWidth="1"/>
    <col min="51" max="51" width="10.55" hidden="false" outlineLevel="1" customWidth="1"/>
    <col min="52" max="52" width="10.55" hidden="false" outlineLevel="1" customWidth="1"/>
    <col min="53" max="53" width="10.55" hidden="false" outlineLevel="1" customWidth="1"/>
    <col min="54" max="54" width="10.55" hidden="false" outlineLevel="1" customWidth="1"/>
    <col min="55" max="55" width="10.55" hidden="false" outlineLevel="1" customWidth="1"/>
    <col min="56" max="56" width="10.55" hidden="false" outlineLevel="1" customWidth="1"/>
    <col min="57" max="57" width="10.55" hidden="false" outlineLevel="1" customWidth="1"/>
    <col min="58" max="58" width="10.55" hidden="false" outlineLevel="1" customWidth="1"/>
    <col min="59" max="59" width="10.55" hidden="false" outlineLevel="1" customWidth="1"/>
    <col min="60" max="60" width="10.55" hidden="false" outlineLevel="1" customWidth="1"/>
    <col min="61" max="61" width="10.55" hidden="false" outlineLevel="1" customWidth="1"/>
    <col min="62" max="62" width="10.55" hidden="false" outlineLevel="1" customWidth="1"/>
    <col min="63" max="63" width="10.55" hidden="false" outlineLevel="1" customWidth="1"/>
    <col min="64" max="64" width="10.55" hidden="false" outlineLevel="1" customWidth="1"/>
    <col min="65" max="65" width="10.55" hidden="false" outlineLevel="1" customWidth="1"/>
    <col min="66" max="66" width="10.55" hidden="false" outlineLevel="1" customWidth="1"/>
    <col min="67" max="67" width="10.55" hidden="false" outlineLevel="1" customWidth="1"/>
    <col min="68" max="68" width="10.55" hidden="false" outlineLevel="1" customWidth="1"/>
    <col min="69" max="69" width="10.55" hidden="false" outlineLevel="1" customWidth="1"/>
    <col min="70" max="70" width="10.55" hidden="false" outlineLevel="1" customWidth="1"/>
    <col min="71" max="71" width="10.55" hidden="false" outlineLevel="1" customWidth="1"/>
    <col min="72" max="72" width="10.55" hidden="false" outlineLevel="1" customWidth="1"/>
    <col min="73" max="73" width="10.55" hidden="false" outlineLevel="1" customWidth="1"/>
    <col min="74" max="74" width="10.55" hidden="false" outlineLevel="1" customWidth="1"/>
    <col min="75" max="75" width="10.55" hidden="false" outlineLevel="1" customWidth="1"/>
    <col min="76" max="76" width="10.55" hidden="false" outlineLevel="1" customWidth="1"/>
    <col min="77" max="77" width="10.55" hidden="false" outlineLevel="1" customWidth="1"/>
    <col min="78" max="78" width="10.55" hidden="false" outlineLevel="1" customWidth="1"/>
    <col min="79" max="79" width="10.55" hidden="false" outlineLevel="1" customWidth="1"/>
    <col min="80" max="80" width="10.55" hidden="false" outlineLevel="1" customWidth="1"/>
    <col min="81" max="81" width="10.55" hidden="false" outlineLevel="1" customWidth="1"/>
    <col min="82" max="82" width="10.55" hidden="false" outlineLevel="1" customWidth="1"/>
    <col min="83" max="83" width="10.55" hidden="false" outlineLevel="1" customWidth="1"/>
    <col min="84" max="84" width="10.55" hidden="false" outlineLevel="1" customWidth="1"/>
    <col min="85" max="85" width="10.55" hidden="false" outlineLevel="1" customWidth="1"/>
    <col min="86" max="86" width="10.55" hidden="false" outlineLevel="1" customWidth="1"/>
    <col min="87" max="87" width="10.55" hidden="false" outlineLevel="1" customWidth="1"/>
    <col min="88" max="88" width="10.55" hidden="false" outlineLevel="1" customWidth="1"/>
    <col min="89" max="89" width="10.55" hidden="false" outlineLevel="1" customWidth="1"/>
    <col min="90" max="90" width="10.55" hidden="false" outlineLevel="1" customWidth="1"/>
    <col min="91" max="91" width="10.55" hidden="false" outlineLevel="1" customWidth="1"/>
    <col min="92" max="92" width="10.55" hidden="false" outlineLevel="1" customWidth="1"/>
    <col min="93" max="93" width="10.55" hidden="false" outlineLevel="1" customWidth="1"/>
    <col min="94" max="94" width="10.55" hidden="false" outlineLevel="1" customWidth="1"/>
    <col min="95" max="95" width="10.55" hidden="false" outlineLevel="1" customWidth="1"/>
    <col min="96" max="96" width="10.55" hidden="false" outlineLevel="1" customWidth="1"/>
    <col min="97" max="97" width="10.55" hidden="false" outlineLevel="1" customWidth="1"/>
    <col min="98" max="98" width="10.55" hidden="false" outlineLevel="1" customWidth="1"/>
    <col min="99" max="99" width="10.55" hidden="false" outlineLevel="1" customWidth="1"/>
    <col min="100" max="100" width="10.55" hidden="false" outlineLevel="1" customWidth="1"/>
    <col min="101" max="101" width="10.55" hidden="false" outlineLevel="1" customWidth="1"/>
    <col min="102" max="102" width="10.55" hidden="false" outlineLevel="1" customWidth="1"/>
    <col min="103" max="103" width="10.55" hidden="false" outlineLevel="1" customWidth="1"/>
    <col min="104" max="104" width="10.55" hidden="false" outlineLevel="1" customWidth="1"/>
    <col min="105" max="105" width="10.55" hidden="false" outlineLevel="1" customWidth="1"/>
    <col min="106" max="106" width="10.55" hidden="false" outlineLevel="1" customWidth="1"/>
    <col min="107" max="107" width="10.55" hidden="false" outlineLevel="1" customWidth="1"/>
    <col min="108" max="108" width="10.55" hidden="false" outlineLevel="1" customWidth="1"/>
    <col min="109" max="109" width="10.55" hidden="false" outlineLevel="1" customWidth="1"/>
    <col min="110" max="110" width="10.55" hidden="false" outlineLevel="1" customWidth="1"/>
    <col min="111" max="111" width="10.55" hidden="false" outlineLevel="1" customWidth="1"/>
    <col min="112" max="112" width="10.55" hidden="false" outlineLevel="1" customWidth="1"/>
    <col min="113" max="113" width="10.55" hidden="false" outlineLevel="1" customWidth="1"/>
    <col min="114" max="114" width="10.55" hidden="false" outlineLevel="1" customWidth="1"/>
    <col min="115" max="115" width="10.55" hidden="false" outlineLevel="1" customWidth="1"/>
    <col min="116" max="116" width="10.55" hidden="false" outlineLevel="1" customWidth="1"/>
    <col min="117" max="117" width="10.55" hidden="false" outlineLevel="1" customWidth="1"/>
    <col min="118" max="118" width="10.55" hidden="false" outlineLevel="1" customWidth="1"/>
    <col min="119" max="119" width="10.55" hidden="false" outlineLevel="1" customWidth="1"/>
    <col min="120" max="120" width="10.55" hidden="false" outlineLevel="1" customWidth="1"/>
    <col min="121" max="121" width="10.55" hidden="false" outlineLevel="1" customWidth="1"/>
    <col min="122" max="122" width="10.55" hidden="false" outlineLevel="1" customWidth="1"/>
    <col min="123" max="123" width="10.55" hidden="false" outlineLevel="1" customWidth="1"/>
    <col min="124" max="124" width="10.55" hidden="false" outlineLevel="1" customWidth="1"/>
    <col min="125" max="125" width="10.55" hidden="false" outlineLevel="1" customWidth="1"/>
    <col min="126" max="126" width="10.55" hidden="false" outlineLevel="1" customWidth="1"/>
    <col min="127" max="127" width="10.55" hidden="false" outlineLevel="1" customWidth="1"/>
    <col min="128" max="128" width="10.55" hidden="false" outlineLevel="1" customWidth="1"/>
    <col min="129" max="129" width="10.55" hidden="false" outlineLevel="1" customWidth="1"/>
    <col min="130" max="130" width="10.55" hidden="false" outlineLevel="1" customWidth="1"/>
    <col min="131" max="131" width="10.55" hidden="false" outlineLevel="1" customWidth="1"/>
    <col min="132" max="132" width="10.55" hidden="false" outlineLevel="1" customWidth="1"/>
    <col min="133" max="133" width="10.55" hidden="false" outlineLevel="1" customWidth="1"/>
    <col min="134" max="134" width="10.55" hidden="false" outlineLevel="1" customWidth="1"/>
    <col min="135" max="135" width="10.55" hidden="false" outlineLevel="1" customWidth="1"/>
    <col min="136" max="136" width="10.55" hidden="false" outlineLevel="1" customWidth="1"/>
    <col min="137" max="137" width="10.55" hidden="false" outlineLevel="1" customWidth="1"/>
    <col min="138" max="138" width="10.55" hidden="false" outlineLevel="1" customWidth="1"/>
    <col min="139" max="139" width="10.55" hidden="false" outlineLevel="1" customWidth="1"/>
    <col min="140" max="140" width="10.55" hidden="false" outlineLevel="1" customWidth="1"/>
    <col min="141" max="141" width="10.55" hidden="false" outlineLevel="1" customWidth="1"/>
    <col min="142" max="142" width="10.55" hidden="false" outlineLevel="1" customWidth="1"/>
    <col min="143" max="143" width="10.55" hidden="false" outlineLevel="1" customWidth="1"/>
    <col min="144" max="144" width="10.55" hidden="false" outlineLevel="1" customWidth="1"/>
    <col min="145" max="145" width="10.55" hidden="false" outlineLevel="1" customWidth="1"/>
    <col min="146" max="146" width="10.55" hidden="false" outlineLevel="1" customWidth="1"/>
    <col min="147" max="147" width="10.55" hidden="false" outlineLevel="1" customWidth="1"/>
    <col min="148" max="148" width="10.55" hidden="false" outlineLevel="1" customWidth="1"/>
    <col min="149" max="149" width="10.55" hidden="false" outlineLevel="1" customWidth="1"/>
    <col min="150" max="150" width="10.55" hidden="false" outlineLevel="1" customWidth="1"/>
    <col min="151" max="151" width="10.55" hidden="false" outlineLevel="1" customWidth="1"/>
    <col min="152" max="152" width="10.55" hidden="false" outlineLevel="1" customWidth="1"/>
    <col min="153" max="153" width="10.55" hidden="false" outlineLevel="1" customWidth="1"/>
    <col min="154" max="154" width="10.55" hidden="false" outlineLevel="1" customWidth="1"/>
    <col min="155" max="155" width="10.55" hidden="false" outlineLevel="1" customWidth="1"/>
    <col min="156" max="156" width="10.55" hidden="false" outlineLevel="1" customWidth="1"/>
    <col min="157" max="157" width="10.55" hidden="false" outlineLevel="1" customWidth="1"/>
    <col min="158" max="158" width="10.55" hidden="false" outlineLevel="1" customWidth="1"/>
    <col min="159" max="159" width="10.55" hidden="false" outlineLevel="1" customWidth="1"/>
    <col min="160" max="160" width="10.55" hidden="false" outlineLevel="1" customWidth="1"/>
    <col min="161" max="161" width="10.55" hidden="false" outlineLevel="1" customWidth="1"/>
    <col min="162" max="162" width="10.55" hidden="false" outlineLevel="1" customWidth="1"/>
    <col min="163" max="163" width="10.55" hidden="false" outlineLevel="1" customWidth="1"/>
    <col min="164" max="164" width="10.55" hidden="false" outlineLevel="1" customWidth="1"/>
    <col min="165" max="165" width="10.55" hidden="false" outlineLevel="1" customWidth="1"/>
    <col min="166" max="166" width="10.55" hidden="false" outlineLevel="1" customWidth="1"/>
    <col min="167" max="167" width="10.55" hidden="false" outlineLevel="1" customWidth="1"/>
    <col min="168" max="168" width="10.55" hidden="false" outlineLevel="1" customWidth="1"/>
    <col min="169" max="169" width="10.55" hidden="false" outlineLevel="1" customWidth="1"/>
    <col min="170" max="170" width="10.55" hidden="false" outlineLevel="1" customWidth="1"/>
    <col min="171" max="171" width="10.55" hidden="false" outlineLevel="1" customWidth="1"/>
    <col min="172" max="172" width="10.55" hidden="false" outlineLevel="1" customWidth="1"/>
    <col min="173" max="173" width="10.55" hidden="false" outlineLevel="1" customWidth="1"/>
    <col min="174" max="174" width="10.55" hidden="false" outlineLevel="1" customWidth="1"/>
    <col min="175" max="175" width="10.55" hidden="false" outlineLevel="1" customWidth="1"/>
    <col min="176" max="176" width="10.55" hidden="false" outlineLevel="1" customWidth="1"/>
    <col min="177" max="177" width="10.55" hidden="false" outlineLevel="1" customWidth="1"/>
    <col min="178" max="178" width="10.55" hidden="false" outlineLevel="1" customWidth="1"/>
    <col min="179" max="179" width="10.55" hidden="false" outlineLevel="1" customWidth="1"/>
    <col min="180" max="180" width="10.55" hidden="false" outlineLevel="1" customWidth="1"/>
    <col min="181" max="181" width="10.55" hidden="false" outlineLevel="1" customWidth="1"/>
    <col min="182" max="182" width="10.55" hidden="false" outlineLevel="1" customWidth="1"/>
    <col min="183" max="183" width="10.55" hidden="false" outlineLevel="1" customWidth="1"/>
    <col min="184" max="184" width="10.55" hidden="false" outlineLevel="1" customWidth="1"/>
    <col min="185" max="185" width="10.55" hidden="false" outlineLevel="1" customWidth="1"/>
    <col min="186" max="186" width="10.55" hidden="false" outlineLevel="1" customWidth="1"/>
    <col min="187" max="187" width="10.55" hidden="false" outlineLevel="1" customWidth="1"/>
    <col min="188" max="188" width="10.55" hidden="false" outlineLevel="1" customWidth="1"/>
    <col min="189" max="189" width="10.55" hidden="false" outlineLevel="1" customWidth="1"/>
    <col min="190" max="190" width="10.55" hidden="false" outlineLevel="1" customWidth="1"/>
    <col min="191" max="191" width="10.55" hidden="false" outlineLevel="1" customWidth="1"/>
    <col min="192" max="192" width="10.55" hidden="false" outlineLevel="1" customWidth="1"/>
    <col min="193" max="193" width="10.55" hidden="false" outlineLevel="1" customWidth="1"/>
    <col min="194" max="194" width="10.55" hidden="false" outlineLevel="1" customWidth="1"/>
    <col min="195" max="195" width="10.55" hidden="false" outlineLevel="1" customWidth="1"/>
    <col min="196" max="196" width="10.55" hidden="false" outlineLevel="1" customWidth="1"/>
    <col min="197" max="197" width="10.55" hidden="false" outlineLevel="1" customWidth="1"/>
    <col min="198" max="198" width="10.55" hidden="false" outlineLevel="1" customWidth="1"/>
    <col min="199" max="199" width="10.55" hidden="false" outlineLevel="1" customWidth="1"/>
    <col min="200" max="200" width="10.55" hidden="false" outlineLevel="1" customWidth="1"/>
    <col min="201" max="201" width="10.55" hidden="false" outlineLevel="1" customWidth="1"/>
    <col min="202" max="202" width="10.55" hidden="false" outlineLevel="1" customWidth="1"/>
    <col min="203" max="203" width="10.55" hidden="false" outlineLevel="1" customWidth="1"/>
    <col min="204" max="204" width="10.55" hidden="false" outlineLevel="1" customWidth="1"/>
    <col min="205" max="205" width="10.55" hidden="false" outlineLevel="1" customWidth="1"/>
    <col min="206" max="206" width="10.55" hidden="false" outlineLevel="1" customWidth="1"/>
    <col min="207" max="207" width="10.55" hidden="false" outlineLevel="1" customWidth="1"/>
    <col min="208" max="208" width="10.55" hidden="false" outlineLevel="1" customWidth="1"/>
    <col min="209" max="209" width="10.55" hidden="false" outlineLevel="1" customWidth="1"/>
    <col min="210" max="210" width="10.55" hidden="false" outlineLevel="1" customWidth="1"/>
    <col min="211" max="211" width="10.55" hidden="false" outlineLevel="1" customWidth="1"/>
    <col min="212" max="212" width="10.55" hidden="false" outlineLevel="1" customWidth="1"/>
    <col min="213" max="213" width="10.55" hidden="false" outlineLevel="1" customWidth="1"/>
    <col min="214" max="214" width="10.55" hidden="false" outlineLevel="1" customWidth="1"/>
    <col min="215" max="215" width="10.55" hidden="false" outlineLevel="1" customWidth="1"/>
    <col min="216" max="216" width="10.55" hidden="false" outlineLevel="1" customWidth="1"/>
    <col min="217" max="217" width="10.55" hidden="false" outlineLevel="1" customWidth="1"/>
    <col min="218" max="218" width="10.55" hidden="false" outlineLevel="1" customWidth="1"/>
    <col min="219" max="219" width="10.55" hidden="false" outlineLevel="1" customWidth="1"/>
    <col min="220" max="220" width="10.55" hidden="false" outlineLevel="1" customWidth="1"/>
    <col min="221" max="221" width="10.55" hidden="false" outlineLevel="1" customWidth="1"/>
    <col min="222" max="222" width="10.55" hidden="false" outlineLevel="1" customWidth="1"/>
    <col min="223" max="223" width="10.55" hidden="false" outlineLevel="1" customWidth="1"/>
    <col min="224" max="224" width="10.55" hidden="false" outlineLevel="1" customWidth="1"/>
    <col min="225" max="225" width="10.55" hidden="false" outlineLevel="1" customWidth="1"/>
    <col min="226" max="226" width="10.55" hidden="false" outlineLevel="1" customWidth="1"/>
    <col min="227" max="227" width="10.55" hidden="false" outlineLevel="1" customWidth="1"/>
    <col min="228" max="228" width="10.55" hidden="false" outlineLevel="1" customWidth="1"/>
    <col min="229" max="229" width="10.55" hidden="false" outlineLevel="1" customWidth="1"/>
    <col min="230" max="230" width="10.55" hidden="false" outlineLevel="1" customWidth="1"/>
    <col min="231" max="231" width="10.55" hidden="false" outlineLevel="1" customWidth="1"/>
    <col min="232" max="232" width="10.55" hidden="false" outlineLevel="1" customWidth="1"/>
    <col min="233" max="233" width="10.55" hidden="false" outlineLevel="1" customWidth="1"/>
    <col min="234" max="234" width="10.55" hidden="false" outlineLevel="1" customWidth="1"/>
    <col min="235" max="235" width="10.55" hidden="false" outlineLevel="1" customWidth="1"/>
    <col min="236" max="236" width="10.55" hidden="false" outlineLevel="1" customWidth="1"/>
    <col min="237" max="237" width="10.55" hidden="false" outlineLevel="1" customWidth="1"/>
    <col min="238" max="238" width="10.55" hidden="false" outlineLevel="1" customWidth="1"/>
    <col min="239" max="239" width="10.55" hidden="false" outlineLevel="1" customWidth="1"/>
    <col min="240" max="240" width="10.55" hidden="false" outlineLevel="1" customWidth="1"/>
    <col min="241" max="241" width="10.55" hidden="false" outlineLevel="1" customWidth="1"/>
    <col min="242" max="242" width="10.55" hidden="false" outlineLevel="1" customWidth="1"/>
    <col min="243" max="243" width="10.55" hidden="false" outlineLevel="1" customWidth="1"/>
    <col min="244" max="244" width="10.55" hidden="false" outlineLevel="1" customWidth="1"/>
    <col min="245" max="245" width="10.55" hidden="false" outlineLevel="1" customWidth="1"/>
    <col min="246" max="246" width="10.55" hidden="false" outlineLevel="1" customWidth="1"/>
    <col min="247" max="247" width="10.55" hidden="false" outlineLevel="1" customWidth="1"/>
    <col min="248" max="248" width="10.55" hidden="false" outlineLevel="1" customWidth="1"/>
    <col min="249" max="249" width="10.55" hidden="false" outlineLevel="1" customWidth="1"/>
    <col min="250" max="250" width="10.55" hidden="false" outlineLevel="1" customWidth="1"/>
    <col min="251" max="251" width="10.55" hidden="false" outlineLevel="1" customWidth="1"/>
    <col min="252" max="252" width="10.55" hidden="false" outlineLevel="1" customWidth="1"/>
    <col min="253" max="253" width="10.55" hidden="false" outlineLevel="1" customWidth="1"/>
    <col min="254" max="254" width="10.55" hidden="false" outlineLevel="1" customWidth="1"/>
    <col min="255" max="255" width="10.55" hidden="false" outlineLevel="1" customWidth="1"/>
    <col min="256" max="256" width="10.55" hidden="false" outlineLevel="1" customWidth="1"/>
    <col min="257" max="257" width="10.55" hidden="false" outlineLevel="1" customWidth="1"/>
    <col min="258" max="258" width="10.55" hidden="false" outlineLevel="1" customWidth="1"/>
    <col min="259" max="259" width="10.55" hidden="false" outlineLevel="1" customWidth="1"/>
    <col min="260" max="260" width="10.55" hidden="false" outlineLevel="1" customWidth="1"/>
    <col min="261" max="261" width="10.55" hidden="false" outlineLevel="1" customWidth="1"/>
    <col min="262" max="262" width="10.55" hidden="false" outlineLevel="1" customWidth="1"/>
    <col min="263" max="263" width="10.55" hidden="false" outlineLevel="1" customWidth="1"/>
    <col min="264" max="264" width="10.55" hidden="false" outlineLevel="1" customWidth="1"/>
    <col min="265" max="265" width="10.55" hidden="false" outlineLevel="1" customWidth="1"/>
    <col min="266" max="266" width="10.55" hidden="false" outlineLevel="1" customWidth="1"/>
    <col min="267" max="267" width="10.55" hidden="false" outlineLevel="1" customWidth="1"/>
    <col min="268" max="268" width="10.55" hidden="false" outlineLevel="1" customWidth="1"/>
    <col min="269" max="269" width="10.55" hidden="false" outlineLevel="1" customWidth="1"/>
    <col min="270" max="270" width="10.55" hidden="false" outlineLevel="1" customWidth="1"/>
    <col min="271" max="271" width="10.55" hidden="false" outlineLevel="1" customWidth="1"/>
    <col min="272" max="272" width="10.55" hidden="false" outlineLevel="1" customWidth="1"/>
    <col min="273" max="273" width="10.55" hidden="false" outlineLevel="1" customWidth="1"/>
    <col min="274" max="274" width="10.55" hidden="false" outlineLevel="1" customWidth="1"/>
    <col min="275" max="275" width="10.55" hidden="false" outlineLevel="1" customWidth="1"/>
    <col min="276" max="276" width="10.55" hidden="false" outlineLevel="1" customWidth="1"/>
    <col min="277" max="277" width="10.55" hidden="false" outlineLevel="1" customWidth="1"/>
    <col min="278" max="278" width="10.55" hidden="false" outlineLevel="1" customWidth="1"/>
    <col min="279" max="279" width="10.55" hidden="false" outlineLevel="1" customWidth="1"/>
    <col min="280" max="280" width="10.55" hidden="false" outlineLevel="1" customWidth="1"/>
    <col min="281" max="281" width="10.55" hidden="false" outlineLevel="1" customWidth="1"/>
    <col min="282" max="282" width="10.55" hidden="false" outlineLevel="1" customWidth="1"/>
    <col min="283" max="283" width="10.55" hidden="false" outlineLevel="1" customWidth="1"/>
    <col min="284" max="284" width="10.55" hidden="false" outlineLevel="1" customWidth="1"/>
    <col min="285" max="285" width="10.55" hidden="false" outlineLevel="1" customWidth="1"/>
    <col min="286" max="286" width="10.55" hidden="false" outlineLevel="1" customWidth="1"/>
    <col min="287" max="287" width="10.55" hidden="false" outlineLevel="1" customWidth="1"/>
    <col min="288" max="288" width="10.55" hidden="false" outlineLevel="1" customWidth="1"/>
    <col min="289" max="289" width="10.55" hidden="false" outlineLevel="1" customWidth="1"/>
    <col min="290" max="290" width="10.55" hidden="false" outlineLevel="1" customWidth="1"/>
    <col min="291" max="291" width="10.55" hidden="false" outlineLevel="1" customWidth="1"/>
    <col min="292" max="292" width="10.55" hidden="false" outlineLevel="1" customWidth="1"/>
    <col min="293" max="293" width="10.55" hidden="false" outlineLevel="1" customWidth="1"/>
    <col min="294" max="294" width="10.55" hidden="false" outlineLevel="1" customWidth="1"/>
    <col min="295" max="295" width="10.55" hidden="false" outlineLevel="1" customWidth="1"/>
    <col min="296" max="296" width="10.55" hidden="false" outlineLevel="1" customWidth="1"/>
    <col min="297" max="297" width="10.55" hidden="false" outlineLevel="1" customWidth="1"/>
    <col min="298" max="298" width="10.55" hidden="false" outlineLevel="1" customWidth="1"/>
    <col min="299" max="299" width="10.55" hidden="false" outlineLevel="1" customWidth="1"/>
    <col min="300" max="300" width="10.55" hidden="false" outlineLevel="1" customWidth="1"/>
    <col min="301" max="301" width="10.55" hidden="false" outlineLevel="1" customWidth="1"/>
    <col min="302" max="302" width="10.55" hidden="false" outlineLevel="1" customWidth="1"/>
    <col min="303" max="303" width="10.55" hidden="false" outlineLevel="1" customWidth="1"/>
    <col min="304" max="304" width="10.55" hidden="false" outlineLevel="1" customWidth="1"/>
    <col min="305" max="305" width="10.55" hidden="false" outlineLevel="1" customWidth="1"/>
    <col min="306" max="306" width="10.55" hidden="false" outlineLevel="1" customWidth="1"/>
    <col min="307" max="307" width="10.55" hidden="false" outlineLevel="1" customWidth="1"/>
    <col min="308" max="308" width="10.55" hidden="false" outlineLevel="1" customWidth="1"/>
    <col min="309" max="309" width="10.55" hidden="false" outlineLevel="1" customWidth="1"/>
    <col min="310" max="310" width="10.55" hidden="false" outlineLevel="1" customWidth="1"/>
    <col min="311" max="311" width="10.55" hidden="false" outlineLevel="1" customWidth="1"/>
    <col min="312" max="312" width="10.55" hidden="false" outlineLevel="1" customWidth="1"/>
    <col min="313" max="313" width="10.55" hidden="false" outlineLevel="1" customWidth="1"/>
    <col min="314" max="314" width="10.55" hidden="false" outlineLevel="1" customWidth="1"/>
    <col min="315" max="315" width="10.55" hidden="false" outlineLevel="1" customWidth="1"/>
    <col min="316" max="316" width="10.55" hidden="false" outlineLevel="1" customWidth="1"/>
    <col min="317" max="317" width="10.55" hidden="false" outlineLevel="1" customWidth="1"/>
    <col min="318" max="318" width="10.55" hidden="false" outlineLevel="1" customWidth="1"/>
    <col min="319" max="319" width="10.55" hidden="false" outlineLevel="1" customWidth="1"/>
    <col min="320" max="320" width="10.55" hidden="false" outlineLevel="1" customWidth="1"/>
    <col min="321" max="321" width="10.55" hidden="false" outlineLevel="1" customWidth="1"/>
    <col min="322" max="322" width="10.55" hidden="false" outlineLevel="1" customWidth="1"/>
    <col min="323" max="323" width="10.55" hidden="false" outlineLevel="1" customWidth="1"/>
    <col min="324" max="324" width="10.55" hidden="false" outlineLevel="1" customWidth="1"/>
    <col min="325" max="325" width="10.55" hidden="false" outlineLevel="1" customWidth="1"/>
    <col min="326" max="326" width="10.55" hidden="false" outlineLevel="1" customWidth="1"/>
    <col min="327" max="327" width="10.55" hidden="false" outlineLevel="1" customWidth="1"/>
    <col min="328" max="328" width="10.55" hidden="false" outlineLevel="1" customWidth="1"/>
    <col min="329" max="329" width="10.55" hidden="false" outlineLevel="1" customWidth="1"/>
    <col min="330" max="330" width="10.55" hidden="false" outlineLevel="1" customWidth="1"/>
    <col min="331" max="331" width="10.55" hidden="false" outlineLevel="1" customWidth="1"/>
    <col min="332" max="332" width="10.55" hidden="false" outlineLevel="1" customWidth="1"/>
    <col min="333" max="333" width="10.55" hidden="false" outlineLevel="1" customWidth="1"/>
    <col min="334" max="334" width="10.55" hidden="false" outlineLevel="1" customWidth="1"/>
    <col min="335" max="335" width="10.55" hidden="false" outlineLevel="1" customWidth="1"/>
    <col min="336" max="336" width="10.55" hidden="false" outlineLevel="1" customWidth="1"/>
    <col min="337" max="337" width="10.55" hidden="false" outlineLevel="1" customWidth="1"/>
    <col min="338" max="338" width="10.55" hidden="false" outlineLevel="1" customWidth="1"/>
    <col min="339" max="339" width="10.55" hidden="false" outlineLevel="1" customWidth="1"/>
    <col min="340" max="340" width="10.55" hidden="false" outlineLevel="1" customWidth="1"/>
    <col min="341" max="341" width="10.55" hidden="false" outlineLevel="1" customWidth="1"/>
    <col min="342" max="342" width="10.55" hidden="false" outlineLevel="1" customWidth="1"/>
    <col min="343" max="343" width="10.55" hidden="false" outlineLevel="1" customWidth="1"/>
    <col min="344" max="344" width="10.55" hidden="false" outlineLevel="1" customWidth="1"/>
    <col min="345" max="345" width="10.55" hidden="false" outlineLevel="1" customWidth="1"/>
    <col min="346" max="346" width="10.55" hidden="false" outlineLevel="1" customWidth="1"/>
    <col min="347" max="347" width="10.55" hidden="false" outlineLevel="1" customWidth="1"/>
    <col min="348" max="348" width="10.55" hidden="false" outlineLevel="1" customWidth="1"/>
    <col min="349" max="349" width="10.55" hidden="false" outlineLevel="1" customWidth="1"/>
    <col min="350" max="350" width="10.55" hidden="false" outlineLevel="1" customWidth="1"/>
    <col min="351" max="351" width="10.55" hidden="false" outlineLevel="1" customWidth="1"/>
    <col min="352" max="352" width="10.55" hidden="false" outlineLevel="1" customWidth="1"/>
    <col min="353" max="353" width="10.55" hidden="false" outlineLevel="1" customWidth="1"/>
    <col min="354" max="354" width="10.55" hidden="false" outlineLevel="1" customWidth="1"/>
    <col min="355" max="355" width="10.55" hidden="false" outlineLevel="1" customWidth="1"/>
    <col min="356" max="356" width="10.55" hidden="false" outlineLevel="1" customWidth="1"/>
    <col min="357" max="357" width="10.55" hidden="false" outlineLevel="1" customWidth="1"/>
    <col min="358" max="358" width="10.55" hidden="false" outlineLevel="1" customWidth="1"/>
    <col min="359" max="359" width="10.55" hidden="false" outlineLevel="1" customWidth="1"/>
    <col min="360" max="360" width="10.55" hidden="false" outlineLevel="1" customWidth="1"/>
    <col min="361" max="361" width="10.55" hidden="false" outlineLevel="1" customWidth="1"/>
    <col min="362" max="362" width="10.55" hidden="false" outlineLevel="1" customWidth="1"/>
    <col min="363" max="363" width="10.55" hidden="false" outlineLevel="1" customWidth="1"/>
    <col min="364" max="364" width="10.55" hidden="false" outlineLevel="1" customWidth="1"/>
    <col min="365" max="365" width="10.55" hidden="false" outlineLevel="1" customWidth="1"/>
    <col min="366" max="366" width="10.55" hidden="false" outlineLevel="1" customWidth="1"/>
    <col min="367" max="367" width="10.55" hidden="false" outlineLevel="1" customWidth="1"/>
    <col min="368" max="368" width="10.55" hidden="false" outlineLevel="1" customWidth="1"/>
    <col min="369" max="369" width="10.55" hidden="false" outlineLevel="1" customWidth="1"/>
    <col min="370" max="370" width="10.55" hidden="false" outlineLevel="1" customWidth="1"/>
    <col min="371" max="371" width="10.55" hidden="false" outlineLevel="1" customWidth="1"/>
    <col min="372" max="372" width="10.55" hidden="false" outlineLevel="1" customWidth="1"/>
    <col min="373" max="373" width="10.55" hidden="false" outlineLevel="1" customWidth="1"/>
    <col min="374" max="374" width="10.55" hidden="false" outlineLevel="1" customWidth="1"/>
    <col min="375" max="375" width="10.55" hidden="false" outlineLevel="1" customWidth="1"/>
    <col min="376" max="376" width="10.55" hidden="false" outlineLevel="1" customWidth="1"/>
    <col min="377" max="377" width="10.55" hidden="false" outlineLevel="1" customWidth="1"/>
    <col min="378" max="378" width="10.55" hidden="false" outlineLevel="1" customWidth="1"/>
    <col min="379" max="379" width="10.55" hidden="false" outlineLevel="1" customWidth="1"/>
    <col min="380" max="380" width="10.55" hidden="false" outlineLevel="1" customWidth="1"/>
    <col min="381" max="381" width="10.55" hidden="false" outlineLevel="1" customWidth="1"/>
    <col min="382" max="382" width="10.55" hidden="false" outlineLevel="1" customWidth="1"/>
    <col min="383" max="383" width="10.55" hidden="false" outlineLevel="1" customWidth="1"/>
    <col min="384" max="384" width="10.55" hidden="false" outlineLevel="1" customWidth="1"/>
    <col min="385" max="385" width="10.55" hidden="false" outlineLevel="1" customWidth="1"/>
    <col min="386" max="386" width="10.55" hidden="false" outlineLevel="1" customWidth="1"/>
    <col min="387" max="387" width="10.55" hidden="false" outlineLevel="1" customWidth="1"/>
    <col min="388" max="388" width="10.55" hidden="false" outlineLevel="1" customWidth="1"/>
    <col min="389" max="389" width="10.55" hidden="false" outlineLevel="1" customWidth="1"/>
    <col min="390" max="390" width="10.55" hidden="false" outlineLevel="1" customWidth="1"/>
    <col min="391" max="391" width="10.55" hidden="false" outlineLevel="1" customWidth="1"/>
    <col min="392" max="392" width="10.55" hidden="false" outlineLevel="1" customWidth="1"/>
    <col min="393" max="393" width="10.55" hidden="false" outlineLevel="1" customWidth="1"/>
    <col min="394" max="394" width="10.55" hidden="false" outlineLevel="1" customWidth="1"/>
    <col min="395" max="395" width="10.55" hidden="false" outlineLevel="1" customWidth="1"/>
    <col min="396" max="396" width="10.55" hidden="false" outlineLevel="1" customWidth="1"/>
    <col min="397" max="397" width="10.55" hidden="false" outlineLevel="1" customWidth="1"/>
    <col min="398" max="398" width="10.55" hidden="false" outlineLevel="1" customWidth="1"/>
    <col min="399" max="399" width="10.55" hidden="false" outlineLevel="1" customWidth="1"/>
    <col min="400" max="400" width="10.55" hidden="false" outlineLevel="1" customWidth="1"/>
    <col min="401" max="401" width="10.55" hidden="false" outlineLevel="1" customWidth="1"/>
    <col min="402" max="402" width="10.55" hidden="false" outlineLevel="1" customWidth="1"/>
    <col min="403" max="403" width="10.55" hidden="false" outlineLevel="1" customWidth="1"/>
    <col min="404" max="404" width="10.55" hidden="false" outlineLevel="1" customWidth="1"/>
    <col min="405" max="405" width="10.55" hidden="false" outlineLevel="1" customWidth="1"/>
    <col min="406" max="406" width="10.55" hidden="false" outlineLevel="1" customWidth="1"/>
    <col min="407" max="407" width="10.55" hidden="false" outlineLevel="1" customWidth="1"/>
    <col min="408" max="408" width="10.55" hidden="false" outlineLevel="1" customWidth="1"/>
    <col min="409" max="409" width="10.55" hidden="false" outlineLevel="1" customWidth="1"/>
    <col min="410" max="410" width="10.55" hidden="false" outlineLevel="1" customWidth="1"/>
    <col min="411" max="411" width="10.55" hidden="false" outlineLevel="1" customWidth="1"/>
    <col min="412" max="412" width="10.55" hidden="false" outlineLevel="1" customWidth="1"/>
    <col min="413" max="413" width="10.55" hidden="false" outlineLevel="1" customWidth="1"/>
    <col min="414" max="414" width="10.55" hidden="false" outlineLevel="1" customWidth="1"/>
    <col min="415" max="415" width="10.55" hidden="false" outlineLevel="1" customWidth="1"/>
    <col min="416" max="416" width="10.55" hidden="false" outlineLevel="1" customWidth="1"/>
    <col min="417" max="417" width="10.55" hidden="false" outlineLevel="1" customWidth="1"/>
    <col min="418" max="418" width="10.55" hidden="false" outlineLevel="1" customWidth="1"/>
    <col min="419" max="419" width="10.55" hidden="false" outlineLevel="1" customWidth="1"/>
    <col min="420" max="420" width="10.55" hidden="false" outlineLevel="1" customWidth="1"/>
    <col min="421" max="421" width="10.55" hidden="false" outlineLevel="1" customWidth="1"/>
    <col min="422" max="422" width="10.55" hidden="false" outlineLevel="1" customWidth="1"/>
    <col min="423" max="423" width="10.55" hidden="false" outlineLevel="1" customWidth="1"/>
    <col min="424" max="424" width="10.55" hidden="false" outlineLevel="1" customWidth="1"/>
    <col min="425" max="425" width="10.55" hidden="false" outlineLevel="1" customWidth="1"/>
    <col min="426" max="426" width="10.55" hidden="false" outlineLevel="1" customWidth="1"/>
    <col min="427" max="427" width="10.55" hidden="false" outlineLevel="1" customWidth="1"/>
    <col min="428" max="428" width="10.55" hidden="false" outlineLevel="1" customWidth="1"/>
    <col min="429" max="429" width="10.55" hidden="false" outlineLevel="1" customWidth="1"/>
    <col min="430" max="430" width="10.55" hidden="false" outlineLevel="1" customWidth="1"/>
    <col min="431" max="431" width="10.55" hidden="false" outlineLevel="1" customWidth="1"/>
    <col min="432" max="432" width="10.55" hidden="false" outlineLevel="1" customWidth="1"/>
    <col min="433" max="433" width="10.55" hidden="false" outlineLevel="1" customWidth="1"/>
    <col min="434" max="434" width="10.55" hidden="false" outlineLevel="1" customWidth="1"/>
    <col min="435" max="435" width="10.55" hidden="false" outlineLevel="1" customWidth="1"/>
    <col min="436" max="436" width="10.55" hidden="false" outlineLevel="1" customWidth="1"/>
    <col min="437" max="437" width="10.55" hidden="false" outlineLevel="1" customWidth="1"/>
    <col min="438" max="438" width="10.55" hidden="false" outlineLevel="1" customWidth="1"/>
    <col min="439" max="439" width="10.55" hidden="false" outlineLevel="1" customWidth="1"/>
    <col min="440" max="440" width="10.55" hidden="false" outlineLevel="1" customWidth="1"/>
    <col min="441" max="441" width="10.55" hidden="false" outlineLevel="1" customWidth="1"/>
    <col min="442" max="442" width="10.55" hidden="false" outlineLevel="1" customWidth="1"/>
    <col min="443" max="443" width="10.55" hidden="false" outlineLevel="1" customWidth="1"/>
    <col min="444" max="444" width="10.55" hidden="false" outlineLevel="1" customWidth="1"/>
    <col min="445" max="445" width="10.55" hidden="false" outlineLevel="1" customWidth="1"/>
    <col min="446" max="446" width="10.55" hidden="false" outlineLevel="1" customWidth="1"/>
    <col min="447" max="447" width="10.55" hidden="false" outlineLevel="1" customWidth="1"/>
    <col min="448" max="448" width="10.55" hidden="false" outlineLevel="1" customWidth="1"/>
    <col min="449" max="449" width="10.55" hidden="false" outlineLevel="1" customWidth="1"/>
    <col min="450" max="450" width="10.55" hidden="false" outlineLevel="1" customWidth="1"/>
    <col min="451" max="451" width="10.55" hidden="false" outlineLevel="1" customWidth="1"/>
    <col min="452" max="452" width="10.55" hidden="false" outlineLevel="1" customWidth="1"/>
    <col min="453" max="453" width="10.55" hidden="false" outlineLevel="1" customWidth="1"/>
    <col min="454" max="454" width="10.55" hidden="false" outlineLevel="1" customWidth="1"/>
    <col min="455" max="455" width="10.55" hidden="false" outlineLevel="1" customWidth="1"/>
    <col min="456" max="456" width="10.55" hidden="false" outlineLevel="1" customWidth="1"/>
    <col min="457" max="457" width="10.55" hidden="false" outlineLevel="1" customWidth="1"/>
    <col min="458" max="458" width="10.55" hidden="false" outlineLevel="1" customWidth="1"/>
    <col min="459" max="459" width="10.55" hidden="false" outlineLevel="1" customWidth="1"/>
    <col min="460" max="460" width="10.55" hidden="false" outlineLevel="1" customWidth="1"/>
    <col min="461" max="461" width="10.55" hidden="false" outlineLevel="1" customWidth="1"/>
    <col min="462" max="462" width="10.55" hidden="false" outlineLevel="1" customWidth="1"/>
    <col min="463" max="463" width="10.55" hidden="false" outlineLevel="1" customWidth="1"/>
    <col min="464" max="464" width="10.55" hidden="false" outlineLevel="1" customWidth="1"/>
    <col min="465" max="465" width="10.55" hidden="false" outlineLevel="1" customWidth="1"/>
    <col min="466" max="466" width="10.55" hidden="false" outlineLevel="1" customWidth="1"/>
    <col min="467" max="467" width="10.55" hidden="false" outlineLevel="1" customWidth="1"/>
    <col min="468" max="468" width="10.55" hidden="false" outlineLevel="1" customWidth="1"/>
    <col min="469" max="469" width="10.55" hidden="false" outlineLevel="1" customWidth="1"/>
    <col min="470" max="470" width="10.55" hidden="false" outlineLevel="1" customWidth="1"/>
    <col min="471" max="471" width="10.55" hidden="false" outlineLevel="1" customWidth="1"/>
    <col min="472" max="472" width="10.55" hidden="false" outlineLevel="1" customWidth="1"/>
    <col min="473" max="473" width="10.55" hidden="false" outlineLevel="1" customWidth="1"/>
    <col min="474" max="474" width="10.55" hidden="false" outlineLevel="1" customWidth="1"/>
    <col min="475" max="475" width="10.55" hidden="false" outlineLevel="1" customWidth="1"/>
    <col min="476" max="476" width="10.55" hidden="false" outlineLevel="1" customWidth="1"/>
    <col min="477" max="477" width="10.55" hidden="false" outlineLevel="1" customWidth="1"/>
    <col min="478" max="478" width="10.55" hidden="false" outlineLevel="1" customWidth="1"/>
    <col min="479" max="479" width="10.55" hidden="false" outlineLevel="1" customWidth="1"/>
    <col min="480" max="480" width="10.55" hidden="false" outlineLevel="1" customWidth="1"/>
    <col min="481" max="481" width="10.55" hidden="false" outlineLevel="1" customWidth="1"/>
    <col min="482" max="482" width="10.55" hidden="false" outlineLevel="1" customWidth="1"/>
    <col min="483" max="483" width="10.55" hidden="false" outlineLevel="1" customWidth="1"/>
    <col min="484" max="484" width="10.55" hidden="false" outlineLevel="1" customWidth="1"/>
    <col min="485" max="485" width="10.55" hidden="false" outlineLevel="1" customWidth="1"/>
    <col min="486" max="486" width="10.55" hidden="false" outlineLevel="1" customWidth="1"/>
    <col min="487" max="487" width="10.55" hidden="false" outlineLevel="1" customWidth="1"/>
    <col min="488" max="488" width="10.55" hidden="false" outlineLevel="1" customWidth="1"/>
    <col min="489" max="489" width="10.55" hidden="false" outlineLevel="1" customWidth="1"/>
    <col min="490" max="490" width="10.55" hidden="false" outlineLevel="1" customWidth="1"/>
    <col min="491" max="491" width="10.55" hidden="false" outlineLevel="1" customWidth="1"/>
    <col min="492" max="492" width="10.55" hidden="false" outlineLevel="1" customWidth="1"/>
    <col min="493" max="493" width="10.55" hidden="false" outlineLevel="1" customWidth="1"/>
    <col min="494" max="494" width="10.55" hidden="false" outlineLevel="1" customWidth="1"/>
    <col min="495" max="495" width="10.55" hidden="false" outlineLevel="1" customWidth="1"/>
    <col min="496" max="496" width="10.55" hidden="false" outlineLevel="1" customWidth="1"/>
    <col min="497" max="497" width="10.55" hidden="false" outlineLevel="1" customWidth="1"/>
    <col min="498" max="498" width="10.55" hidden="false" outlineLevel="1" customWidth="1"/>
    <col min="499" max="499" width="10.55" hidden="false" outlineLevel="1" customWidth="1"/>
    <col min="500" max="500" width="10.55" hidden="false" outlineLevel="1" customWidth="1"/>
    <col min="501" max="501" width="10.55" hidden="false" outlineLevel="1" customWidth="1"/>
    <col min="502" max="502" width="10.55" hidden="false" outlineLevel="1" customWidth="1"/>
    <col min="503" max="503" width="10.55" hidden="false" outlineLevel="1" customWidth="1"/>
    <col min="504" max="504" width="10.55" hidden="false" outlineLevel="1" customWidth="1"/>
    <col min="505" max="505" width="10.55" hidden="false" outlineLevel="1" customWidth="1"/>
    <col min="506" max="506" width="10.55" hidden="false" outlineLevel="1" customWidth="1"/>
    <col min="507" max="507" width="10.55" hidden="false" outlineLevel="1" customWidth="1"/>
    <col min="508" max="508" width="10.55" hidden="false" outlineLevel="1" customWidth="1"/>
    <col min="509" max="509" width="10.55" hidden="false" outlineLevel="1" customWidth="1"/>
    <col min="510" max="510" width="10.55" hidden="false" outlineLevel="1" customWidth="1"/>
    <col min="511" max="511" width="10.55" hidden="false" outlineLevel="1" customWidth="1"/>
    <col min="512" max="512" width="10.55" hidden="false" outlineLevel="1" customWidth="1"/>
    <col min="513" max="513" width="10.55" hidden="false" outlineLevel="1" customWidth="1"/>
    <col min="514" max="514" width="10.55" hidden="false" outlineLevel="1" customWidth="1"/>
    <col min="515" max="515" width="10.55" hidden="false" outlineLevel="1" customWidth="1"/>
    <col min="516" max="516" width="10.55" hidden="false" outlineLevel="1" customWidth="1"/>
    <col min="517" max="517" width="10.55" hidden="false" outlineLevel="1" customWidth="1"/>
    <col min="518" max="518" width="10.55" hidden="false" outlineLevel="1" customWidth="1"/>
    <col min="519" max="519" width="10.55" hidden="false" outlineLevel="1" customWidth="1"/>
    <col min="520" max="520" width="10.55" hidden="false" outlineLevel="1" customWidth="1"/>
    <col min="521" max="521" width="10.55" hidden="false" outlineLevel="1" customWidth="1"/>
    <col min="522" max="522" width="10.55" hidden="false" outlineLevel="1" customWidth="1"/>
    <col min="523" max="523" width="10.55" hidden="false" outlineLevel="1" customWidth="1"/>
    <col min="524" max="524" width="10.55" hidden="false" outlineLevel="1" customWidth="1"/>
    <col min="525" max="525" width="10.55" hidden="false" outlineLevel="1" customWidth="1"/>
    <col min="526" max="526" width="10.55" hidden="false" outlineLevel="1" customWidth="1"/>
    <col min="527" max="527" width="10.55" hidden="false" outlineLevel="1" customWidth="1"/>
    <col min="528" max="528" width="10.55" hidden="false" outlineLevel="1" customWidth="1"/>
    <col min="529" max="529" width="10.55" hidden="false" outlineLevel="1" customWidth="1"/>
    <col min="530" max="530" width="10.55" hidden="false" outlineLevel="1" customWidth="1"/>
    <col min="531" max="531" width="10.55" hidden="false" outlineLevel="1" customWidth="1"/>
    <col min="532" max="532" width="10.55" hidden="false" outlineLevel="1" customWidth="1"/>
    <col min="533" max="533" width="10.55" hidden="false" outlineLevel="1" customWidth="1"/>
    <col min="534" max="534" width="10.55" hidden="false" outlineLevel="1" customWidth="1"/>
    <col min="535" max="535" width="10.55" hidden="false" outlineLevel="1" customWidth="1"/>
    <col min="536" max="536" width="10.55" hidden="false" outlineLevel="1" customWidth="1"/>
    <col min="537" max="537" width="10.55" hidden="false" outlineLevel="1" customWidth="1"/>
    <col min="538" max="538" width="10.55" hidden="false" outlineLevel="1" customWidth="1"/>
    <col min="539" max="539" width="10.55" hidden="false" outlineLevel="1" customWidth="1"/>
    <col min="540" max="540" width="10.55" hidden="false" outlineLevel="1" customWidth="1"/>
    <col min="541" max="541" width="10.55" hidden="false" outlineLevel="1" customWidth="1"/>
    <col min="542" max="542" width="10.55" hidden="false" outlineLevel="1" customWidth="1"/>
    <col min="543" max="543" width="10.55" hidden="false" outlineLevel="1" customWidth="1"/>
    <col min="544" max="544" width="10.55" hidden="false" outlineLevel="1" customWidth="1"/>
    <col min="545" max="545" width="10.55" hidden="false" outlineLevel="1" customWidth="1"/>
    <col min="546" max="546" width="10.55" hidden="false" outlineLevel="1" customWidth="1"/>
    <col min="547" max="547" width="10.55" hidden="false" outlineLevel="1" customWidth="1"/>
    <col min="548" max="548" width="10.55" hidden="false" outlineLevel="1" customWidth="1"/>
    <col min="549" max="549" width="10.55" hidden="false" outlineLevel="1" customWidth="1"/>
    <col min="550" max="550" width="10.55" hidden="false" outlineLevel="1" customWidth="1"/>
    <col min="551" max="551" width="10.55" hidden="false" outlineLevel="1" customWidth="1"/>
    <col min="552" max="552" width="10.55" hidden="false" outlineLevel="1" customWidth="1"/>
    <col min="553" max="553" width="10.55" hidden="false" outlineLevel="1" customWidth="1"/>
    <col min="554" max="554" width="10.55" hidden="false" outlineLevel="1" customWidth="1"/>
    <col min="555" max="555" width="10.55" hidden="false" outlineLevel="1" customWidth="1"/>
    <col min="556" max="556" width="10.55" hidden="false" outlineLevel="1" customWidth="1"/>
    <col min="557" max="557" width="10.55" hidden="false" outlineLevel="1" customWidth="1"/>
    <col min="558" max="558" width="10.55" hidden="false" outlineLevel="1" customWidth="1"/>
    <col min="559" max="559" width="10.55" hidden="false" outlineLevel="1" customWidth="1"/>
    <col min="560" max="560" width="10.55" hidden="false" outlineLevel="1" customWidth="1"/>
    <col min="561" max="561" width="10.55" hidden="false" outlineLevel="1" customWidth="1"/>
    <col min="562" max="562" width="10.55" hidden="false" outlineLevel="1" customWidth="1"/>
    <col min="563" max="563" width="10.55" hidden="false" outlineLevel="1" customWidth="1"/>
    <col min="564" max="564" width="10.55" hidden="false" outlineLevel="1" customWidth="1"/>
    <col min="565" max="565" width="10.55" hidden="false" outlineLevel="1" customWidth="1"/>
    <col min="566" max="566" width="10.55" hidden="false" outlineLevel="1" customWidth="1"/>
    <col min="567" max="567" width="10.55" hidden="false" outlineLevel="1" customWidth="1"/>
    <col min="568" max="568" width="10.55" hidden="false" outlineLevel="1" customWidth="1"/>
    <col min="569" max="569" width="10.55" hidden="false" outlineLevel="1" customWidth="1"/>
    <col min="570" max="570" width="10.55" hidden="false" outlineLevel="1" customWidth="1"/>
    <col min="571" max="571" width="10.55" hidden="false" outlineLevel="1" customWidth="1"/>
    <col min="572" max="572" width="10.55" hidden="false" outlineLevel="1" customWidth="1"/>
    <col min="573" max="573" width="10.55" hidden="false" outlineLevel="1" customWidth="1"/>
    <col min="574" max="574" width="10.55" hidden="false" outlineLevel="1" customWidth="1"/>
    <col min="575" max="575" width="10.55" hidden="false" outlineLevel="1" customWidth="1"/>
    <col min="576" max="576" width="10.55" hidden="false" outlineLevel="1" customWidth="1"/>
    <col min="577" max="577" width="10.55" hidden="false" outlineLevel="1" customWidth="1"/>
    <col min="578" max="578" width="10.55" hidden="false" outlineLevel="1" customWidth="1"/>
    <col min="579" max="579" width="10.55" hidden="false" outlineLevel="1" customWidth="1"/>
    <col min="580" max="580" width="10.55" hidden="false" outlineLevel="1" customWidth="1"/>
    <col min="581" max="581" width="10.55" hidden="false" outlineLevel="1" customWidth="1"/>
    <col min="582" max="582" width="10.55" hidden="false" outlineLevel="1" customWidth="1"/>
    <col min="583" max="583" width="10.55" hidden="false" outlineLevel="1" customWidth="1"/>
    <col min="584" max="584" width="10.55" hidden="false" outlineLevel="1" customWidth="1"/>
    <col min="585" max="585" width="10.55" hidden="false" outlineLevel="1" customWidth="1"/>
    <col min="586" max="586" width="10.55" hidden="false" outlineLevel="1" customWidth="1"/>
    <col min="587" max="587" width="10.55" hidden="false" outlineLevel="1" customWidth="1"/>
    <col min="588" max="588" width="10.55" hidden="false" outlineLevel="1" customWidth="1"/>
    <col min="589" max="589" width="10.55" hidden="false" outlineLevel="1" customWidth="1"/>
    <col min="590" max="590" width="10.55" hidden="false" outlineLevel="1" customWidth="1"/>
    <col min="591" max="591" width="10.55" hidden="false" outlineLevel="1" customWidth="1"/>
    <col min="592" max="592" width="10.55" hidden="false" outlineLevel="1" customWidth="1"/>
    <col min="593" max="593" width="10.55" hidden="false" outlineLevel="1" customWidth="1"/>
    <col min="594" max="594" width="10.55" hidden="false" outlineLevel="1" customWidth="1"/>
    <col min="595" max="595" width="10.55" hidden="false" outlineLevel="1" customWidth="1"/>
    <col min="596" max="596" width="10.55" hidden="false" outlineLevel="1" customWidth="1"/>
    <col min="597" max="597" width="10.55" hidden="false" outlineLevel="1" customWidth="1"/>
    <col min="598" max="598" width="10.55" hidden="false" outlineLevel="1" customWidth="1"/>
    <col min="599" max="599" width="10.55" hidden="false" outlineLevel="1" customWidth="1"/>
    <col min="600" max="600" width="10.55" hidden="false" outlineLevel="1" customWidth="1"/>
    <col min="601" max="601" width="10.55" hidden="false" outlineLevel="1" customWidth="1"/>
    <col min="602" max="602" width="10.55" hidden="false" outlineLevel="1" customWidth="1"/>
    <col min="603" max="603" width="10.55" hidden="false" outlineLevel="1" customWidth="1"/>
    <col min="604" max="604" width="10.55" hidden="false" outlineLevel="1" customWidth="1"/>
    <col min="605" max="605" width="10.55" hidden="false" outlineLevel="1" customWidth="1"/>
    <col min="606" max="606" width="10.55" hidden="false" outlineLevel="1" customWidth="1"/>
    <col min="607" max="607" width="10.55" hidden="false" outlineLevel="1" customWidth="1"/>
    <col min="608" max="608" width="10.55" hidden="false" outlineLevel="1" customWidth="1"/>
    <col min="609" max="609" width="10.55" hidden="false" outlineLevel="1" customWidth="1"/>
    <col min="610" max="610" width="10.55" hidden="false" outlineLevel="1" customWidth="1"/>
    <col min="611" max="611" width="10.55" hidden="false" outlineLevel="1" customWidth="1"/>
    <col min="612" max="612" width="10.55" hidden="false" outlineLevel="1" customWidth="1"/>
    <col min="613" max="613" width="10.55" hidden="false" outlineLevel="1" customWidth="1"/>
    <col min="614" max="614" width="10.55" hidden="false" outlineLevel="1" customWidth="1"/>
    <col min="615" max="615" width="10.55" hidden="false" outlineLevel="1" customWidth="1"/>
    <col min="616" max="616" width="10.55" hidden="false" outlineLevel="1" customWidth="1"/>
    <col min="617" max="617" width="10.55" hidden="false" outlineLevel="1" customWidth="1"/>
    <col min="618" max="618" width="10.55" hidden="false" outlineLevel="1" customWidth="1"/>
    <col min="619" max="619" width="10.55" hidden="false" outlineLevel="1" customWidth="1"/>
    <col min="620" max="620" width="10.55" hidden="false" outlineLevel="1" customWidth="1"/>
    <col min="621" max="621" width="10.55" hidden="false" outlineLevel="1" customWidth="1"/>
    <col min="622" max="622" width="10.55" hidden="false" outlineLevel="1" customWidth="1"/>
    <col min="623" max="623" width="10.55" hidden="false" outlineLevel="1" customWidth="1"/>
    <col min="624" max="624" width="10.55" hidden="false" outlineLevel="1" customWidth="1"/>
    <col min="625" max="625" width="10.55" hidden="false" outlineLevel="1" customWidth="1"/>
    <col min="626" max="626" width="10.55" hidden="false" outlineLevel="1" customWidth="1"/>
    <col min="627" max="627" width="10.55" hidden="false" outlineLevel="1" customWidth="1"/>
    <col min="628" max="628" width="10.55" hidden="false" outlineLevel="1" customWidth="1"/>
    <col min="629" max="629" width="10.55" hidden="false" outlineLevel="1" customWidth="1"/>
    <col min="630" max="630" width="10.55" hidden="false" outlineLevel="1" customWidth="1"/>
    <col min="631" max="631" width="10.55" hidden="false" outlineLevel="1" customWidth="1"/>
    <col min="632" max="632" width="10.55" hidden="false" outlineLevel="1" customWidth="1"/>
    <col min="633" max="633" width="10.55" hidden="false" outlineLevel="1" customWidth="1"/>
    <col min="634" max="634" width="10.55" hidden="false" outlineLevel="1" customWidth="1"/>
    <col min="635" max="635" width="10.55" hidden="false" outlineLevel="1" customWidth="1"/>
    <col min="636" max="636" width="10.55" hidden="false" outlineLevel="1" customWidth="1"/>
    <col min="637" max="637" width="10.55" hidden="false" outlineLevel="1" customWidth="1"/>
    <col min="638" max="638" width="10.55" hidden="false" outlineLevel="1" customWidth="1"/>
    <col min="639" max="639" width="10.55" hidden="false" outlineLevel="1" customWidth="1"/>
    <col min="640" max="640" width="10.55" hidden="false" outlineLevel="1" customWidth="1"/>
    <col min="641" max="641" width="10.55" hidden="false" outlineLevel="1" customWidth="1"/>
    <col min="642" max="642" width="10.55" hidden="false" outlineLevel="1" customWidth="1"/>
    <col min="643" max="643" width="10.55" hidden="false" outlineLevel="1" customWidth="1"/>
    <col min="644" max="644" width="10.55" hidden="false" outlineLevel="1" customWidth="1"/>
    <col min="645" max="645" width="10.55" hidden="false" outlineLevel="1" customWidth="1"/>
    <col min="646" max="646" width="10.55" hidden="false" outlineLevel="1" customWidth="1"/>
    <col min="647" max="647" width="10.55" hidden="false" outlineLevel="1" customWidth="1"/>
    <col min="648" max="648" width="10.55" hidden="false" outlineLevel="1" customWidth="1"/>
    <col min="649" max="649" width="10.55" hidden="false" outlineLevel="1" customWidth="1"/>
    <col min="650" max="650" width="10.55" hidden="false" outlineLevel="1" customWidth="1"/>
    <col min="651" max="651" width="10.55" hidden="false" outlineLevel="1" customWidth="1"/>
    <col min="652" max="652" width="10.55" hidden="false" outlineLevel="1" customWidth="1"/>
    <col min="653" max="653" width="10.55" hidden="false" outlineLevel="1" customWidth="1"/>
    <col min="654" max="654" width="10.55" hidden="false" outlineLevel="1" customWidth="1"/>
    <col min="655" max="655" width="10.55" hidden="false" outlineLevel="1" customWidth="1"/>
    <col min="656" max="656" width="10.55" hidden="false" outlineLevel="1" customWidth="1"/>
    <col min="657" max="657" width="10.55" hidden="false" outlineLevel="1" customWidth="1"/>
    <col min="658" max="658" width="10.55" hidden="false" outlineLevel="1" customWidth="1"/>
    <col min="659" max="659" width="10.55" hidden="false" outlineLevel="1" customWidth="1"/>
    <col min="660" max="660" width="10.55" hidden="false" outlineLevel="1" customWidth="1"/>
    <col min="661" max="661" width="10.55" hidden="false" outlineLevel="1" customWidth="1"/>
    <col min="662" max="662" width="10.55" hidden="false" outlineLevel="1" customWidth="1"/>
    <col min="663" max="663" width="10.55" hidden="false" outlineLevel="1" customWidth="1"/>
    <col min="664" max="664" width="10.55" hidden="false" outlineLevel="1" customWidth="1"/>
    <col min="665" max="665" width="10.55" hidden="false" outlineLevel="1" customWidth="1"/>
    <col min="666" max="666" width="10.55" hidden="false" outlineLevel="1" customWidth="1"/>
    <col min="667" max="667" width="10.55" hidden="false" outlineLevel="1" customWidth="1"/>
    <col min="668" max="668" width="10.55" hidden="false" outlineLevel="1" customWidth="1"/>
    <col min="669" max="669" width="10.55" hidden="false" outlineLevel="1" customWidth="1"/>
    <col min="670" max="670" width="10.55" hidden="false" outlineLevel="1" customWidth="1"/>
    <col min="671" max="671" width="10.55" hidden="false" outlineLevel="1" customWidth="1"/>
    <col min="672" max="672" width="10.55" hidden="false" outlineLevel="1" customWidth="1"/>
    <col min="673" max="673" width="10.55" hidden="false" outlineLevel="1" customWidth="1"/>
    <col min="674" max="674" width="10.55" hidden="false" outlineLevel="1" customWidth="1"/>
    <col min="675" max="675" width="10.55" hidden="false" outlineLevel="1" customWidth="1"/>
    <col min="676" max="676" width="10.55" hidden="false" outlineLevel="1" customWidth="1"/>
    <col min="677" max="677" width="10.55" hidden="false" outlineLevel="1" customWidth="1"/>
    <col min="678" max="678" width="10.55" hidden="false" outlineLevel="1" customWidth="1"/>
    <col min="679" max="679" width="10.55" hidden="false" outlineLevel="1" customWidth="1"/>
    <col min="680" max="680" width="10.55" hidden="false" outlineLevel="1" customWidth="1"/>
    <col min="681" max="681" width="10.55" hidden="false" outlineLevel="1" customWidth="1"/>
    <col min="682" max="682" width="10.55" hidden="false" outlineLevel="1" customWidth="1"/>
    <col min="683" max="683" width="10.55" hidden="false" outlineLevel="1" customWidth="1"/>
    <col min="684" max="684" width="10.55" hidden="false" outlineLevel="1" customWidth="1"/>
    <col min="685" max="685" width="10.55" hidden="false" outlineLevel="1" customWidth="1"/>
    <col min="686" max="686" width="10.55" hidden="false" outlineLevel="1" customWidth="1"/>
    <col min="687" max="687" width="10.55" hidden="false" outlineLevel="1" customWidth="1"/>
    <col min="688" max="688" width="10.55" hidden="false" outlineLevel="1" customWidth="1"/>
    <col min="689" max="689" width="10.55" hidden="false" outlineLevel="1" customWidth="1"/>
    <col min="690" max="690" width="10.55" hidden="false" outlineLevel="1" customWidth="1"/>
    <col min="691" max="691" width="10.55" hidden="false" outlineLevel="1" customWidth="1"/>
    <col min="692" max="692" width="10.55" hidden="false" outlineLevel="1" customWidth="1"/>
    <col min="693" max="693" width="10.55" hidden="false" outlineLevel="1" customWidth="1"/>
    <col min="694" max="694" width="10.55" hidden="false" outlineLevel="1" customWidth="1"/>
    <col min="695" max="695" width="10.55" hidden="false" outlineLevel="1" customWidth="1"/>
    <col min="696" max="696" width="10.55" hidden="false" outlineLevel="1" customWidth="1"/>
    <col min="697" max="697" width="10.55" hidden="false" outlineLevel="1" customWidth="1"/>
    <col min="698" max="698" width="10.55" hidden="false" outlineLevel="1" customWidth="1"/>
    <col min="699" max="699" width="10.55" hidden="false" outlineLevel="1" customWidth="1"/>
    <col min="700" max="700" width="10.55" hidden="false" outlineLevel="1" customWidth="1"/>
    <col min="701" max="701" width="10.55" hidden="false" outlineLevel="1" customWidth="1"/>
    <col min="702" max="702" width="10.55" hidden="false" outlineLevel="1" customWidth="1"/>
    <col min="703" max="703" width="10.55" hidden="false" outlineLevel="1" customWidth="1"/>
    <col min="704" max="704" width="10.55" hidden="false" outlineLevel="1" customWidth="1"/>
    <col min="705" max="705" width="10.55" hidden="false" outlineLevel="1" customWidth="1"/>
    <col min="706" max="706" width="10.55" hidden="false" outlineLevel="1" customWidth="1"/>
    <col min="707" max="707" width="10.55" hidden="false" outlineLevel="1" customWidth="1"/>
    <col min="708" max="708" width="10.55" hidden="false" outlineLevel="1" customWidth="1"/>
    <col min="709" max="709" width="10.55" hidden="false" outlineLevel="1" customWidth="1"/>
    <col min="710" max="710" width="10.55" hidden="false" outlineLevel="1" customWidth="1"/>
    <col min="711" max="711" width="10.55" hidden="false" outlineLevel="1" customWidth="1"/>
    <col min="712" max="712" width="10.55" hidden="false" outlineLevel="1" customWidth="1"/>
    <col min="713" max="713" width="10.55" hidden="false" outlineLevel="1" customWidth="1"/>
    <col min="714" max="714" width="10.55" hidden="false" outlineLevel="1" customWidth="1"/>
    <col min="715" max="715" width="10.55" hidden="false" outlineLevel="1" customWidth="1"/>
    <col min="716" max="716" width="10.55" hidden="false" outlineLevel="1" customWidth="1"/>
    <col min="717" max="717" width="10.55" hidden="false" outlineLevel="1" customWidth="1"/>
    <col min="718" max="718" width="10.55" hidden="false" outlineLevel="1" customWidth="1"/>
    <col min="719" max="719" width="10.55" hidden="false" outlineLevel="1" customWidth="1"/>
    <col min="720" max="720" width="10.55" hidden="false" outlineLevel="1" customWidth="1"/>
    <col min="721" max="721" width="10.55" hidden="false" outlineLevel="1" customWidth="1"/>
    <col min="722" max="722" width="10.55" hidden="false" outlineLevel="1" customWidth="1"/>
    <col min="723" max="723" width="10.55" hidden="false" outlineLevel="1" customWidth="1"/>
    <col min="724" max="724" width="10.55" hidden="false" outlineLevel="1" customWidth="1"/>
    <col min="725" max="725" width="10.55" hidden="false" outlineLevel="1" customWidth="1"/>
    <col min="726" max="726" width="10.55" hidden="false" outlineLevel="1" customWidth="1"/>
    <col min="727" max="727" width="10.55" hidden="false" outlineLevel="1" customWidth="1"/>
    <col min="728" max="728" width="10.55" hidden="false" outlineLevel="1" customWidth="1"/>
    <col min="729" max="729" width="10.55" hidden="false" outlineLevel="1" customWidth="1"/>
    <col min="730" max="730" width="10.55" hidden="false" outlineLevel="1" customWidth="1"/>
    <col min="731" max="731" width="10.55" hidden="false" outlineLevel="1" customWidth="1"/>
    <col min="732" max="732" width="10.55" hidden="false" outlineLevel="1" customWidth="1"/>
    <col min="733" max="733" width="10.55" hidden="false" outlineLevel="1" customWidth="1"/>
    <col min="734" max="734" width="10.55" hidden="false" outlineLevel="1" customWidth="1"/>
    <col min="735" max="735" width="10.55" hidden="false" outlineLevel="1" customWidth="1"/>
    <col min="736" max="736" width="10.55" hidden="false" outlineLevel="1" customWidth="1"/>
    <col min="737" max="737" width="10.55" hidden="false" outlineLevel="1" customWidth="1"/>
    <col min="738" max="738" width="10.55" hidden="false" outlineLevel="1" customWidth="1"/>
    <col min="739" max="739" width="10.55" hidden="false" outlineLevel="1" customWidth="1"/>
    <col min="740" max="740" width="10.55" hidden="false" outlineLevel="1" customWidth="1"/>
    <col min="741" max="741" width="10.55" hidden="false" outlineLevel="1" customWidth="1"/>
    <col min="742" max="742" width="10.55" hidden="false" outlineLevel="1" customWidth="1"/>
    <col min="743" max="743" width="10.55" hidden="false" outlineLevel="1" customWidth="1"/>
    <col min="744" max="744" width="10.55" hidden="false" outlineLevel="1" customWidth="1"/>
    <col min="745" max="745" width="10.55" hidden="false" outlineLevel="1" customWidth="1"/>
    <col min="746" max="746" width="10.55" hidden="false" outlineLevel="1" customWidth="1"/>
    <col min="747" max="747" width="10.55" hidden="false" outlineLevel="1" customWidth="1"/>
    <col min="748" max="748" width="10.55" hidden="false" outlineLevel="1" customWidth="1"/>
    <col min="749" max="749" width="10.55" hidden="false" outlineLevel="1" customWidth="1"/>
    <col min="750" max="750" width="10.55" hidden="false" outlineLevel="1" customWidth="1"/>
    <col min="751" max="751" width="10.55" hidden="false" outlineLevel="1" customWidth="1"/>
    <col min="752" max="752" width="10.55" hidden="false" outlineLevel="1" customWidth="1"/>
    <col min="753" max="753" width="10.55" hidden="false" outlineLevel="1" customWidth="1"/>
    <col min="754" max="754" width="10.55" hidden="false" outlineLevel="1" customWidth="1"/>
    <col min="755" max="755" width="10.55" hidden="false" outlineLevel="1" customWidth="1"/>
    <col min="756" max="756" width="10.55" hidden="false" outlineLevel="1" customWidth="1"/>
    <col min="757" max="757" width="10.55" hidden="false" outlineLevel="1" customWidth="1"/>
    <col min="758" max="758" width="10.55" hidden="false" outlineLevel="1" customWidth="1"/>
    <col min="759" max="759" width="10.55" hidden="false" outlineLevel="1" customWidth="1"/>
    <col min="760" max="760" width="10.55" hidden="false" outlineLevel="1" customWidth="1"/>
    <col min="761" max="761" width="10.55" hidden="false" outlineLevel="1" customWidth="1"/>
    <col min="762" max="762" width="10.55" hidden="false" outlineLevel="1" customWidth="1"/>
    <col min="763" max="763" width="10.55" hidden="false" outlineLevel="1" customWidth="1"/>
    <col min="764" max="764" width="10.55" hidden="false" outlineLevel="1" customWidth="1"/>
    <col min="765" max="765" width="10.55" hidden="false" outlineLevel="1" customWidth="1"/>
    <col min="766" max="766" width="10.55" hidden="false" outlineLevel="1" customWidth="1"/>
    <col min="767" max="767" width="10.55" hidden="false" outlineLevel="1" customWidth="1"/>
    <col min="768" max="768" width="10.55" hidden="false" outlineLevel="1" customWidth="1"/>
    <col min="769" max="769" width="10.55" hidden="false" outlineLevel="1" customWidth="1"/>
    <col min="770" max="770" width="10.55" hidden="false" outlineLevel="1" customWidth="1"/>
    <col min="771" max="771" width="10.55" hidden="false" outlineLevel="1" customWidth="1"/>
    <col min="772" max="772" width="10.55" hidden="false" outlineLevel="1" customWidth="1"/>
    <col min="773" max="773" width="10.55" hidden="false" outlineLevel="1" customWidth="1"/>
    <col min="774" max="774" width="10.55" hidden="false" outlineLevel="1" customWidth="1"/>
    <col min="775" max="775" width="10.55" hidden="false" outlineLevel="1" customWidth="1"/>
    <col min="776" max="776" width="10.55" hidden="false" outlineLevel="1" customWidth="1"/>
    <col min="777" max="777" width="10.55" hidden="false" outlineLevel="1" customWidth="1"/>
    <col min="778" max="778" width="10.55" hidden="false" outlineLevel="1" customWidth="1"/>
    <col min="779" max="779" width="10.55" hidden="false" outlineLevel="1" customWidth="1"/>
    <col min="780" max="780" width="10.55" hidden="false" outlineLevel="1" customWidth="1"/>
    <col min="781" max="781" width="10.55" hidden="false" outlineLevel="1" customWidth="1"/>
    <col min="782" max="782" width="10.55" hidden="false" outlineLevel="1" customWidth="1"/>
    <col min="783" max="783" width="10.55" hidden="false" outlineLevel="1" customWidth="1"/>
    <col min="784" max="784" width="10.55" hidden="false" outlineLevel="1" customWidth="1"/>
    <col min="785" max="785" width="10.55" hidden="false" outlineLevel="1" customWidth="1"/>
    <col min="786" max="786" width="10.55" hidden="false" outlineLevel="1" customWidth="1"/>
    <col min="787" max="787" width="10.55" hidden="false" outlineLevel="1" customWidth="1"/>
    <col min="788" max="788" width="10.55" hidden="false" outlineLevel="1" customWidth="1"/>
    <col min="789" max="789" width="10.55" hidden="false" outlineLevel="1" customWidth="1"/>
    <col min="790" max="790" width="10.55" hidden="false" outlineLevel="1" customWidth="1"/>
    <col min="791" max="791" width="10.55" hidden="false" outlineLevel="1" customWidth="1"/>
    <col min="792" max="792" width="10.55" hidden="false" outlineLevel="1" customWidth="1"/>
    <col min="793" max="793" width="10.55" hidden="false" outlineLevel="1" customWidth="1"/>
    <col min="794" max="794" width="10.55" hidden="false" outlineLevel="1" customWidth="1"/>
    <col min="795" max="795" width="10.55" hidden="false" outlineLevel="1" customWidth="1"/>
    <col min="796" max="796" width="10.55" hidden="false" outlineLevel="1" customWidth="1"/>
    <col min="797" max="797" width="10.55" hidden="false" outlineLevel="1" customWidth="1"/>
    <col min="798" max="798" width="10.55" hidden="false" outlineLevel="1" customWidth="1"/>
    <col min="799" max="799" width="10.55" hidden="false" outlineLevel="1" customWidth="1"/>
    <col min="800" max="800" width="10.55" hidden="false" outlineLevel="1" customWidth="1"/>
    <col min="801" max="801" width="10.55" hidden="false" outlineLevel="1" customWidth="1"/>
    <col min="802" max="802" width="10.55" hidden="false" outlineLevel="1" customWidth="1"/>
    <col min="803" max="803" width="10.55" hidden="false" outlineLevel="1" customWidth="1"/>
    <col min="804" max="804" width="10.55" hidden="false" outlineLevel="1" customWidth="1"/>
    <col min="805" max="805" width="10.55" hidden="false" outlineLevel="1" customWidth="1"/>
    <col min="806" max="806" width="10.55" hidden="false" outlineLevel="1" customWidth="1"/>
    <col min="807" max="807" width="10.55" hidden="false" outlineLevel="1" customWidth="1"/>
    <col min="808" max="808" width="10.55" hidden="false" outlineLevel="1" customWidth="1"/>
    <col min="809" max="809" width="10.55" hidden="false" outlineLevel="1" customWidth="1"/>
    <col min="810" max="810" width="10.55" hidden="false" outlineLevel="1" customWidth="1"/>
    <col min="811" max="811" width="10.55" hidden="false" outlineLevel="1" customWidth="1"/>
    <col min="812" max="812" width="10.55" hidden="false" outlineLevel="1" customWidth="1"/>
    <col min="813" max="813" width="10.55" hidden="false" outlineLevel="1" customWidth="1"/>
    <col min="814" max="814" width="10.55" hidden="false" outlineLevel="1" customWidth="1"/>
    <col min="815" max="815" width="10.55" hidden="false" outlineLevel="1" customWidth="1"/>
    <col min="816" max="816" width="10.55" hidden="false" outlineLevel="1" customWidth="1"/>
    <col min="817" max="817" width="10.55" hidden="false" outlineLevel="1" customWidth="1"/>
    <col min="818" max="818" width="10.55" hidden="false" outlineLevel="1" customWidth="1"/>
    <col min="819" max="819" width="10.55" hidden="false" outlineLevel="1" customWidth="1"/>
    <col min="820" max="820" width="10.55" hidden="false" outlineLevel="1" customWidth="1"/>
    <col min="821" max="821" width="10.55" hidden="false" outlineLevel="1" customWidth="1"/>
    <col min="822" max="822" width="10.55" hidden="false" outlineLevel="1" customWidth="1"/>
    <col min="823" max="823" width="10.55" hidden="false" outlineLevel="1" customWidth="1"/>
    <col min="824" max="824" width="10.55" hidden="false" outlineLevel="1" customWidth="1"/>
    <col min="825" max="825" width="10.55" hidden="false" outlineLevel="1" customWidth="1"/>
    <col min="826" max="826" width="10.55" hidden="false" outlineLevel="1" customWidth="1"/>
    <col min="827" max="827" width="10.55" hidden="false" outlineLevel="1" customWidth="1"/>
    <col min="828" max="828" width="10.55" hidden="false" outlineLevel="1" customWidth="1"/>
    <col min="829" max="829" width="10.55" hidden="false" outlineLevel="1" customWidth="1"/>
    <col min="830" max="830" width="10.55" hidden="false" outlineLevel="1" customWidth="1"/>
    <col min="831" max="831" width="10.55" hidden="false" outlineLevel="1" customWidth="1"/>
    <col min="832" max="832" width="10.55" hidden="false" outlineLevel="1" customWidth="1"/>
    <col min="833" max="833" width="10.55" hidden="false" outlineLevel="1" customWidth="1"/>
    <col min="834" max="834" width="10.55" hidden="false" outlineLevel="1" customWidth="1"/>
    <col min="835" max="835" width="10.55" hidden="false" outlineLevel="1" customWidth="1"/>
    <col min="836" max="836" width="10.55" hidden="false" outlineLevel="1" customWidth="1"/>
    <col min="837" max="837" width="10.55" hidden="false" outlineLevel="1" customWidth="1"/>
    <col min="838" max="838" width="10.55" hidden="false" outlineLevel="1" customWidth="1"/>
    <col min="839" max="839" width="10.55" hidden="false" outlineLevel="1" customWidth="1"/>
    <col min="840" max="840" width="10.55" hidden="false" outlineLevel="1" customWidth="1"/>
    <col min="841" max="841" width="10.55" hidden="false" outlineLevel="1" customWidth="1"/>
    <col min="842" max="842" width="10.55" hidden="false" outlineLevel="1" customWidth="1"/>
    <col min="843" max="843" width="10.55" hidden="false" outlineLevel="1" customWidth="1"/>
    <col min="844" max="844" width="10.55" hidden="false" outlineLevel="1" customWidth="1"/>
    <col min="845" max="845" width="10.55" hidden="false" outlineLevel="1" customWidth="1"/>
    <col min="846" max="846" width="10.55" hidden="false" outlineLevel="1" customWidth="1"/>
    <col min="847" max="847" width="10.55" hidden="false" outlineLevel="1" customWidth="1"/>
    <col min="848" max="848" width="10.55" hidden="false" outlineLevel="1" customWidth="1"/>
    <col min="849" max="849" width="10.55" hidden="false" outlineLevel="1" customWidth="1"/>
    <col min="850" max="850" width="10.55" hidden="false" outlineLevel="1" customWidth="1"/>
    <col min="851" max="851" width="10.55" hidden="false" outlineLevel="1" customWidth="1"/>
    <col min="852" max="852" width="10.55" hidden="false" outlineLevel="1" customWidth="1"/>
    <col min="853" max="853" width="10.55" hidden="false" outlineLevel="1" customWidth="1"/>
    <col min="854" max="854" width="10.55" hidden="false" outlineLevel="1" customWidth="1"/>
    <col min="855" max="855" width="10.55" hidden="false" outlineLevel="1" customWidth="1"/>
    <col min="856" max="856" width="10.55" hidden="false" outlineLevel="1" customWidth="1"/>
    <col min="857" max="857" width="10.55" hidden="false" outlineLevel="1" customWidth="1"/>
    <col min="858" max="858" width="10.55" hidden="false" outlineLevel="1" customWidth="1"/>
    <col min="859" max="859" width="10.55" hidden="false" outlineLevel="1" customWidth="1"/>
    <col min="860" max="860" width="10.55" hidden="false" outlineLevel="1" customWidth="1"/>
    <col min="861" max="861" width="10.55" hidden="false" outlineLevel="1" customWidth="1"/>
    <col min="862" max="862" width="10.55" hidden="false" outlineLevel="1" customWidth="1"/>
    <col min="863" max="863" width="10.55" hidden="false" outlineLevel="1" customWidth="1"/>
    <col min="864" max="864" width="10.55" hidden="false" outlineLevel="1" customWidth="1"/>
    <col min="865" max="865" width="10.55" hidden="false" outlineLevel="1" customWidth="1"/>
    <col min="866" max="866" width="10.55" hidden="false" outlineLevel="1" customWidth="1"/>
    <col min="867" max="867" width="10.55" hidden="false" outlineLevel="1" customWidth="1"/>
    <col min="868" max="868" width="10.55" hidden="false" outlineLevel="1" customWidth="1"/>
    <col min="869" max="869" width="10.55" hidden="false" outlineLevel="1" customWidth="1"/>
    <col min="870" max="870" width="10.55" hidden="false" outlineLevel="1" customWidth="1"/>
    <col min="871" max="871" width="10.55" hidden="false" outlineLevel="1" customWidth="1"/>
    <col min="872" max="872" width="10.55" hidden="false" outlineLevel="1" customWidth="1"/>
    <col min="873" max="873" width="10.55" hidden="false" outlineLevel="1" customWidth="1"/>
    <col min="874" max="874" width="10.55" hidden="false" outlineLevel="1" customWidth="1"/>
    <col min="875" max="875" width="10.55" hidden="false" outlineLevel="1" customWidth="1"/>
    <col min="876" max="876" width="10.55" hidden="false" outlineLevel="1" customWidth="1"/>
    <col min="877" max="877" width="10.55" hidden="false" outlineLevel="1" customWidth="1"/>
    <col min="878" max="878" width="10.55" hidden="false" outlineLevel="1" customWidth="1"/>
    <col min="879" max="879" width="10.55" hidden="false" outlineLevel="1" customWidth="1"/>
    <col min="880" max="880" width="10.55" hidden="false" outlineLevel="1" customWidth="1"/>
    <col min="881" max="881" width="10.55" hidden="false" outlineLevel="1" customWidth="1"/>
    <col min="882" max="882" width="10.55" hidden="false" outlineLevel="1" customWidth="1"/>
    <col min="883" max="883" width="10.55" hidden="false" outlineLevel="1" customWidth="1"/>
    <col min="884" max="884" width="10.55" hidden="false" outlineLevel="1" customWidth="1"/>
    <col min="885" max="885" width="10.55" hidden="false" outlineLevel="1" customWidth="1"/>
    <col min="886" max="886" width="10.55" hidden="false" outlineLevel="1" customWidth="1"/>
    <col min="887" max="887" width="10.55" hidden="false" outlineLevel="1" customWidth="1"/>
    <col min="888" max="888" width="10.55" hidden="false" outlineLevel="1" customWidth="1"/>
    <col min="889" max="889" width="10.55" hidden="false" outlineLevel="1" customWidth="1"/>
    <col min="890" max="890" width="10.55" hidden="false" outlineLevel="1" customWidth="1"/>
    <col min="891" max="891" width="10.55" hidden="false" outlineLevel="1" customWidth="1"/>
    <col min="892" max="892" width="10.55" hidden="false" outlineLevel="1" customWidth="1"/>
    <col min="893" max="893" width="10.55" hidden="false" outlineLevel="1" customWidth="1"/>
    <col min="894" max="894" width="10.55" hidden="false" outlineLevel="1" customWidth="1"/>
    <col min="895" max="895" width="10.55" hidden="false" outlineLevel="1" customWidth="1"/>
    <col min="896" max="896" width="10.55" hidden="false" outlineLevel="1" customWidth="1"/>
    <col min="897" max="897" width="10.55" hidden="false" outlineLevel="1" customWidth="1"/>
    <col min="898" max="898" width="10.55" hidden="false" outlineLevel="1" customWidth="1"/>
    <col min="899" max="899" width="10.55" hidden="false" outlineLevel="1" customWidth="1"/>
    <col min="900" max="900" width="10.55" hidden="false" outlineLevel="1" customWidth="1"/>
    <col min="901" max="901" width="10.55" hidden="false" outlineLevel="1" customWidth="1"/>
    <col min="902" max="902" width="10.55" hidden="false" outlineLevel="1" customWidth="1"/>
    <col min="903" max="903" width="10.55" hidden="false" outlineLevel="1" customWidth="1"/>
    <col min="904" max="904" width="10.55" hidden="false" outlineLevel="1" customWidth="1"/>
    <col min="905" max="905" width="10.55" hidden="false" outlineLevel="1" customWidth="1"/>
    <col min="906" max="906" width="10.55" hidden="false" outlineLevel="1" customWidth="1"/>
    <col min="907" max="907" width="10.55" hidden="false" outlineLevel="1" customWidth="1"/>
    <col min="908" max="908" width="10.55" hidden="false" outlineLevel="1" customWidth="1"/>
    <col min="909" max="909" width="10.55" hidden="false" outlineLevel="1" customWidth="1"/>
    <col min="910" max="910" width="10.55" hidden="false" outlineLevel="1" customWidth="1"/>
    <col min="911" max="911" width="10.55" hidden="false" outlineLevel="1" customWidth="1"/>
    <col min="912" max="912" width="10.55" hidden="false" outlineLevel="1" customWidth="1"/>
    <col min="913" max="913" width="10.55" hidden="false" outlineLevel="1" customWidth="1"/>
    <col min="914" max="914" width="10.55" hidden="false" outlineLevel="1" customWidth="1"/>
    <col min="915" max="915" width="10.55" hidden="false" outlineLevel="1" customWidth="1"/>
    <col min="916" max="916" width="10.55" hidden="false" outlineLevel="1" customWidth="1"/>
    <col min="917" max="917" width="10.55" hidden="false" outlineLevel="1" customWidth="1"/>
    <col min="918" max="918" width="10.55" hidden="false" outlineLevel="1" customWidth="1"/>
    <col min="919" max="919" width="10.55" hidden="false" outlineLevel="1" customWidth="1"/>
    <col min="920" max="920" width="10.55" hidden="false" outlineLevel="1" customWidth="1"/>
    <col min="921" max="921" width="10.55" hidden="false" outlineLevel="1" customWidth="1"/>
    <col min="922" max="922" width="10.55" hidden="false" outlineLevel="1" customWidth="1"/>
    <col min="923" max="923" width="10.55" hidden="false" outlineLevel="1" customWidth="1"/>
    <col min="924" max="924" width="10.55" hidden="false" outlineLevel="1" customWidth="1"/>
    <col min="925" max="925" width="10.55" hidden="false" outlineLevel="1" customWidth="1"/>
    <col min="926" max="926" width="10.55" hidden="false" outlineLevel="1" customWidth="1"/>
    <col min="927" max="927" width="10.55" hidden="false" outlineLevel="1" customWidth="1"/>
    <col min="928" max="928" width="10.55" hidden="false" outlineLevel="1" customWidth="1"/>
    <col min="929" max="929" width="10.55" hidden="false" outlineLevel="1" customWidth="1"/>
    <col min="930" max="930" width="10.55" hidden="false" outlineLevel="1" customWidth="1"/>
    <col min="931" max="931" width="10.55" hidden="false" outlineLevel="1" customWidth="1"/>
    <col min="932" max="932" width="10.55" hidden="false" outlineLevel="1" customWidth="1"/>
    <col min="933" max="933" width="10.55" hidden="false" outlineLevel="1" customWidth="1"/>
    <col min="934" max="934" width="10.55" hidden="false" outlineLevel="1" customWidth="1"/>
    <col min="935" max="935" width="10.55" hidden="false" outlineLevel="1" customWidth="1"/>
    <col min="936" max="936" width="10.55" hidden="false" outlineLevel="1" customWidth="1"/>
    <col min="937" max="937" width="10.55" hidden="false" outlineLevel="1" customWidth="1"/>
    <col min="938" max="938" width="10.55" hidden="false" outlineLevel="1" customWidth="1"/>
    <col min="939" max="939" width="10.55" hidden="false" outlineLevel="1" customWidth="1"/>
    <col min="940" max="940" width="10.55" hidden="false" outlineLevel="1" customWidth="1"/>
    <col min="941" max="941" width="10.55" hidden="false" outlineLevel="1" customWidth="1"/>
    <col min="942" max="942" width="10.55" hidden="false" outlineLevel="1" customWidth="1"/>
    <col min="943" max="943" width="10.55" hidden="false" outlineLevel="1" customWidth="1"/>
    <col min="944" max="944" width="10.55" hidden="false" outlineLevel="1" customWidth="1"/>
    <col min="945" max="945" width="10.55" hidden="false" outlineLevel="1" customWidth="1"/>
    <col min="946" max="946" width="10.55" hidden="false" outlineLevel="1" customWidth="1"/>
    <col min="947" max="947" width="10.55" hidden="false" outlineLevel="1" customWidth="1"/>
    <col min="948" max="948" width="10.55" hidden="false" outlineLevel="1" customWidth="1"/>
    <col min="949" max="949" width="10.55" hidden="false" outlineLevel="1" customWidth="1"/>
    <col min="950" max="950" width="10.55" hidden="false" outlineLevel="1" customWidth="1"/>
    <col min="951" max="951" width="10.55" hidden="false" outlineLevel="1" customWidth="1"/>
    <col min="952" max="952" width="10.55" hidden="false" outlineLevel="1" customWidth="1"/>
    <col min="953" max="953" width="10.55" hidden="false" outlineLevel="1" customWidth="1"/>
    <col min="954" max="954" width="10.55" hidden="false" outlineLevel="1" customWidth="1"/>
    <col min="955" max="955" width="10.55" hidden="false" outlineLevel="1" customWidth="1"/>
    <col min="956" max="956" width="10.55" hidden="false" outlineLevel="1" customWidth="1"/>
    <col min="957" max="957" width="10.55" hidden="false" outlineLevel="1" customWidth="1"/>
    <col min="958" max="958" width="10.55" hidden="false" outlineLevel="1" customWidth="1"/>
    <col min="959" max="959" width="10.55" hidden="false" outlineLevel="1" customWidth="1"/>
    <col min="960" max="960" width="10.55" hidden="false" outlineLevel="1" customWidth="1"/>
    <col min="961" max="961" width="10.55" hidden="false" outlineLevel="1" customWidth="1"/>
    <col min="962" max="962" width="10.55" hidden="false" outlineLevel="1" customWidth="1"/>
    <col min="963" max="963" width="10.55" hidden="false" outlineLevel="1" customWidth="1"/>
    <col min="964" max="964" width="10.55" hidden="false" outlineLevel="1" customWidth="1"/>
    <col min="965" max="965" width="10.55" hidden="false" outlineLevel="1" customWidth="1"/>
    <col min="966" max="966" width="10.55" hidden="false" outlineLevel="1" customWidth="1"/>
    <col min="967" max="967" width="10.55" hidden="false" outlineLevel="1" customWidth="1"/>
    <col min="968" max="968" width="10.55" hidden="false" outlineLevel="1" customWidth="1"/>
    <col min="969" max="969" width="10.55" hidden="false" outlineLevel="1" customWidth="1"/>
    <col min="970" max="970" width="10.55" hidden="false" outlineLevel="1" customWidth="1"/>
    <col min="971" max="971" width="10.55" hidden="false" outlineLevel="1" customWidth="1"/>
    <col min="972" max="972" width="10.55" hidden="false" outlineLevel="1" customWidth="1"/>
    <col min="973" max="973" width="10.55" hidden="false" outlineLevel="1" customWidth="1"/>
    <col min="974" max="974" width="10.55" hidden="false" outlineLevel="1" customWidth="1"/>
    <col min="975" max="975" width="10.55" hidden="false" outlineLevel="1" customWidth="1"/>
    <col min="976" max="976" width="10.55" hidden="false" outlineLevel="1" customWidth="1"/>
    <col min="977" max="977" width="10.55" hidden="false" outlineLevel="1" customWidth="1"/>
    <col min="978" max="978" width="10.55" hidden="false" outlineLevel="1" customWidth="1"/>
    <col min="979" max="979" width="10.55" hidden="false" outlineLevel="1" customWidth="1"/>
    <col min="980" max="980" width="10.55" hidden="false" outlineLevel="1" customWidth="1"/>
    <col min="981" max="981" width="10.55" hidden="false" outlineLevel="1" customWidth="1"/>
    <col min="982" max="982" width="10.55" hidden="false" outlineLevel="1" customWidth="1"/>
    <col min="983" max="983" width="10.55" hidden="false" outlineLevel="1" customWidth="1"/>
    <col min="984" max="984" width="10.55" hidden="false" outlineLevel="1" customWidth="1"/>
    <col min="985" max="985" width="10.55" hidden="false" outlineLevel="1" customWidth="1"/>
    <col min="986" max="986" width="10.55" hidden="false" outlineLevel="1" customWidth="1"/>
    <col min="987" max="987" width="10.55" hidden="false" outlineLevel="1" customWidth="1"/>
    <col min="988" max="988" width="10.55" hidden="false" outlineLevel="1" customWidth="1"/>
    <col min="989" max="989" width="10.55" hidden="false" outlineLevel="1" customWidth="1"/>
    <col min="990" max="990" width="10.55" hidden="false" outlineLevel="1" customWidth="1"/>
    <col min="991" max="991" width="10.55" hidden="false" outlineLevel="1" customWidth="1"/>
    <col min="992" max="992" width="10.55" hidden="false" outlineLevel="1" customWidth="1"/>
    <col min="993" max="993" width="10.55" hidden="false" outlineLevel="1" customWidth="1"/>
    <col min="994" max="994" width="10.55" hidden="false" outlineLevel="1" customWidth="1"/>
    <col min="995" max="995" width="10.55" hidden="false" outlineLevel="1" customWidth="1"/>
    <col min="996" max="996" width="10.55" hidden="false" outlineLevel="1" customWidth="1"/>
    <col min="997" max="997" width="10.55" hidden="false" outlineLevel="1" customWidth="1"/>
    <col min="998" max="998" width="10.55" hidden="false" outlineLevel="1" customWidth="1"/>
    <col min="999" max="999" width="10.55" hidden="false" outlineLevel="1" customWidth="1"/>
    <col min="1000" max="1000" width="10.55" hidden="false" outlineLevel="1" customWidth="1"/>
    <col min="1001" max="1001" width="10.55" hidden="false" outlineLevel="1" customWidth="1"/>
    <col min="1002" max="1002" width="10.55" hidden="false" outlineLevel="1" customWidth="1"/>
    <col min="1003" max="1003" width="10.55" hidden="false" outlineLevel="1" customWidth="1"/>
    <col min="1004" max="1004" width="10.55" hidden="false" outlineLevel="1" customWidth="1"/>
    <col min="1005" max="1005" width="10.55" hidden="false" outlineLevel="1" customWidth="1"/>
    <col min="1006" max="1006" width="10.55" hidden="false" outlineLevel="1" customWidth="1"/>
    <col min="1007" max="1007" width="10.55" hidden="false" outlineLevel="1" customWidth="1"/>
    <col min="1008" max="1008" width="10.55" hidden="false" outlineLevel="1" customWidth="1"/>
    <col min="1009" max="1009" width="10.55" hidden="false" outlineLevel="1" customWidth="1"/>
    <col min="1010" max="1010" width="10.55" hidden="false" outlineLevel="1" customWidth="1"/>
    <col min="1011" max="1011" width="10.55" hidden="false" outlineLevel="1" customWidth="1"/>
    <col min="1012" max="1012" width="10.55" hidden="false" outlineLevel="1" customWidth="1"/>
    <col min="1013" max="1013" width="10.55" hidden="false" outlineLevel="1" customWidth="1"/>
    <col min="1014" max="1014" width="10.55" hidden="false" outlineLevel="1" customWidth="1"/>
    <col min="1015" max="1015" width="10.55" hidden="false" outlineLevel="1" customWidth="1"/>
    <col min="1016" max="1016" width="10.55" hidden="false" outlineLevel="1" customWidth="1"/>
    <col min="1017" max="1017" width="10.55" hidden="false" outlineLevel="1" customWidth="1"/>
    <col min="1018" max="1018" width="10.55" hidden="false" outlineLevel="1" customWidth="1"/>
    <col min="1019" max="1019" width="10.55" hidden="false" outlineLevel="1" customWidth="1"/>
    <col min="1020" max="1020" width="10.55" hidden="false" outlineLevel="1" customWidth="1"/>
    <col min="1021" max="1021" width="10.55" hidden="false" outlineLevel="1" customWidth="1"/>
    <col min="1022" max="1022" width="10.55" hidden="false" outlineLevel="1" customWidth="1"/>
    <col min="1023" max="1023" width="10.55" hidden="false" outlineLevel="1" customWidth="1"/>
    <col min="1024" max="1024" width="10.55" hidden="false" outlineLevel="1" customWidth="1"/>
    <col min="1025" max="1025" width="10.55" hidden="false" outlineLevel="1" customWidth="1"/>
  </cols>
  <sheetData>
    <row r="1" ht="32.25" customHeight="1">
      <c r="A1" s="1" t="s">
        <v>0</v>
      </c>
      <c r="B1" s="3" t="s">
        <v>1</v>
      </c>
      <c r="C1" s="3" t="s">
        <v>2</v>
      </c>
      <c r="D1" s="3" t="s">
        <v>3</v>
      </c>
    </row>
    <row r="2" ht="16.5" customHeight="1">
      <c r="A2" s="4" t="s">
        <v>4</v>
      </c>
      <c r="B2" s="5" t="n">
        <v>1.05</v>
      </c>
      <c r="C2" s="6"/>
      <c r="D2" s="4"/>
    </row>
    <row r="3" ht="16.5" customHeight="1">
      <c r="A3" s="7" t="s">
        <v>5</v>
      </c>
      <c r="B3" s="5" t="n">
        <v>0.6</v>
      </c>
      <c r="C3" s="6"/>
      <c r="D3" s="4"/>
    </row>
    <row r="4" ht="16.5" customHeight="1">
      <c r="A4" s="4" t="s">
        <v>6</v>
      </c>
      <c r="B4" s="5" t="n">
        <v>1</v>
      </c>
      <c r="C4" s="6"/>
      <c r="D4" s="4"/>
    </row>
    <row r="5" ht="16.5" customHeight="1">
      <c r="A5" s="4" t="s">
        <v>7</v>
      </c>
      <c r="B5" s="5" t="n">
        <v>0.7</v>
      </c>
      <c r="C5" s="4"/>
      <c r="D5" s="4"/>
    </row>
    <row r="6" ht="16.5" customHeight="1">
      <c r="A6" s="4" t="s">
        <v>8</v>
      </c>
      <c r="B6" s="5" t="n">
        <v>0.8</v>
      </c>
      <c r="C6" s="4"/>
      <c r="D6" s="4"/>
    </row>
    <row r="7" ht="16.5" customHeight="1">
      <c r="A7" s="4" t="s">
        <v>9</v>
      </c>
      <c r="B7" s="5" t="n">
        <v>0.6</v>
      </c>
      <c r="C7" s="4"/>
      <c r="D7" s="4"/>
    </row>
    <row r="8" ht="16.5" customHeight="1">
      <c r="A8" s="4" t="s">
        <v>10</v>
      </c>
      <c r="B8" s="5" t="n">
        <v>0.6</v>
      </c>
      <c r="C8" s="4"/>
      <c r="D8" s="4"/>
    </row>
    <row r="9" ht="16.5" customHeight="1">
      <c r="A9" s="4" t="s">
        <v>11</v>
      </c>
      <c r="B9" s="5" t="n">
        <v>0.3</v>
      </c>
      <c r="C9" s="4"/>
      <c r="D9" s="4"/>
    </row>
    <row r="10" ht="32.25" customHeight="1">
      <c r="A10" s="4" t="s">
        <v>12</v>
      </c>
      <c r="B10" s="5" t="n">
        <v>0.3</v>
      </c>
      <c r="C10" s="4"/>
      <c r="D10" s="4"/>
    </row>
    <row r="11" ht="16.5" customHeight="1">
      <c r="A11" s="4" t="s">
        <v>13</v>
      </c>
      <c r="B11" s="5" t="n">
        <v>0.3</v>
      </c>
      <c r="C11" s="4"/>
      <c r="D11" s="4"/>
    </row>
    <row r="12" ht="16.5" customHeight="1">
      <c r="A12" s="4" t="s">
        <v>14</v>
      </c>
      <c r="B12" s="5" t="n">
        <v>0.3</v>
      </c>
      <c r="C12" s="4"/>
      <c r="D12" s="4"/>
    </row>
    <row r="13" ht="16.5" customHeight="1">
      <c r="A13" s="8" t="s">
        <v>15</v>
      </c>
      <c r="B13" s="1"/>
      <c r="C13" s="2"/>
      <c r="D13" s="2"/>
    </row>
  </sheetData>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A1" activeCellId="0" sqref="A1"/>
    </sheetView>
  </sheetViews>
  <sheetFormatPr defaultRowHeight="15.0" baseColWidth="10" outlineLevelCol="1"/>
  <cols>
    <col min="1" max="1" width="11.04" hidden="false" outlineLevel="1" customWidth="1"/>
    <col min="2" max="2" width="11.04" hidden="false" outlineLevel="1" customWidth="1"/>
    <col min="3" max="3" width="11.04" hidden="false" outlineLevel="1" customWidth="1"/>
    <col min="4" max="4" width="11.04" hidden="false" outlineLevel="1" customWidth="1"/>
    <col min="5" max="5" width="11.04" hidden="false" outlineLevel="1" customWidth="1"/>
    <col min="6" max="6" width="11.04" hidden="false" outlineLevel="1" customWidth="1"/>
    <col min="7" max="7" width="11.04" hidden="false" outlineLevel="1" customWidth="1"/>
    <col min="8" max="8" width="11.04" hidden="false" outlineLevel="1" customWidth="1"/>
    <col min="9" max="9" width="11.04" hidden="false" outlineLevel="1" customWidth="1"/>
    <col min="10" max="10" width="11.04" hidden="false" outlineLevel="1" customWidth="1"/>
    <col min="11" max="11" width="11.04" hidden="false" outlineLevel="1" customWidth="1"/>
    <col min="12" max="12" width="11.04" hidden="false" outlineLevel="1" customWidth="1"/>
    <col min="13" max="13" width="11.04" hidden="false" outlineLevel="1" customWidth="1"/>
    <col min="14" max="14" width="11.04" hidden="false" outlineLevel="1" customWidth="1"/>
    <col min="15" max="15" width="11.04" hidden="false" outlineLevel="1" customWidth="1"/>
    <col min="16" max="16" width="11.04" hidden="false" outlineLevel="1" customWidth="1"/>
    <col min="17" max="17" width="11.04" hidden="false" outlineLevel="1" customWidth="1"/>
    <col min="18" max="18" width="11.04" hidden="false" outlineLevel="1" customWidth="1"/>
    <col min="19" max="19" width="11.04" hidden="false" outlineLevel="1" customWidth="1"/>
    <col min="20" max="20" width="11.04" hidden="false" outlineLevel="1" customWidth="1"/>
    <col min="21" max="21" width="11.04" hidden="false" outlineLevel="1" customWidth="1"/>
    <col min="22" max="22" width="11.04" hidden="false" outlineLevel="1" customWidth="1"/>
    <col min="23" max="23" width="11.04" hidden="false" outlineLevel="1" customWidth="1"/>
    <col min="24" max="24" width="11.04" hidden="false" outlineLevel="1" customWidth="1"/>
    <col min="25" max="25" width="11.04" hidden="false" outlineLevel="1" customWidth="1"/>
    <col min="26" max="26" width="11.04" hidden="false" outlineLevel="1" customWidth="1"/>
    <col min="27" max="27" width="11.04" hidden="false" outlineLevel="1" customWidth="1"/>
    <col min="28" max="28" width="11.04" hidden="false" outlineLevel="1" customWidth="1"/>
    <col min="29" max="29" width="11.04" hidden="false" outlineLevel="1" customWidth="1"/>
    <col min="30" max="30" width="11.04" hidden="false" outlineLevel="1" customWidth="1"/>
    <col min="31" max="31" width="11.04" hidden="false" outlineLevel="1" customWidth="1"/>
    <col min="32" max="32" width="11.04" hidden="false" outlineLevel="1" customWidth="1"/>
    <col min="33" max="33" width="11.04" hidden="false" outlineLevel="1" customWidth="1"/>
    <col min="34" max="34" width="11.04" hidden="false" outlineLevel="1" customWidth="1"/>
    <col min="35" max="35" width="11.04" hidden="false" outlineLevel="1" customWidth="1"/>
    <col min="36" max="36" width="11.04" hidden="false" outlineLevel="1" customWidth="1"/>
    <col min="37" max="37" width="11.04" hidden="false" outlineLevel="1" customWidth="1"/>
    <col min="38" max="38" width="11.04" hidden="false" outlineLevel="1" customWidth="1"/>
    <col min="39" max="39" width="11.04" hidden="false" outlineLevel="1" customWidth="1"/>
    <col min="40" max="40" width="11.04" hidden="false" outlineLevel="1" customWidth="1"/>
    <col min="41" max="41" width="11.04" hidden="false" outlineLevel="1" customWidth="1"/>
    <col min="42" max="42" width="11.04" hidden="false" outlineLevel="1" customWidth="1"/>
    <col min="43" max="43" width="11.04" hidden="false" outlineLevel="1" customWidth="1"/>
    <col min="44" max="44" width="11.04" hidden="false" outlineLevel="1" customWidth="1"/>
    <col min="45" max="45" width="11.04" hidden="false" outlineLevel="1" customWidth="1"/>
    <col min="46" max="46" width="11.04" hidden="false" outlineLevel="1" customWidth="1"/>
    <col min="47" max="47" width="11.04" hidden="false" outlineLevel="1" customWidth="1"/>
    <col min="48" max="48" width="11.04" hidden="false" outlineLevel="1" customWidth="1"/>
    <col min="49" max="49" width="11.04" hidden="false" outlineLevel="1" customWidth="1"/>
    <col min="50" max="50" width="11.04" hidden="false" outlineLevel="1" customWidth="1"/>
    <col min="51" max="51" width="11.04" hidden="false" outlineLevel="1" customWidth="1"/>
    <col min="52" max="52" width="11.04" hidden="false" outlineLevel="1" customWidth="1"/>
    <col min="53" max="53" width="11.04" hidden="false" outlineLevel="1" customWidth="1"/>
    <col min="54" max="54" width="11.04" hidden="false" outlineLevel="1" customWidth="1"/>
    <col min="55" max="55" width="11.04" hidden="false" outlineLevel="1" customWidth="1"/>
    <col min="56" max="56" width="11.04" hidden="false" outlineLevel="1" customWidth="1"/>
    <col min="57" max="57" width="11.04" hidden="false" outlineLevel="1" customWidth="1"/>
    <col min="58" max="58" width="11.04" hidden="false" outlineLevel="1" customWidth="1"/>
    <col min="59" max="59" width="11.04" hidden="false" outlineLevel="1" customWidth="1"/>
    <col min="60" max="60" width="11.04" hidden="false" outlineLevel="1" customWidth="1"/>
    <col min="61" max="61" width="11.04" hidden="false" outlineLevel="1" customWidth="1"/>
    <col min="62" max="62" width="11.04" hidden="false" outlineLevel="1" customWidth="1"/>
    <col min="63" max="63" width="11.04" hidden="false" outlineLevel="1" customWidth="1"/>
    <col min="64" max="64" width="11.04" hidden="false" outlineLevel="1" customWidth="1"/>
    <col min="65" max="65" width="11.04" hidden="false" outlineLevel="1" customWidth="1"/>
    <col min="66" max="66" width="11.04" hidden="false" outlineLevel="1" customWidth="1"/>
    <col min="67" max="67" width="11.04" hidden="false" outlineLevel="1" customWidth="1"/>
    <col min="68" max="68" width="11.04" hidden="false" outlineLevel="1" customWidth="1"/>
    <col min="69" max="69" width="11.04" hidden="false" outlineLevel="1" customWidth="1"/>
    <col min="70" max="70" width="11.04" hidden="false" outlineLevel="1" customWidth="1"/>
    <col min="71" max="71" width="11.04" hidden="false" outlineLevel="1" customWidth="1"/>
    <col min="72" max="72" width="11.04" hidden="false" outlineLevel="1" customWidth="1"/>
    <col min="73" max="73" width="11.04" hidden="false" outlineLevel="1" customWidth="1"/>
    <col min="74" max="74" width="11.04" hidden="false" outlineLevel="1" customWidth="1"/>
    <col min="75" max="75" width="11.04" hidden="false" outlineLevel="1" customWidth="1"/>
    <col min="76" max="76" width="11.04" hidden="false" outlineLevel="1" customWidth="1"/>
    <col min="77" max="77" width="11.04" hidden="false" outlineLevel="1" customWidth="1"/>
    <col min="78" max="78" width="11.04" hidden="false" outlineLevel="1" customWidth="1"/>
    <col min="79" max="79" width="11.04" hidden="false" outlineLevel="1" customWidth="1"/>
    <col min="80" max="80" width="11.04" hidden="false" outlineLevel="1" customWidth="1"/>
    <col min="81" max="81" width="11.04" hidden="false" outlineLevel="1" customWidth="1"/>
    <col min="82" max="82" width="11.04" hidden="false" outlineLevel="1" customWidth="1"/>
    <col min="83" max="83" width="11.04" hidden="false" outlineLevel="1" customWidth="1"/>
    <col min="84" max="84" width="11.04" hidden="false" outlineLevel="1" customWidth="1"/>
    <col min="85" max="85" width="11.04" hidden="false" outlineLevel="1" customWidth="1"/>
    <col min="86" max="86" width="11.04" hidden="false" outlineLevel="1" customWidth="1"/>
    <col min="87" max="87" width="11.04" hidden="false" outlineLevel="1" customWidth="1"/>
    <col min="88" max="88" width="11.04" hidden="false" outlineLevel="1" customWidth="1"/>
    <col min="89" max="89" width="11.04" hidden="false" outlineLevel="1" customWidth="1"/>
    <col min="90" max="90" width="11.04" hidden="false" outlineLevel="1" customWidth="1"/>
    <col min="91" max="91" width="11.04" hidden="false" outlineLevel="1" customWidth="1"/>
    <col min="92" max="92" width="11.04" hidden="false" outlineLevel="1" customWidth="1"/>
    <col min="93" max="93" width="11.04" hidden="false" outlineLevel="1" customWidth="1"/>
    <col min="94" max="94" width="11.04" hidden="false" outlineLevel="1" customWidth="1"/>
    <col min="95" max="95" width="11.04" hidden="false" outlineLevel="1" customWidth="1"/>
    <col min="96" max="96" width="11.04" hidden="false" outlineLevel="1" customWidth="1"/>
    <col min="97" max="97" width="11.04" hidden="false" outlineLevel="1" customWidth="1"/>
    <col min="98" max="98" width="11.04" hidden="false" outlineLevel="1" customWidth="1"/>
    <col min="99" max="99" width="11.04" hidden="false" outlineLevel="1" customWidth="1"/>
    <col min="100" max="100" width="11.04" hidden="false" outlineLevel="1" customWidth="1"/>
    <col min="101" max="101" width="11.04" hidden="false" outlineLevel="1" customWidth="1"/>
    <col min="102" max="102" width="11.04" hidden="false" outlineLevel="1" customWidth="1"/>
    <col min="103" max="103" width="11.04" hidden="false" outlineLevel="1" customWidth="1"/>
    <col min="104" max="104" width="11.04" hidden="false" outlineLevel="1" customWidth="1"/>
    <col min="105" max="105" width="11.04" hidden="false" outlineLevel="1" customWidth="1"/>
    <col min="106" max="106" width="11.04" hidden="false" outlineLevel="1" customWidth="1"/>
    <col min="107" max="107" width="11.04" hidden="false" outlineLevel="1" customWidth="1"/>
    <col min="108" max="108" width="11.04" hidden="false" outlineLevel="1" customWidth="1"/>
    <col min="109" max="109" width="11.04" hidden="false" outlineLevel="1" customWidth="1"/>
    <col min="110" max="110" width="11.04" hidden="false" outlineLevel="1" customWidth="1"/>
    <col min="111" max="111" width="11.04" hidden="false" outlineLevel="1" customWidth="1"/>
    <col min="112" max="112" width="11.04" hidden="false" outlineLevel="1" customWidth="1"/>
    <col min="113" max="113" width="11.04" hidden="false" outlineLevel="1" customWidth="1"/>
    <col min="114" max="114" width="11.04" hidden="false" outlineLevel="1" customWidth="1"/>
    <col min="115" max="115" width="11.04" hidden="false" outlineLevel="1" customWidth="1"/>
    <col min="116" max="116" width="11.04" hidden="false" outlineLevel="1" customWidth="1"/>
    <col min="117" max="117" width="11.04" hidden="false" outlineLevel="1" customWidth="1"/>
    <col min="118" max="118" width="11.04" hidden="false" outlineLevel="1" customWidth="1"/>
    <col min="119" max="119" width="11.04" hidden="false" outlineLevel="1" customWidth="1"/>
    <col min="120" max="120" width="11.04" hidden="false" outlineLevel="1" customWidth="1"/>
    <col min="121" max="121" width="11.04" hidden="false" outlineLevel="1" customWidth="1"/>
    <col min="122" max="122" width="11.04" hidden="false" outlineLevel="1" customWidth="1"/>
    <col min="123" max="123" width="11.04" hidden="false" outlineLevel="1" customWidth="1"/>
    <col min="124" max="124" width="11.04" hidden="false" outlineLevel="1" customWidth="1"/>
    <col min="125" max="125" width="11.04" hidden="false" outlineLevel="1" customWidth="1"/>
    <col min="126" max="126" width="11.04" hidden="false" outlineLevel="1" customWidth="1"/>
    <col min="127" max="127" width="11.04" hidden="false" outlineLevel="1" customWidth="1"/>
    <col min="128" max="128" width="11.04" hidden="false" outlineLevel="1" customWidth="1"/>
    <col min="129" max="129" width="11.04" hidden="false" outlineLevel="1" customWidth="1"/>
    <col min="130" max="130" width="11.04" hidden="false" outlineLevel="1" customWidth="1"/>
    <col min="131" max="131" width="11.04" hidden="false" outlineLevel="1" customWidth="1"/>
    <col min="132" max="132" width="11.04" hidden="false" outlineLevel="1" customWidth="1"/>
    <col min="133" max="133" width="11.04" hidden="false" outlineLevel="1" customWidth="1"/>
    <col min="134" max="134" width="11.04" hidden="false" outlineLevel="1" customWidth="1"/>
    <col min="135" max="135" width="11.04" hidden="false" outlineLevel="1" customWidth="1"/>
    <col min="136" max="136" width="11.04" hidden="false" outlineLevel="1" customWidth="1"/>
    <col min="137" max="137" width="11.04" hidden="false" outlineLevel="1" customWidth="1"/>
    <col min="138" max="138" width="11.04" hidden="false" outlineLevel="1" customWidth="1"/>
    <col min="139" max="139" width="11.04" hidden="false" outlineLevel="1" customWidth="1"/>
    <col min="140" max="140" width="11.04" hidden="false" outlineLevel="1" customWidth="1"/>
    <col min="141" max="141" width="11.04" hidden="false" outlineLevel="1" customWidth="1"/>
    <col min="142" max="142" width="11.04" hidden="false" outlineLevel="1" customWidth="1"/>
    <col min="143" max="143" width="11.04" hidden="false" outlineLevel="1" customWidth="1"/>
    <col min="144" max="144" width="11.04" hidden="false" outlineLevel="1" customWidth="1"/>
    <col min="145" max="145" width="11.04" hidden="false" outlineLevel="1" customWidth="1"/>
    <col min="146" max="146" width="11.04" hidden="false" outlineLevel="1" customWidth="1"/>
    <col min="147" max="147" width="11.04" hidden="false" outlineLevel="1" customWidth="1"/>
    <col min="148" max="148" width="11.04" hidden="false" outlineLevel="1" customWidth="1"/>
    <col min="149" max="149" width="11.04" hidden="false" outlineLevel="1" customWidth="1"/>
    <col min="150" max="150" width="11.04" hidden="false" outlineLevel="1" customWidth="1"/>
    <col min="151" max="151" width="11.04" hidden="false" outlineLevel="1" customWidth="1"/>
    <col min="152" max="152" width="11.04" hidden="false" outlineLevel="1" customWidth="1"/>
    <col min="153" max="153" width="11.04" hidden="false" outlineLevel="1" customWidth="1"/>
    <col min="154" max="154" width="11.04" hidden="false" outlineLevel="1" customWidth="1"/>
    <col min="155" max="155" width="11.04" hidden="false" outlineLevel="1" customWidth="1"/>
    <col min="156" max="156" width="11.04" hidden="false" outlineLevel="1" customWidth="1"/>
    <col min="157" max="157" width="11.04" hidden="false" outlineLevel="1" customWidth="1"/>
    <col min="158" max="158" width="11.04" hidden="false" outlineLevel="1" customWidth="1"/>
    <col min="159" max="159" width="11.04" hidden="false" outlineLevel="1" customWidth="1"/>
    <col min="160" max="160" width="11.04" hidden="false" outlineLevel="1" customWidth="1"/>
    <col min="161" max="161" width="11.04" hidden="false" outlineLevel="1" customWidth="1"/>
    <col min="162" max="162" width="11.04" hidden="false" outlineLevel="1" customWidth="1"/>
    <col min="163" max="163" width="11.04" hidden="false" outlineLevel="1" customWidth="1"/>
    <col min="164" max="164" width="11.04" hidden="false" outlineLevel="1" customWidth="1"/>
    <col min="165" max="165" width="11.04" hidden="false" outlineLevel="1" customWidth="1"/>
    <col min="166" max="166" width="11.04" hidden="false" outlineLevel="1" customWidth="1"/>
    <col min="167" max="167" width="11.04" hidden="false" outlineLevel="1" customWidth="1"/>
    <col min="168" max="168" width="11.04" hidden="false" outlineLevel="1" customWidth="1"/>
    <col min="169" max="169" width="11.04" hidden="false" outlineLevel="1" customWidth="1"/>
    <col min="170" max="170" width="11.04" hidden="false" outlineLevel="1" customWidth="1"/>
    <col min="171" max="171" width="11.04" hidden="false" outlineLevel="1" customWidth="1"/>
    <col min="172" max="172" width="11.04" hidden="false" outlineLevel="1" customWidth="1"/>
    <col min="173" max="173" width="11.04" hidden="false" outlineLevel="1" customWidth="1"/>
    <col min="174" max="174" width="11.04" hidden="false" outlineLevel="1" customWidth="1"/>
    <col min="175" max="175" width="11.04" hidden="false" outlineLevel="1" customWidth="1"/>
    <col min="176" max="176" width="11.04" hidden="false" outlineLevel="1" customWidth="1"/>
    <col min="177" max="177" width="11.04" hidden="false" outlineLevel="1" customWidth="1"/>
    <col min="178" max="178" width="11.04" hidden="false" outlineLevel="1" customWidth="1"/>
    <col min="179" max="179" width="11.04" hidden="false" outlineLevel="1" customWidth="1"/>
    <col min="180" max="180" width="11.04" hidden="false" outlineLevel="1" customWidth="1"/>
    <col min="181" max="181" width="11.04" hidden="false" outlineLevel="1" customWidth="1"/>
    <col min="182" max="182" width="11.04" hidden="false" outlineLevel="1" customWidth="1"/>
    <col min="183" max="183" width="11.04" hidden="false" outlineLevel="1" customWidth="1"/>
    <col min="184" max="184" width="11.04" hidden="false" outlineLevel="1" customWidth="1"/>
    <col min="185" max="185" width="11.04" hidden="false" outlineLevel="1" customWidth="1"/>
    <col min="186" max="186" width="11.04" hidden="false" outlineLevel="1" customWidth="1"/>
    <col min="187" max="187" width="11.04" hidden="false" outlineLevel="1" customWidth="1"/>
    <col min="188" max="188" width="11.04" hidden="false" outlineLevel="1" customWidth="1"/>
    <col min="189" max="189" width="11.04" hidden="false" outlineLevel="1" customWidth="1"/>
    <col min="190" max="190" width="11.04" hidden="false" outlineLevel="1" customWidth="1"/>
    <col min="191" max="191" width="11.04" hidden="false" outlineLevel="1" customWidth="1"/>
    <col min="192" max="192" width="11.04" hidden="false" outlineLevel="1" customWidth="1"/>
    <col min="193" max="193" width="11.04" hidden="false" outlineLevel="1" customWidth="1"/>
    <col min="194" max="194" width="11.04" hidden="false" outlineLevel="1" customWidth="1"/>
    <col min="195" max="195" width="11.04" hidden="false" outlineLevel="1" customWidth="1"/>
    <col min="196" max="196" width="11.04" hidden="false" outlineLevel="1" customWidth="1"/>
    <col min="197" max="197" width="11.04" hidden="false" outlineLevel="1" customWidth="1"/>
    <col min="198" max="198" width="11.04" hidden="false" outlineLevel="1" customWidth="1"/>
    <col min="199" max="199" width="11.04" hidden="false" outlineLevel="1" customWidth="1"/>
    <col min="200" max="200" width="11.04" hidden="false" outlineLevel="1" customWidth="1"/>
    <col min="201" max="201" width="11.04" hidden="false" outlineLevel="1" customWidth="1"/>
    <col min="202" max="202" width="11.04" hidden="false" outlineLevel="1" customWidth="1"/>
    <col min="203" max="203" width="11.04" hidden="false" outlineLevel="1" customWidth="1"/>
    <col min="204" max="204" width="11.04" hidden="false" outlineLevel="1" customWidth="1"/>
    <col min="205" max="205" width="11.04" hidden="false" outlineLevel="1" customWidth="1"/>
    <col min="206" max="206" width="11.04" hidden="false" outlineLevel="1" customWidth="1"/>
    <col min="207" max="207" width="11.04" hidden="false" outlineLevel="1" customWidth="1"/>
    <col min="208" max="208" width="11.04" hidden="false" outlineLevel="1" customWidth="1"/>
    <col min="209" max="209" width="11.04" hidden="false" outlineLevel="1" customWidth="1"/>
    <col min="210" max="210" width="11.04" hidden="false" outlineLevel="1" customWidth="1"/>
    <col min="211" max="211" width="11.04" hidden="false" outlineLevel="1" customWidth="1"/>
    <col min="212" max="212" width="11.04" hidden="false" outlineLevel="1" customWidth="1"/>
    <col min="213" max="213" width="11.04" hidden="false" outlineLevel="1" customWidth="1"/>
    <col min="214" max="214" width="11.04" hidden="false" outlineLevel="1" customWidth="1"/>
    <col min="215" max="215" width="11.04" hidden="false" outlineLevel="1" customWidth="1"/>
    <col min="216" max="216" width="11.04" hidden="false" outlineLevel="1" customWidth="1"/>
    <col min="217" max="217" width="11.04" hidden="false" outlineLevel="1" customWidth="1"/>
    <col min="218" max="218" width="11.04" hidden="false" outlineLevel="1" customWidth="1"/>
    <col min="219" max="219" width="11.04" hidden="false" outlineLevel="1" customWidth="1"/>
    <col min="220" max="220" width="11.04" hidden="false" outlineLevel="1" customWidth="1"/>
    <col min="221" max="221" width="11.04" hidden="false" outlineLevel="1" customWidth="1"/>
    <col min="222" max="222" width="11.04" hidden="false" outlineLevel="1" customWidth="1"/>
    <col min="223" max="223" width="11.04" hidden="false" outlineLevel="1" customWidth="1"/>
    <col min="224" max="224" width="11.04" hidden="false" outlineLevel="1" customWidth="1"/>
    <col min="225" max="225" width="11.04" hidden="false" outlineLevel="1" customWidth="1"/>
    <col min="226" max="226" width="11.04" hidden="false" outlineLevel="1" customWidth="1"/>
    <col min="227" max="227" width="11.04" hidden="false" outlineLevel="1" customWidth="1"/>
    <col min="228" max="228" width="11.04" hidden="false" outlineLevel="1" customWidth="1"/>
    <col min="229" max="229" width="11.04" hidden="false" outlineLevel="1" customWidth="1"/>
    <col min="230" max="230" width="11.04" hidden="false" outlineLevel="1" customWidth="1"/>
    <col min="231" max="231" width="11.04" hidden="false" outlineLevel="1" customWidth="1"/>
    <col min="232" max="232" width="11.04" hidden="false" outlineLevel="1" customWidth="1"/>
    <col min="233" max="233" width="11.04" hidden="false" outlineLevel="1" customWidth="1"/>
    <col min="234" max="234" width="11.04" hidden="false" outlineLevel="1" customWidth="1"/>
    <col min="235" max="235" width="11.04" hidden="false" outlineLevel="1" customWidth="1"/>
    <col min="236" max="236" width="11.04" hidden="false" outlineLevel="1" customWidth="1"/>
    <col min="237" max="237" width="11.04" hidden="false" outlineLevel="1" customWidth="1"/>
    <col min="238" max="238" width="11.04" hidden="false" outlineLevel="1" customWidth="1"/>
    <col min="239" max="239" width="11.04" hidden="false" outlineLevel="1" customWidth="1"/>
    <col min="240" max="240" width="11.04" hidden="false" outlineLevel="1" customWidth="1"/>
    <col min="241" max="241" width="11.04" hidden="false" outlineLevel="1" customWidth="1"/>
    <col min="242" max="242" width="11.04" hidden="false" outlineLevel="1" customWidth="1"/>
    <col min="243" max="243" width="11.04" hidden="false" outlineLevel="1" customWidth="1"/>
    <col min="244" max="244" width="11.04" hidden="false" outlineLevel="1" customWidth="1"/>
    <col min="245" max="245" width="11.04" hidden="false" outlineLevel="1" customWidth="1"/>
    <col min="246" max="246" width="11.04" hidden="false" outlineLevel="1" customWidth="1"/>
    <col min="247" max="247" width="11.04" hidden="false" outlineLevel="1" customWidth="1"/>
    <col min="248" max="248" width="11.04" hidden="false" outlineLevel="1" customWidth="1"/>
    <col min="249" max="249" width="11.04" hidden="false" outlineLevel="1" customWidth="1"/>
    <col min="250" max="250" width="11.04" hidden="false" outlineLevel="1" customWidth="1"/>
    <col min="251" max="251" width="11.04" hidden="false" outlineLevel="1" customWidth="1"/>
    <col min="252" max="252" width="11.04" hidden="false" outlineLevel="1" customWidth="1"/>
    <col min="253" max="253" width="11.04" hidden="false" outlineLevel="1" customWidth="1"/>
    <col min="254" max="254" width="11.04" hidden="false" outlineLevel="1" customWidth="1"/>
    <col min="255" max="255" width="11.04" hidden="false" outlineLevel="1" customWidth="1"/>
    <col min="256" max="256" width="11.04" hidden="false" outlineLevel="1" customWidth="1"/>
    <col min="257" max="257" width="11.04" hidden="false" outlineLevel="1" customWidth="1"/>
    <col min="258" max="258" width="11.04" hidden="false" outlineLevel="1" customWidth="1"/>
    <col min="259" max="259" width="11.04" hidden="false" outlineLevel="1" customWidth="1"/>
    <col min="260" max="260" width="11.04" hidden="false" outlineLevel="1" customWidth="1"/>
    <col min="261" max="261" width="11.04" hidden="false" outlineLevel="1" customWidth="1"/>
    <col min="262" max="262" width="11.04" hidden="false" outlineLevel="1" customWidth="1"/>
    <col min="263" max="263" width="11.04" hidden="false" outlineLevel="1" customWidth="1"/>
    <col min="264" max="264" width="11.04" hidden="false" outlineLevel="1" customWidth="1"/>
    <col min="265" max="265" width="11.04" hidden="false" outlineLevel="1" customWidth="1"/>
    <col min="266" max="266" width="11.04" hidden="false" outlineLevel="1" customWidth="1"/>
    <col min="267" max="267" width="11.04" hidden="false" outlineLevel="1" customWidth="1"/>
    <col min="268" max="268" width="11.04" hidden="false" outlineLevel="1" customWidth="1"/>
    <col min="269" max="269" width="11.04" hidden="false" outlineLevel="1" customWidth="1"/>
    <col min="270" max="270" width="11.04" hidden="false" outlineLevel="1" customWidth="1"/>
    <col min="271" max="271" width="11.04" hidden="false" outlineLevel="1" customWidth="1"/>
    <col min="272" max="272" width="11.04" hidden="false" outlineLevel="1" customWidth="1"/>
    <col min="273" max="273" width="11.04" hidden="false" outlineLevel="1" customWidth="1"/>
    <col min="274" max="274" width="11.04" hidden="false" outlineLevel="1" customWidth="1"/>
    <col min="275" max="275" width="11.04" hidden="false" outlineLevel="1" customWidth="1"/>
    <col min="276" max="276" width="11.04" hidden="false" outlineLevel="1" customWidth="1"/>
    <col min="277" max="277" width="11.04" hidden="false" outlineLevel="1" customWidth="1"/>
    <col min="278" max="278" width="11.04" hidden="false" outlineLevel="1" customWidth="1"/>
    <col min="279" max="279" width="11.04" hidden="false" outlineLevel="1" customWidth="1"/>
    <col min="280" max="280" width="11.04" hidden="false" outlineLevel="1" customWidth="1"/>
    <col min="281" max="281" width="11.04" hidden="false" outlineLevel="1" customWidth="1"/>
    <col min="282" max="282" width="11.04" hidden="false" outlineLevel="1" customWidth="1"/>
    <col min="283" max="283" width="11.04" hidden="false" outlineLevel="1" customWidth="1"/>
    <col min="284" max="284" width="11.04" hidden="false" outlineLevel="1" customWidth="1"/>
    <col min="285" max="285" width="11.04" hidden="false" outlineLevel="1" customWidth="1"/>
    <col min="286" max="286" width="11.04" hidden="false" outlineLevel="1" customWidth="1"/>
    <col min="287" max="287" width="11.04" hidden="false" outlineLevel="1" customWidth="1"/>
    <col min="288" max="288" width="11.04" hidden="false" outlineLevel="1" customWidth="1"/>
    <col min="289" max="289" width="11.04" hidden="false" outlineLevel="1" customWidth="1"/>
    <col min="290" max="290" width="11.04" hidden="false" outlineLevel="1" customWidth="1"/>
    <col min="291" max="291" width="11.04" hidden="false" outlineLevel="1" customWidth="1"/>
    <col min="292" max="292" width="11.04" hidden="false" outlineLevel="1" customWidth="1"/>
    <col min="293" max="293" width="11.04" hidden="false" outlineLevel="1" customWidth="1"/>
    <col min="294" max="294" width="11.04" hidden="false" outlineLevel="1" customWidth="1"/>
    <col min="295" max="295" width="11.04" hidden="false" outlineLevel="1" customWidth="1"/>
    <col min="296" max="296" width="11.04" hidden="false" outlineLevel="1" customWidth="1"/>
    <col min="297" max="297" width="11.04" hidden="false" outlineLevel="1" customWidth="1"/>
    <col min="298" max="298" width="11.04" hidden="false" outlineLevel="1" customWidth="1"/>
    <col min="299" max="299" width="11.04" hidden="false" outlineLevel="1" customWidth="1"/>
    <col min="300" max="300" width="11.04" hidden="false" outlineLevel="1" customWidth="1"/>
    <col min="301" max="301" width="11.04" hidden="false" outlineLevel="1" customWidth="1"/>
    <col min="302" max="302" width="11.04" hidden="false" outlineLevel="1" customWidth="1"/>
    <col min="303" max="303" width="11.04" hidden="false" outlineLevel="1" customWidth="1"/>
    <col min="304" max="304" width="11.04" hidden="false" outlineLevel="1" customWidth="1"/>
    <col min="305" max="305" width="11.04" hidden="false" outlineLevel="1" customWidth="1"/>
    <col min="306" max="306" width="11.04" hidden="false" outlineLevel="1" customWidth="1"/>
    <col min="307" max="307" width="11.04" hidden="false" outlineLevel="1" customWidth="1"/>
    <col min="308" max="308" width="11.04" hidden="false" outlineLevel="1" customWidth="1"/>
    <col min="309" max="309" width="11.04" hidden="false" outlineLevel="1" customWidth="1"/>
    <col min="310" max="310" width="11.04" hidden="false" outlineLevel="1" customWidth="1"/>
    <col min="311" max="311" width="11.04" hidden="false" outlineLevel="1" customWidth="1"/>
    <col min="312" max="312" width="11.04" hidden="false" outlineLevel="1" customWidth="1"/>
    <col min="313" max="313" width="11.04" hidden="false" outlineLevel="1" customWidth="1"/>
    <col min="314" max="314" width="11.04" hidden="false" outlineLevel="1" customWidth="1"/>
    <col min="315" max="315" width="11.04" hidden="false" outlineLevel="1" customWidth="1"/>
    <col min="316" max="316" width="11.04" hidden="false" outlineLevel="1" customWidth="1"/>
    <col min="317" max="317" width="11.04" hidden="false" outlineLevel="1" customWidth="1"/>
    <col min="318" max="318" width="11.04" hidden="false" outlineLevel="1" customWidth="1"/>
    <col min="319" max="319" width="11.04" hidden="false" outlineLevel="1" customWidth="1"/>
    <col min="320" max="320" width="11.04" hidden="false" outlineLevel="1" customWidth="1"/>
    <col min="321" max="321" width="11.04" hidden="false" outlineLevel="1" customWidth="1"/>
    <col min="322" max="322" width="11.04" hidden="false" outlineLevel="1" customWidth="1"/>
    <col min="323" max="323" width="11.04" hidden="false" outlineLevel="1" customWidth="1"/>
    <col min="324" max="324" width="11.04" hidden="false" outlineLevel="1" customWidth="1"/>
    <col min="325" max="325" width="11.04" hidden="false" outlineLevel="1" customWidth="1"/>
    <col min="326" max="326" width="11.04" hidden="false" outlineLevel="1" customWidth="1"/>
    <col min="327" max="327" width="11.04" hidden="false" outlineLevel="1" customWidth="1"/>
    <col min="328" max="328" width="11.04" hidden="false" outlineLevel="1" customWidth="1"/>
    <col min="329" max="329" width="11.04" hidden="false" outlineLevel="1" customWidth="1"/>
    <col min="330" max="330" width="11.04" hidden="false" outlineLevel="1" customWidth="1"/>
    <col min="331" max="331" width="11.04" hidden="false" outlineLevel="1" customWidth="1"/>
    <col min="332" max="332" width="11.04" hidden="false" outlineLevel="1" customWidth="1"/>
    <col min="333" max="333" width="11.04" hidden="false" outlineLevel="1" customWidth="1"/>
    <col min="334" max="334" width="11.04" hidden="false" outlineLevel="1" customWidth="1"/>
    <col min="335" max="335" width="11.04" hidden="false" outlineLevel="1" customWidth="1"/>
    <col min="336" max="336" width="11.04" hidden="false" outlineLevel="1" customWidth="1"/>
    <col min="337" max="337" width="11.04" hidden="false" outlineLevel="1" customWidth="1"/>
    <col min="338" max="338" width="11.04" hidden="false" outlineLevel="1" customWidth="1"/>
    <col min="339" max="339" width="11.04" hidden="false" outlineLevel="1" customWidth="1"/>
    <col min="340" max="340" width="11.04" hidden="false" outlineLevel="1" customWidth="1"/>
    <col min="341" max="341" width="11.04" hidden="false" outlineLevel="1" customWidth="1"/>
    <col min="342" max="342" width="11.04" hidden="false" outlineLevel="1" customWidth="1"/>
    <col min="343" max="343" width="11.04" hidden="false" outlineLevel="1" customWidth="1"/>
    <col min="344" max="344" width="11.04" hidden="false" outlineLevel="1" customWidth="1"/>
    <col min="345" max="345" width="11.04" hidden="false" outlineLevel="1" customWidth="1"/>
    <col min="346" max="346" width="11.04" hidden="false" outlineLevel="1" customWidth="1"/>
    <col min="347" max="347" width="11.04" hidden="false" outlineLevel="1" customWidth="1"/>
    <col min="348" max="348" width="11.04" hidden="false" outlineLevel="1" customWidth="1"/>
    <col min="349" max="349" width="11.04" hidden="false" outlineLevel="1" customWidth="1"/>
    <col min="350" max="350" width="11.04" hidden="false" outlineLevel="1" customWidth="1"/>
    <col min="351" max="351" width="11.04" hidden="false" outlineLevel="1" customWidth="1"/>
    <col min="352" max="352" width="11.04" hidden="false" outlineLevel="1" customWidth="1"/>
    <col min="353" max="353" width="11.04" hidden="false" outlineLevel="1" customWidth="1"/>
    <col min="354" max="354" width="11.04" hidden="false" outlineLevel="1" customWidth="1"/>
    <col min="355" max="355" width="11.04" hidden="false" outlineLevel="1" customWidth="1"/>
    <col min="356" max="356" width="11.04" hidden="false" outlineLevel="1" customWidth="1"/>
    <col min="357" max="357" width="11.04" hidden="false" outlineLevel="1" customWidth="1"/>
    <col min="358" max="358" width="11.04" hidden="false" outlineLevel="1" customWidth="1"/>
    <col min="359" max="359" width="11.04" hidden="false" outlineLevel="1" customWidth="1"/>
    <col min="360" max="360" width="11.04" hidden="false" outlineLevel="1" customWidth="1"/>
    <col min="361" max="361" width="11.04" hidden="false" outlineLevel="1" customWidth="1"/>
    <col min="362" max="362" width="11.04" hidden="false" outlineLevel="1" customWidth="1"/>
    <col min="363" max="363" width="11.04" hidden="false" outlineLevel="1" customWidth="1"/>
    <col min="364" max="364" width="11.04" hidden="false" outlineLevel="1" customWidth="1"/>
    <col min="365" max="365" width="11.04" hidden="false" outlineLevel="1" customWidth="1"/>
    <col min="366" max="366" width="11.04" hidden="false" outlineLevel="1" customWidth="1"/>
    <col min="367" max="367" width="11.04" hidden="false" outlineLevel="1" customWidth="1"/>
    <col min="368" max="368" width="11.04" hidden="false" outlineLevel="1" customWidth="1"/>
    <col min="369" max="369" width="11.04" hidden="false" outlineLevel="1" customWidth="1"/>
    <col min="370" max="370" width="11.04" hidden="false" outlineLevel="1" customWidth="1"/>
    <col min="371" max="371" width="11.04" hidden="false" outlineLevel="1" customWidth="1"/>
    <col min="372" max="372" width="11.04" hidden="false" outlineLevel="1" customWidth="1"/>
    <col min="373" max="373" width="11.04" hidden="false" outlineLevel="1" customWidth="1"/>
    <col min="374" max="374" width="11.04" hidden="false" outlineLevel="1" customWidth="1"/>
    <col min="375" max="375" width="11.04" hidden="false" outlineLevel="1" customWidth="1"/>
    <col min="376" max="376" width="11.04" hidden="false" outlineLevel="1" customWidth="1"/>
    <col min="377" max="377" width="11.04" hidden="false" outlineLevel="1" customWidth="1"/>
    <col min="378" max="378" width="11.04" hidden="false" outlineLevel="1" customWidth="1"/>
    <col min="379" max="379" width="11.04" hidden="false" outlineLevel="1" customWidth="1"/>
    <col min="380" max="380" width="11.04" hidden="false" outlineLevel="1" customWidth="1"/>
    <col min="381" max="381" width="11.04" hidden="false" outlineLevel="1" customWidth="1"/>
    <col min="382" max="382" width="11.04" hidden="false" outlineLevel="1" customWidth="1"/>
    <col min="383" max="383" width="11.04" hidden="false" outlineLevel="1" customWidth="1"/>
    <col min="384" max="384" width="11.04" hidden="false" outlineLevel="1" customWidth="1"/>
    <col min="385" max="385" width="11.04" hidden="false" outlineLevel="1" customWidth="1"/>
    <col min="386" max="386" width="11.04" hidden="false" outlineLevel="1" customWidth="1"/>
    <col min="387" max="387" width="11.04" hidden="false" outlineLevel="1" customWidth="1"/>
    <col min="388" max="388" width="11.04" hidden="false" outlineLevel="1" customWidth="1"/>
    <col min="389" max="389" width="11.04" hidden="false" outlineLevel="1" customWidth="1"/>
    <col min="390" max="390" width="11.04" hidden="false" outlineLevel="1" customWidth="1"/>
    <col min="391" max="391" width="11.04" hidden="false" outlineLevel="1" customWidth="1"/>
    <col min="392" max="392" width="11.04" hidden="false" outlineLevel="1" customWidth="1"/>
    <col min="393" max="393" width="11.04" hidden="false" outlineLevel="1" customWidth="1"/>
    <col min="394" max="394" width="11.04" hidden="false" outlineLevel="1" customWidth="1"/>
    <col min="395" max="395" width="11.04" hidden="false" outlineLevel="1" customWidth="1"/>
    <col min="396" max="396" width="11.04" hidden="false" outlineLevel="1" customWidth="1"/>
    <col min="397" max="397" width="11.04" hidden="false" outlineLevel="1" customWidth="1"/>
    <col min="398" max="398" width="11.04" hidden="false" outlineLevel="1" customWidth="1"/>
    <col min="399" max="399" width="11.04" hidden="false" outlineLevel="1" customWidth="1"/>
    <col min="400" max="400" width="11.04" hidden="false" outlineLevel="1" customWidth="1"/>
    <col min="401" max="401" width="11.04" hidden="false" outlineLevel="1" customWidth="1"/>
    <col min="402" max="402" width="11.04" hidden="false" outlineLevel="1" customWidth="1"/>
    <col min="403" max="403" width="11.04" hidden="false" outlineLevel="1" customWidth="1"/>
    <col min="404" max="404" width="11.04" hidden="false" outlineLevel="1" customWidth="1"/>
    <col min="405" max="405" width="11.04" hidden="false" outlineLevel="1" customWidth="1"/>
    <col min="406" max="406" width="11.04" hidden="false" outlineLevel="1" customWidth="1"/>
    <col min="407" max="407" width="11.04" hidden="false" outlineLevel="1" customWidth="1"/>
    <col min="408" max="408" width="11.04" hidden="false" outlineLevel="1" customWidth="1"/>
    <col min="409" max="409" width="11.04" hidden="false" outlineLevel="1" customWidth="1"/>
    <col min="410" max="410" width="11.04" hidden="false" outlineLevel="1" customWidth="1"/>
    <col min="411" max="411" width="11.04" hidden="false" outlineLevel="1" customWidth="1"/>
    <col min="412" max="412" width="11.04" hidden="false" outlineLevel="1" customWidth="1"/>
    <col min="413" max="413" width="11.04" hidden="false" outlineLevel="1" customWidth="1"/>
    <col min="414" max="414" width="11.04" hidden="false" outlineLevel="1" customWidth="1"/>
    <col min="415" max="415" width="11.04" hidden="false" outlineLevel="1" customWidth="1"/>
    <col min="416" max="416" width="11.04" hidden="false" outlineLevel="1" customWidth="1"/>
    <col min="417" max="417" width="11.04" hidden="false" outlineLevel="1" customWidth="1"/>
    <col min="418" max="418" width="11.04" hidden="false" outlineLevel="1" customWidth="1"/>
    <col min="419" max="419" width="11.04" hidden="false" outlineLevel="1" customWidth="1"/>
    <col min="420" max="420" width="11.04" hidden="false" outlineLevel="1" customWidth="1"/>
    <col min="421" max="421" width="11.04" hidden="false" outlineLevel="1" customWidth="1"/>
    <col min="422" max="422" width="11.04" hidden="false" outlineLevel="1" customWidth="1"/>
    <col min="423" max="423" width="11.04" hidden="false" outlineLevel="1" customWidth="1"/>
    <col min="424" max="424" width="11.04" hidden="false" outlineLevel="1" customWidth="1"/>
    <col min="425" max="425" width="11.04" hidden="false" outlineLevel="1" customWidth="1"/>
    <col min="426" max="426" width="11.04" hidden="false" outlineLevel="1" customWidth="1"/>
    <col min="427" max="427" width="11.04" hidden="false" outlineLevel="1" customWidth="1"/>
    <col min="428" max="428" width="11.04" hidden="false" outlineLevel="1" customWidth="1"/>
    <col min="429" max="429" width="11.04" hidden="false" outlineLevel="1" customWidth="1"/>
    <col min="430" max="430" width="11.04" hidden="false" outlineLevel="1" customWidth="1"/>
    <col min="431" max="431" width="11.04" hidden="false" outlineLevel="1" customWidth="1"/>
    <col min="432" max="432" width="11.04" hidden="false" outlineLevel="1" customWidth="1"/>
    <col min="433" max="433" width="11.04" hidden="false" outlineLevel="1" customWidth="1"/>
    <col min="434" max="434" width="11.04" hidden="false" outlineLevel="1" customWidth="1"/>
    <col min="435" max="435" width="11.04" hidden="false" outlineLevel="1" customWidth="1"/>
    <col min="436" max="436" width="11.04" hidden="false" outlineLevel="1" customWidth="1"/>
    <col min="437" max="437" width="11.04" hidden="false" outlineLevel="1" customWidth="1"/>
    <col min="438" max="438" width="11.04" hidden="false" outlineLevel="1" customWidth="1"/>
    <col min="439" max="439" width="11.04" hidden="false" outlineLevel="1" customWidth="1"/>
    <col min="440" max="440" width="11.04" hidden="false" outlineLevel="1" customWidth="1"/>
    <col min="441" max="441" width="11.04" hidden="false" outlineLevel="1" customWidth="1"/>
    <col min="442" max="442" width="11.04" hidden="false" outlineLevel="1" customWidth="1"/>
    <col min="443" max="443" width="11.04" hidden="false" outlineLevel="1" customWidth="1"/>
    <col min="444" max="444" width="11.04" hidden="false" outlineLevel="1" customWidth="1"/>
    <col min="445" max="445" width="11.04" hidden="false" outlineLevel="1" customWidth="1"/>
    <col min="446" max="446" width="11.04" hidden="false" outlineLevel="1" customWidth="1"/>
    <col min="447" max="447" width="11.04" hidden="false" outlineLevel="1" customWidth="1"/>
    <col min="448" max="448" width="11.04" hidden="false" outlineLevel="1" customWidth="1"/>
    <col min="449" max="449" width="11.04" hidden="false" outlineLevel="1" customWidth="1"/>
    <col min="450" max="450" width="11.04" hidden="false" outlineLevel="1" customWidth="1"/>
    <col min="451" max="451" width="11.04" hidden="false" outlineLevel="1" customWidth="1"/>
    <col min="452" max="452" width="11.04" hidden="false" outlineLevel="1" customWidth="1"/>
    <col min="453" max="453" width="11.04" hidden="false" outlineLevel="1" customWidth="1"/>
    <col min="454" max="454" width="11.04" hidden="false" outlineLevel="1" customWidth="1"/>
    <col min="455" max="455" width="11.04" hidden="false" outlineLevel="1" customWidth="1"/>
    <col min="456" max="456" width="11.04" hidden="false" outlineLevel="1" customWidth="1"/>
    <col min="457" max="457" width="11.04" hidden="false" outlineLevel="1" customWidth="1"/>
    <col min="458" max="458" width="11.04" hidden="false" outlineLevel="1" customWidth="1"/>
    <col min="459" max="459" width="11.04" hidden="false" outlineLevel="1" customWidth="1"/>
    <col min="460" max="460" width="11.04" hidden="false" outlineLevel="1" customWidth="1"/>
    <col min="461" max="461" width="11.04" hidden="false" outlineLevel="1" customWidth="1"/>
    <col min="462" max="462" width="11.04" hidden="false" outlineLevel="1" customWidth="1"/>
    <col min="463" max="463" width="11.04" hidden="false" outlineLevel="1" customWidth="1"/>
    <col min="464" max="464" width="11.04" hidden="false" outlineLevel="1" customWidth="1"/>
    <col min="465" max="465" width="11.04" hidden="false" outlineLevel="1" customWidth="1"/>
    <col min="466" max="466" width="11.04" hidden="false" outlineLevel="1" customWidth="1"/>
    <col min="467" max="467" width="11.04" hidden="false" outlineLevel="1" customWidth="1"/>
    <col min="468" max="468" width="11.04" hidden="false" outlineLevel="1" customWidth="1"/>
    <col min="469" max="469" width="11.04" hidden="false" outlineLevel="1" customWidth="1"/>
    <col min="470" max="470" width="11.04" hidden="false" outlineLevel="1" customWidth="1"/>
    <col min="471" max="471" width="11.04" hidden="false" outlineLevel="1" customWidth="1"/>
    <col min="472" max="472" width="11.04" hidden="false" outlineLevel="1" customWidth="1"/>
    <col min="473" max="473" width="11.04" hidden="false" outlineLevel="1" customWidth="1"/>
    <col min="474" max="474" width="11.04" hidden="false" outlineLevel="1" customWidth="1"/>
    <col min="475" max="475" width="11.04" hidden="false" outlineLevel="1" customWidth="1"/>
    <col min="476" max="476" width="11.04" hidden="false" outlineLevel="1" customWidth="1"/>
    <col min="477" max="477" width="11.04" hidden="false" outlineLevel="1" customWidth="1"/>
    <col min="478" max="478" width="11.04" hidden="false" outlineLevel="1" customWidth="1"/>
    <col min="479" max="479" width="11.04" hidden="false" outlineLevel="1" customWidth="1"/>
    <col min="480" max="480" width="11.04" hidden="false" outlineLevel="1" customWidth="1"/>
    <col min="481" max="481" width="11.04" hidden="false" outlineLevel="1" customWidth="1"/>
    <col min="482" max="482" width="11.04" hidden="false" outlineLevel="1" customWidth="1"/>
    <col min="483" max="483" width="11.04" hidden="false" outlineLevel="1" customWidth="1"/>
    <col min="484" max="484" width="11.04" hidden="false" outlineLevel="1" customWidth="1"/>
    <col min="485" max="485" width="11.04" hidden="false" outlineLevel="1" customWidth="1"/>
    <col min="486" max="486" width="11.04" hidden="false" outlineLevel="1" customWidth="1"/>
    <col min="487" max="487" width="11.04" hidden="false" outlineLevel="1" customWidth="1"/>
    <col min="488" max="488" width="11.04" hidden="false" outlineLevel="1" customWidth="1"/>
    <col min="489" max="489" width="11.04" hidden="false" outlineLevel="1" customWidth="1"/>
    <col min="490" max="490" width="11.04" hidden="false" outlineLevel="1" customWidth="1"/>
    <col min="491" max="491" width="11.04" hidden="false" outlineLevel="1" customWidth="1"/>
    <col min="492" max="492" width="11.04" hidden="false" outlineLevel="1" customWidth="1"/>
    <col min="493" max="493" width="11.04" hidden="false" outlineLevel="1" customWidth="1"/>
    <col min="494" max="494" width="11.04" hidden="false" outlineLevel="1" customWidth="1"/>
    <col min="495" max="495" width="11.04" hidden="false" outlineLevel="1" customWidth="1"/>
    <col min="496" max="496" width="11.04" hidden="false" outlineLevel="1" customWidth="1"/>
    <col min="497" max="497" width="11.04" hidden="false" outlineLevel="1" customWidth="1"/>
    <col min="498" max="498" width="11.04" hidden="false" outlineLevel="1" customWidth="1"/>
    <col min="499" max="499" width="11.04" hidden="false" outlineLevel="1" customWidth="1"/>
    <col min="500" max="500" width="11.04" hidden="false" outlineLevel="1" customWidth="1"/>
    <col min="501" max="501" width="11.04" hidden="false" outlineLevel="1" customWidth="1"/>
    <col min="502" max="502" width="11.04" hidden="false" outlineLevel="1" customWidth="1"/>
    <col min="503" max="503" width="11.04" hidden="false" outlineLevel="1" customWidth="1"/>
    <col min="504" max="504" width="11.04" hidden="false" outlineLevel="1" customWidth="1"/>
    <col min="505" max="505" width="11.04" hidden="false" outlineLevel="1" customWidth="1"/>
    <col min="506" max="506" width="11.04" hidden="false" outlineLevel="1" customWidth="1"/>
    <col min="507" max="507" width="11.04" hidden="false" outlineLevel="1" customWidth="1"/>
    <col min="508" max="508" width="11.04" hidden="false" outlineLevel="1" customWidth="1"/>
    <col min="509" max="509" width="11.04" hidden="false" outlineLevel="1" customWidth="1"/>
    <col min="510" max="510" width="11.04" hidden="false" outlineLevel="1" customWidth="1"/>
    <col min="511" max="511" width="11.04" hidden="false" outlineLevel="1" customWidth="1"/>
    <col min="512" max="512" width="11.04" hidden="false" outlineLevel="1" customWidth="1"/>
    <col min="513" max="513" width="11.04" hidden="false" outlineLevel="1" customWidth="1"/>
    <col min="514" max="514" width="11.04" hidden="false" outlineLevel="1" customWidth="1"/>
    <col min="515" max="515" width="11.04" hidden="false" outlineLevel="1" customWidth="1"/>
    <col min="516" max="516" width="11.04" hidden="false" outlineLevel="1" customWidth="1"/>
    <col min="517" max="517" width="11.04" hidden="false" outlineLevel="1" customWidth="1"/>
    <col min="518" max="518" width="11.04" hidden="false" outlineLevel="1" customWidth="1"/>
    <col min="519" max="519" width="11.04" hidden="false" outlineLevel="1" customWidth="1"/>
    <col min="520" max="520" width="11.04" hidden="false" outlineLevel="1" customWidth="1"/>
    <col min="521" max="521" width="11.04" hidden="false" outlineLevel="1" customWidth="1"/>
    <col min="522" max="522" width="11.04" hidden="false" outlineLevel="1" customWidth="1"/>
    <col min="523" max="523" width="11.04" hidden="false" outlineLevel="1" customWidth="1"/>
    <col min="524" max="524" width="11.04" hidden="false" outlineLevel="1" customWidth="1"/>
    <col min="525" max="525" width="11.04" hidden="false" outlineLevel="1" customWidth="1"/>
    <col min="526" max="526" width="11.04" hidden="false" outlineLevel="1" customWidth="1"/>
    <col min="527" max="527" width="11.04" hidden="false" outlineLevel="1" customWidth="1"/>
    <col min="528" max="528" width="11.04" hidden="false" outlineLevel="1" customWidth="1"/>
    <col min="529" max="529" width="11.04" hidden="false" outlineLevel="1" customWidth="1"/>
    <col min="530" max="530" width="11.04" hidden="false" outlineLevel="1" customWidth="1"/>
    <col min="531" max="531" width="11.04" hidden="false" outlineLevel="1" customWidth="1"/>
    <col min="532" max="532" width="11.04" hidden="false" outlineLevel="1" customWidth="1"/>
    <col min="533" max="533" width="11.04" hidden="false" outlineLevel="1" customWidth="1"/>
    <col min="534" max="534" width="11.04" hidden="false" outlineLevel="1" customWidth="1"/>
    <col min="535" max="535" width="11.04" hidden="false" outlineLevel="1" customWidth="1"/>
    <col min="536" max="536" width="11.04" hidden="false" outlineLevel="1" customWidth="1"/>
    <col min="537" max="537" width="11.04" hidden="false" outlineLevel="1" customWidth="1"/>
    <col min="538" max="538" width="11.04" hidden="false" outlineLevel="1" customWidth="1"/>
    <col min="539" max="539" width="11.04" hidden="false" outlineLevel="1" customWidth="1"/>
    <col min="540" max="540" width="11.04" hidden="false" outlineLevel="1" customWidth="1"/>
    <col min="541" max="541" width="11.04" hidden="false" outlineLevel="1" customWidth="1"/>
    <col min="542" max="542" width="11.04" hidden="false" outlineLevel="1" customWidth="1"/>
    <col min="543" max="543" width="11.04" hidden="false" outlineLevel="1" customWidth="1"/>
    <col min="544" max="544" width="11.04" hidden="false" outlineLevel="1" customWidth="1"/>
    <col min="545" max="545" width="11.04" hidden="false" outlineLevel="1" customWidth="1"/>
    <col min="546" max="546" width="11.04" hidden="false" outlineLevel="1" customWidth="1"/>
    <col min="547" max="547" width="11.04" hidden="false" outlineLevel="1" customWidth="1"/>
    <col min="548" max="548" width="11.04" hidden="false" outlineLevel="1" customWidth="1"/>
    <col min="549" max="549" width="11.04" hidden="false" outlineLevel="1" customWidth="1"/>
    <col min="550" max="550" width="11.04" hidden="false" outlineLevel="1" customWidth="1"/>
    <col min="551" max="551" width="11.04" hidden="false" outlineLevel="1" customWidth="1"/>
    <col min="552" max="552" width="11.04" hidden="false" outlineLevel="1" customWidth="1"/>
    <col min="553" max="553" width="11.04" hidden="false" outlineLevel="1" customWidth="1"/>
    <col min="554" max="554" width="11.04" hidden="false" outlineLevel="1" customWidth="1"/>
    <col min="555" max="555" width="11.04" hidden="false" outlineLevel="1" customWidth="1"/>
    <col min="556" max="556" width="11.04" hidden="false" outlineLevel="1" customWidth="1"/>
    <col min="557" max="557" width="11.04" hidden="false" outlineLevel="1" customWidth="1"/>
    <col min="558" max="558" width="11.04" hidden="false" outlineLevel="1" customWidth="1"/>
    <col min="559" max="559" width="11.04" hidden="false" outlineLevel="1" customWidth="1"/>
    <col min="560" max="560" width="11.04" hidden="false" outlineLevel="1" customWidth="1"/>
    <col min="561" max="561" width="11.04" hidden="false" outlineLevel="1" customWidth="1"/>
    <col min="562" max="562" width="11.04" hidden="false" outlineLevel="1" customWidth="1"/>
    <col min="563" max="563" width="11.04" hidden="false" outlineLevel="1" customWidth="1"/>
    <col min="564" max="564" width="11.04" hidden="false" outlineLevel="1" customWidth="1"/>
    <col min="565" max="565" width="11.04" hidden="false" outlineLevel="1" customWidth="1"/>
    <col min="566" max="566" width="11.04" hidden="false" outlineLevel="1" customWidth="1"/>
    <col min="567" max="567" width="11.04" hidden="false" outlineLevel="1" customWidth="1"/>
    <col min="568" max="568" width="11.04" hidden="false" outlineLevel="1" customWidth="1"/>
    <col min="569" max="569" width="11.04" hidden="false" outlineLevel="1" customWidth="1"/>
    <col min="570" max="570" width="11.04" hidden="false" outlineLevel="1" customWidth="1"/>
    <col min="571" max="571" width="11.04" hidden="false" outlineLevel="1" customWidth="1"/>
    <col min="572" max="572" width="11.04" hidden="false" outlineLevel="1" customWidth="1"/>
    <col min="573" max="573" width="11.04" hidden="false" outlineLevel="1" customWidth="1"/>
    <col min="574" max="574" width="11.04" hidden="false" outlineLevel="1" customWidth="1"/>
    <col min="575" max="575" width="11.04" hidden="false" outlineLevel="1" customWidth="1"/>
    <col min="576" max="576" width="11.04" hidden="false" outlineLevel="1" customWidth="1"/>
    <col min="577" max="577" width="11.04" hidden="false" outlineLevel="1" customWidth="1"/>
    <col min="578" max="578" width="11.04" hidden="false" outlineLevel="1" customWidth="1"/>
    <col min="579" max="579" width="11.04" hidden="false" outlineLevel="1" customWidth="1"/>
    <col min="580" max="580" width="11.04" hidden="false" outlineLevel="1" customWidth="1"/>
    <col min="581" max="581" width="11.04" hidden="false" outlineLevel="1" customWidth="1"/>
    <col min="582" max="582" width="11.04" hidden="false" outlineLevel="1" customWidth="1"/>
    <col min="583" max="583" width="11.04" hidden="false" outlineLevel="1" customWidth="1"/>
    <col min="584" max="584" width="11.04" hidden="false" outlineLevel="1" customWidth="1"/>
    <col min="585" max="585" width="11.04" hidden="false" outlineLevel="1" customWidth="1"/>
    <col min="586" max="586" width="11.04" hidden="false" outlineLevel="1" customWidth="1"/>
    <col min="587" max="587" width="11.04" hidden="false" outlineLevel="1" customWidth="1"/>
    <col min="588" max="588" width="11.04" hidden="false" outlineLevel="1" customWidth="1"/>
    <col min="589" max="589" width="11.04" hidden="false" outlineLevel="1" customWidth="1"/>
    <col min="590" max="590" width="11.04" hidden="false" outlineLevel="1" customWidth="1"/>
    <col min="591" max="591" width="11.04" hidden="false" outlineLevel="1" customWidth="1"/>
    <col min="592" max="592" width="11.04" hidden="false" outlineLevel="1" customWidth="1"/>
    <col min="593" max="593" width="11.04" hidden="false" outlineLevel="1" customWidth="1"/>
    <col min="594" max="594" width="11.04" hidden="false" outlineLevel="1" customWidth="1"/>
    <col min="595" max="595" width="11.04" hidden="false" outlineLevel="1" customWidth="1"/>
    <col min="596" max="596" width="11.04" hidden="false" outlineLevel="1" customWidth="1"/>
    <col min="597" max="597" width="11.04" hidden="false" outlineLevel="1" customWidth="1"/>
    <col min="598" max="598" width="11.04" hidden="false" outlineLevel="1" customWidth="1"/>
    <col min="599" max="599" width="11.04" hidden="false" outlineLevel="1" customWidth="1"/>
    <col min="600" max="600" width="11.04" hidden="false" outlineLevel="1" customWidth="1"/>
    <col min="601" max="601" width="11.04" hidden="false" outlineLevel="1" customWidth="1"/>
    <col min="602" max="602" width="11.04" hidden="false" outlineLevel="1" customWidth="1"/>
    <col min="603" max="603" width="11.04" hidden="false" outlineLevel="1" customWidth="1"/>
    <col min="604" max="604" width="11.04" hidden="false" outlineLevel="1" customWidth="1"/>
    <col min="605" max="605" width="11.04" hidden="false" outlineLevel="1" customWidth="1"/>
    <col min="606" max="606" width="11.04" hidden="false" outlineLevel="1" customWidth="1"/>
    <col min="607" max="607" width="11.04" hidden="false" outlineLevel="1" customWidth="1"/>
    <col min="608" max="608" width="11.04" hidden="false" outlineLevel="1" customWidth="1"/>
    <col min="609" max="609" width="11.04" hidden="false" outlineLevel="1" customWidth="1"/>
    <col min="610" max="610" width="11.04" hidden="false" outlineLevel="1" customWidth="1"/>
    <col min="611" max="611" width="11.04" hidden="false" outlineLevel="1" customWidth="1"/>
    <col min="612" max="612" width="11.04" hidden="false" outlineLevel="1" customWidth="1"/>
    <col min="613" max="613" width="11.04" hidden="false" outlineLevel="1" customWidth="1"/>
    <col min="614" max="614" width="11.04" hidden="false" outlineLevel="1" customWidth="1"/>
    <col min="615" max="615" width="11.04" hidden="false" outlineLevel="1" customWidth="1"/>
    <col min="616" max="616" width="11.04" hidden="false" outlineLevel="1" customWidth="1"/>
    <col min="617" max="617" width="11.04" hidden="false" outlineLevel="1" customWidth="1"/>
    <col min="618" max="618" width="11.04" hidden="false" outlineLevel="1" customWidth="1"/>
    <col min="619" max="619" width="11.04" hidden="false" outlineLevel="1" customWidth="1"/>
    <col min="620" max="620" width="11.04" hidden="false" outlineLevel="1" customWidth="1"/>
    <col min="621" max="621" width="11.04" hidden="false" outlineLevel="1" customWidth="1"/>
    <col min="622" max="622" width="11.04" hidden="false" outlineLevel="1" customWidth="1"/>
    <col min="623" max="623" width="11.04" hidden="false" outlineLevel="1" customWidth="1"/>
    <col min="624" max="624" width="11.04" hidden="false" outlineLevel="1" customWidth="1"/>
    <col min="625" max="625" width="11.04" hidden="false" outlineLevel="1" customWidth="1"/>
    <col min="626" max="626" width="11.04" hidden="false" outlineLevel="1" customWidth="1"/>
    <col min="627" max="627" width="11.04" hidden="false" outlineLevel="1" customWidth="1"/>
    <col min="628" max="628" width="11.04" hidden="false" outlineLevel="1" customWidth="1"/>
    <col min="629" max="629" width="11.04" hidden="false" outlineLevel="1" customWidth="1"/>
    <col min="630" max="630" width="11.04" hidden="false" outlineLevel="1" customWidth="1"/>
    <col min="631" max="631" width="11.04" hidden="false" outlineLevel="1" customWidth="1"/>
    <col min="632" max="632" width="11.04" hidden="false" outlineLevel="1" customWidth="1"/>
    <col min="633" max="633" width="11.04" hidden="false" outlineLevel="1" customWidth="1"/>
    <col min="634" max="634" width="11.04" hidden="false" outlineLevel="1" customWidth="1"/>
    <col min="635" max="635" width="11.04" hidden="false" outlineLevel="1" customWidth="1"/>
    <col min="636" max="636" width="11.04" hidden="false" outlineLevel="1" customWidth="1"/>
    <col min="637" max="637" width="11.04" hidden="false" outlineLevel="1" customWidth="1"/>
    <col min="638" max="638" width="11.04" hidden="false" outlineLevel="1" customWidth="1"/>
    <col min="639" max="639" width="11.04" hidden="false" outlineLevel="1" customWidth="1"/>
    <col min="640" max="640" width="11.04" hidden="false" outlineLevel="1" customWidth="1"/>
    <col min="641" max="641" width="11.04" hidden="false" outlineLevel="1" customWidth="1"/>
    <col min="642" max="642" width="11.04" hidden="false" outlineLevel="1" customWidth="1"/>
    <col min="643" max="643" width="11.04" hidden="false" outlineLevel="1" customWidth="1"/>
    <col min="644" max="644" width="11.04" hidden="false" outlineLevel="1" customWidth="1"/>
    <col min="645" max="645" width="11.04" hidden="false" outlineLevel="1" customWidth="1"/>
    <col min="646" max="646" width="11.04" hidden="false" outlineLevel="1" customWidth="1"/>
    <col min="647" max="647" width="11.04" hidden="false" outlineLevel="1" customWidth="1"/>
    <col min="648" max="648" width="11.04" hidden="false" outlineLevel="1" customWidth="1"/>
    <col min="649" max="649" width="11.04" hidden="false" outlineLevel="1" customWidth="1"/>
    <col min="650" max="650" width="11.04" hidden="false" outlineLevel="1" customWidth="1"/>
    <col min="651" max="651" width="11.04" hidden="false" outlineLevel="1" customWidth="1"/>
    <col min="652" max="652" width="11.04" hidden="false" outlineLevel="1" customWidth="1"/>
    <col min="653" max="653" width="11.04" hidden="false" outlineLevel="1" customWidth="1"/>
    <col min="654" max="654" width="11.04" hidden="false" outlineLevel="1" customWidth="1"/>
    <col min="655" max="655" width="11.04" hidden="false" outlineLevel="1" customWidth="1"/>
    <col min="656" max="656" width="11.04" hidden="false" outlineLevel="1" customWidth="1"/>
    <col min="657" max="657" width="11.04" hidden="false" outlineLevel="1" customWidth="1"/>
    <col min="658" max="658" width="11.04" hidden="false" outlineLevel="1" customWidth="1"/>
    <col min="659" max="659" width="11.04" hidden="false" outlineLevel="1" customWidth="1"/>
    <col min="660" max="660" width="11.04" hidden="false" outlineLevel="1" customWidth="1"/>
    <col min="661" max="661" width="11.04" hidden="false" outlineLevel="1" customWidth="1"/>
    <col min="662" max="662" width="11.04" hidden="false" outlineLevel="1" customWidth="1"/>
    <col min="663" max="663" width="11.04" hidden="false" outlineLevel="1" customWidth="1"/>
    <col min="664" max="664" width="11.04" hidden="false" outlineLevel="1" customWidth="1"/>
    <col min="665" max="665" width="11.04" hidden="false" outlineLevel="1" customWidth="1"/>
    <col min="666" max="666" width="11.04" hidden="false" outlineLevel="1" customWidth="1"/>
    <col min="667" max="667" width="11.04" hidden="false" outlineLevel="1" customWidth="1"/>
    <col min="668" max="668" width="11.04" hidden="false" outlineLevel="1" customWidth="1"/>
    <col min="669" max="669" width="11.04" hidden="false" outlineLevel="1" customWidth="1"/>
    <col min="670" max="670" width="11.04" hidden="false" outlineLevel="1" customWidth="1"/>
    <col min="671" max="671" width="11.04" hidden="false" outlineLevel="1" customWidth="1"/>
    <col min="672" max="672" width="11.04" hidden="false" outlineLevel="1" customWidth="1"/>
    <col min="673" max="673" width="11.04" hidden="false" outlineLevel="1" customWidth="1"/>
    <col min="674" max="674" width="11.04" hidden="false" outlineLevel="1" customWidth="1"/>
    <col min="675" max="675" width="11.04" hidden="false" outlineLevel="1" customWidth="1"/>
    <col min="676" max="676" width="11.04" hidden="false" outlineLevel="1" customWidth="1"/>
    <col min="677" max="677" width="11.04" hidden="false" outlineLevel="1" customWidth="1"/>
    <col min="678" max="678" width="11.04" hidden="false" outlineLevel="1" customWidth="1"/>
    <col min="679" max="679" width="11.04" hidden="false" outlineLevel="1" customWidth="1"/>
    <col min="680" max="680" width="11.04" hidden="false" outlineLevel="1" customWidth="1"/>
    <col min="681" max="681" width="11.04" hidden="false" outlineLevel="1" customWidth="1"/>
    <col min="682" max="682" width="11.04" hidden="false" outlineLevel="1" customWidth="1"/>
    <col min="683" max="683" width="11.04" hidden="false" outlineLevel="1" customWidth="1"/>
    <col min="684" max="684" width="11.04" hidden="false" outlineLevel="1" customWidth="1"/>
    <col min="685" max="685" width="11.04" hidden="false" outlineLevel="1" customWidth="1"/>
    <col min="686" max="686" width="11.04" hidden="false" outlineLevel="1" customWidth="1"/>
    <col min="687" max="687" width="11.04" hidden="false" outlineLevel="1" customWidth="1"/>
    <col min="688" max="688" width="11.04" hidden="false" outlineLevel="1" customWidth="1"/>
    <col min="689" max="689" width="11.04" hidden="false" outlineLevel="1" customWidth="1"/>
    <col min="690" max="690" width="11.04" hidden="false" outlineLevel="1" customWidth="1"/>
    <col min="691" max="691" width="11.04" hidden="false" outlineLevel="1" customWidth="1"/>
    <col min="692" max="692" width="11.04" hidden="false" outlineLevel="1" customWidth="1"/>
    <col min="693" max="693" width="11.04" hidden="false" outlineLevel="1" customWidth="1"/>
    <col min="694" max="694" width="11.04" hidden="false" outlineLevel="1" customWidth="1"/>
    <col min="695" max="695" width="11.04" hidden="false" outlineLevel="1" customWidth="1"/>
    <col min="696" max="696" width="11.04" hidden="false" outlineLevel="1" customWidth="1"/>
    <col min="697" max="697" width="11.04" hidden="false" outlineLevel="1" customWidth="1"/>
    <col min="698" max="698" width="11.04" hidden="false" outlineLevel="1" customWidth="1"/>
    <col min="699" max="699" width="11.04" hidden="false" outlineLevel="1" customWidth="1"/>
    <col min="700" max="700" width="11.04" hidden="false" outlineLevel="1" customWidth="1"/>
    <col min="701" max="701" width="11.04" hidden="false" outlineLevel="1" customWidth="1"/>
    <col min="702" max="702" width="11.04" hidden="false" outlineLevel="1" customWidth="1"/>
    <col min="703" max="703" width="11.04" hidden="false" outlineLevel="1" customWidth="1"/>
    <col min="704" max="704" width="11.04" hidden="false" outlineLevel="1" customWidth="1"/>
    <col min="705" max="705" width="11.04" hidden="false" outlineLevel="1" customWidth="1"/>
    <col min="706" max="706" width="11.04" hidden="false" outlineLevel="1" customWidth="1"/>
    <col min="707" max="707" width="11.04" hidden="false" outlineLevel="1" customWidth="1"/>
    <col min="708" max="708" width="11.04" hidden="false" outlineLevel="1" customWidth="1"/>
    <col min="709" max="709" width="11.04" hidden="false" outlineLevel="1" customWidth="1"/>
    <col min="710" max="710" width="11.04" hidden="false" outlineLevel="1" customWidth="1"/>
    <col min="711" max="711" width="11.04" hidden="false" outlineLevel="1" customWidth="1"/>
    <col min="712" max="712" width="11.04" hidden="false" outlineLevel="1" customWidth="1"/>
    <col min="713" max="713" width="11.04" hidden="false" outlineLevel="1" customWidth="1"/>
    <col min="714" max="714" width="11.04" hidden="false" outlineLevel="1" customWidth="1"/>
    <col min="715" max="715" width="11.04" hidden="false" outlineLevel="1" customWidth="1"/>
    <col min="716" max="716" width="11.04" hidden="false" outlineLevel="1" customWidth="1"/>
    <col min="717" max="717" width="11.04" hidden="false" outlineLevel="1" customWidth="1"/>
    <col min="718" max="718" width="11.04" hidden="false" outlineLevel="1" customWidth="1"/>
    <col min="719" max="719" width="11.04" hidden="false" outlineLevel="1" customWidth="1"/>
    <col min="720" max="720" width="11.04" hidden="false" outlineLevel="1" customWidth="1"/>
    <col min="721" max="721" width="11.04" hidden="false" outlineLevel="1" customWidth="1"/>
    <col min="722" max="722" width="11.04" hidden="false" outlineLevel="1" customWidth="1"/>
    <col min="723" max="723" width="11.04" hidden="false" outlineLevel="1" customWidth="1"/>
    <col min="724" max="724" width="11.04" hidden="false" outlineLevel="1" customWidth="1"/>
    <col min="725" max="725" width="11.04" hidden="false" outlineLevel="1" customWidth="1"/>
    <col min="726" max="726" width="11.04" hidden="false" outlineLevel="1" customWidth="1"/>
    <col min="727" max="727" width="11.04" hidden="false" outlineLevel="1" customWidth="1"/>
    <col min="728" max="728" width="11.04" hidden="false" outlineLevel="1" customWidth="1"/>
    <col min="729" max="729" width="11.04" hidden="false" outlineLevel="1" customWidth="1"/>
    <col min="730" max="730" width="11.04" hidden="false" outlineLevel="1" customWidth="1"/>
    <col min="731" max="731" width="11.04" hidden="false" outlineLevel="1" customWidth="1"/>
    <col min="732" max="732" width="11.04" hidden="false" outlineLevel="1" customWidth="1"/>
    <col min="733" max="733" width="11.04" hidden="false" outlineLevel="1" customWidth="1"/>
    <col min="734" max="734" width="11.04" hidden="false" outlineLevel="1" customWidth="1"/>
    <col min="735" max="735" width="11.04" hidden="false" outlineLevel="1" customWidth="1"/>
    <col min="736" max="736" width="11.04" hidden="false" outlineLevel="1" customWidth="1"/>
    <col min="737" max="737" width="11.04" hidden="false" outlineLevel="1" customWidth="1"/>
    <col min="738" max="738" width="11.04" hidden="false" outlineLevel="1" customWidth="1"/>
    <col min="739" max="739" width="11.04" hidden="false" outlineLevel="1" customWidth="1"/>
    <col min="740" max="740" width="11.04" hidden="false" outlineLevel="1" customWidth="1"/>
    <col min="741" max="741" width="11.04" hidden="false" outlineLevel="1" customWidth="1"/>
    <col min="742" max="742" width="11.04" hidden="false" outlineLevel="1" customWidth="1"/>
    <col min="743" max="743" width="11.04" hidden="false" outlineLevel="1" customWidth="1"/>
    <col min="744" max="744" width="11.04" hidden="false" outlineLevel="1" customWidth="1"/>
    <col min="745" max="745" width="11.04" hidden="false" outlineLevel="1" customWidth="1"/>
    <col min="746" max="746" width="11.04" hidden="false" outlineLevel="1" customWidth="1"/>
    <col min="747" max="747" width="11.04" hidden="false" outlineLevel="1" customWidth="1"/>
    <col min="748" max="748" width="11.04" hidden="false" outlineLevel="1" customWidth="1"/>
    <col min="749" max="749" width="11.04" hidden="false" outlineLevel="1" customWidth="1"/>
    <col min="750" max="750" width="11.04" hidden="false" outlineLevel="1" customWidth="1"/>
    <col min="751" max="751" width="11.04" hidden="false" outlineLevel="1" customWidth="1"/>
    <col min="752" max="752" width="11.04" hidden="false" outlineLevel="1" customWidth="1"/>
    <col min="753" max="753" width="11.04" hidden="false" outlineLevel="1" customWidth="1"/>
    <col min="754" max="754" width="11.04" hidden="false" outlineLevel="1" customWidth="1"/>
    <col min="755" max="755" width="11.04" hidden="false" outlineLevel="1" customWidth="1"/>
    <col min="756" max="756" width="11.04" hidden="false" outlineLevel="1" customWidth="1"/>
    <col min="757" max="757" width="11.04" hidden="false" outlineLevel="1" customWidth="1"/>
    <col min="758" max="758" width="11.04" hidden="false" outlineLevel="1" customWidth="1"/>
    <col min="759" max="759" width="11.04" hidden="false" outlineLevel="1" customWidth="1"/>
    <col min="760" max="760" width="11.04" hidden="false" outlineLevel="1" customWidth="1"/>
    <col min="761" max="761" width="11.04" hidden="false" outlineLevel="1" customWidth="1"/>
    <col min="762" max="762" width="11.04" hidden="false" outlineLevel="1" customWidth="1"/>
    <col min="763" max="763" width="11.04" hidden="false" outlineLevel="1" customWidth="1"/>
    <col min="764" max="764" width="11.04" hidden="false" outlineLevel="1" customWidth="1"/>
    <col min="765" max="765" width="11.04" hidden="false" outlineLevel="1" customWidth="1"/>
    <col min="766" max="766" width="11.04" hidden="false" outlineLevel="1" customWidth="1"/>
    <col min="767" max="767" width="11.04" hidden="false" outlineLevel="1" customWidth="1"/>
    <col min="768" max="768" width="11.04" hidden="false" outlineLevel="1" customWidth="1"/>
    <col min="769" max="769" width="11.04" hidden="false" outlineLevel="1" customWidth="1"/>
    <col min="770" max="770" width="11.04" hidden="false" outlineLevel="1" customWidth="1"/>
    <col min="771" max="771" width="11.04" hidden="false" outlineLevel="1" customWidth="1"/>
    <col min="772" max="772" width="11.04" hidden="false" outlineLevel="1" customWidth="1"/>
    <col min="773" max="773" width="11.04" hidden="false" outlineLevel="1" customWidth="1"/>
    <col min="774" max="774" width="11.04" hidden="false" outlineLevel="1" customWidth="1"/>
    <col min="775" max="775" width="11.04" hidden="false" outlineLevel="1" customWidth="1"/>
    <col min="776" max="776" width="11.04" hidden="false" outlineLevel="1" customWidth="1"/>
    <col min="777" max="777" width="11.04" hidden="false" outlineLevel="1" customWidth="1"/>
    <col min="778" max="778" width="11.04" hidden="false" outlineLevel="1" customWidth="1"/>
    <col min="779" max="779" width="11.04" hidden="false" outlineLevel="1" customWidth="1"/>
    <col min="780" max="780" width="11.04" hidden="false" outlineLevel="1" customWidth="1"/>
    <col min="781" max="781" width="11.04" hidden="false" outlineLevel="1" customWidth="1"/>
    <col min="782" max="782" width="11.04" hidden="false" outlineLevel="1" customWidth="1"/>
    <col min="783" max="783" width="11.04" hidden="false" outlineLevel="1" customWidth="1"/>
    <col min="784" max="784" width="11.04" hidden="false" outlineLevel="1" customWidth="1"/>
    <col min="785" max="785" width="11.04" hidden="false" outlineLevel="1" customWidth="1"/>
    <col min="786" max="786" width="11.04" hidden="false" outlineLevel="1" customWidth="1"/>
    <col min="787" max="787" width="11.04" hidden="false" outlineLevel="1" customWidth="1"/>
    <col min="788" max="788" width="11.04" hidden="false" outlineLevel="1" customWidth="1"/>
    <col min="789" max="789" width="11.04" hidden="false" outlineLevel="1" customWidth="1"/>
    <col min="790" max="790" width="11.04" hidden="false" outlineLevel="1" customWidth="1"/>
    <col min="791" max="791" width="11.04" hidden="false" outlineLevel="1" customWidth="1"/>
    <col min="792" max="792" width="11.04" hidden="false" outlineLevel="1" customWidth="1"/>
    <col min="793" max="793" width="11.04" hidden="false" outlineLevel="1" customWidth="1"/>
    <col min="794" max="794" width="11.04" hidden="false" outlineLevel="1" customWidth="1"/>
    <col min="795" max="795" width="11.04" hidden="false" outlineLevel="1" customWidth="1"/>
    <col min="796" max="796" width="11.04" hidden="false" outlineLevel="1" customWidth="1"/>
    <col min="797" max="797" width="11.04" hidden="false" outlineLevel="1" customWidth="1"/>
    <col min="798" max="798" width="11.04" hidden="false" outlineLevel="1" customWidth="1"/>
    <col min="799" max="799" width="11.04" hidden="false" outlineLevel="1" customWidth="1"/>
    <col min="800" max="800" width="11.04" hidden="false" outlineLevel="1" customWidth="1"/>
    <col min="801" max="801" width="11.04" hidden="false" outlineLevel="1" customWidth="1"/>
    <col min="802" max="802" width="11.04" hidden="false" outlineLevel="1" customWidth="1"/>
    <col min="803" max="803" width="11.04" hidden="false" outlineLevel="1" customWidth="1"/>
    <col min="804" max="804" width="11.04" hidden="false" outlineLevel="1" customWidth="1"/>
    <col min="805" max="805" width="11.04" hidden="false" outlineLevel="1" customWidth="1"/>
    <col min="806" max="806" width="11.04" hidden="false" outlineLevel="1" customWidth="1"/>
    <col min="807" max="807" width="11.04" hidden="false" outlineLevel="1" customWidth="1"/>
    <col min="808" max="808" width="11.04" hidden="false" outlineLevel="1" customWidth="1"/>
    <col min="809" max="809" width="11.04" hidden="false" outlineLevel="1" customWidth="1"/>
    <col min="810" max="810" width="11.04" hidden="false" outlineLevel="1" customWidth="1"/>
    <col min="811" max="811" width="11.04" hidden="false" outlineLevel="1" customWidth="1"/>
    <col min="812" max="812" width="11.04" hidden="false" outlineLevel="1" customWidth="1"/>
    <col min="813" max="813" width="11.04" hidden="false" outlineLevel="1" customWidth="1"/>
    <col min="814" max="814" width="11.04" hidden="false" outlineLevel="1" customWidth="1"/>
    <col min="815" max="815" width="11.04" hidden="false" outlineLevel="1" customWidth="1"/>
    <col min="816" max="816" width="11.04" hidden="false" outlineLevel="1" customWidth="1"/>
    <col min="817" max="817" width="11.04" hidden="false" outlineLevel="1" customWidth="1"/>
    <col min="818" max="818" width="11.04" hidden="false" outlineLevel="1" customWidth="1"/>
    <col min="819" max="819" width="11.04" hidden="false" outlineLevel="1" customWidth="1"/>
    <col min="820" max="820" width="11.04" hidden="false" outlineLevel="1" customWidth="1"/>
    <col min="821" max="821" width="11.04" hidden="false" outlineLevel="1" customWidth="1"/>
    <col min="822" max="822" width="11.04" hidden="false" outlineLevel="1" customWidth="1"/>
    <col min="823" max="823" width="11.04" hidden="false" outlineLevel="1" customWidth="1"/>
    <col min="824" max="824" width="11.04" hidden="false" outlineLevel="1" customWidth="1"/>
    <col min="825" max="825" width="11.04" hidden="false" outlineLevel="1" customWidth="1"/>
    <col min="826" max="826" width="11.04" hidden="false" outlineLevel="1" customWidth="1"/>
    <col min="827" max="827" width="11.04" hidden="false" outlineLevel="1" customWidth="1"/>
    <col min="828" max="828" width="11.04" hidden="false" outlineLevel="1" customWidth="1"/>
    <col min="829" max="829" width="11.04" hidden="false" outlineLevel="1" customWidth="1"/>
    <col min="830" max="830" width="11.04" hidden="false" outlineLevel="1" customWidth="1"/>
    <col min="831" max="831" width="11.04" hidden="false" outlineLevel="1" customWidth="1"/>
    <col min="832" max="832" width="11.04" hidden="false" outlineLevel="1" customWidth="1"/>
    <col min="833" max="833" width="11.04" hidden="false" outlineLevel="1" customWidth="1"/>
    <col min="834" max="834" width="11.04" hidden="false" outlineLevel="1" customWidth="1"/>
    <col min="835" max="835" width="11.04" hidden="false" outlineLevel="1" customWidth="1"/>
    <col min="836" max="836" width="11.04" hidden="false" outlineLevel="1" customWidth="1"/>
    <col min="837" max="837" width="11.04" hidden="false" outlineLevel="1" customWidth="1"/>
    <col min="838" max="838" width="11.04" hidden="false" outlineLevel="1" customWidth="1"/>
    <col min="839" max="839" width="11.04" hidden="false" outlineLevel="1" customWidth="1"/>
    <col min="840" max="840" width="11.04" hidden="false" outlineLevel="1" customWidth="1"/>
    <col min="841" max="841" width="11.04" hidden="false" outlineLevel="1" customWidth="1"/>
    <col min="842" max="842" width="11.04" hidden="false" outlineLevel="1" customWidth="1"/>
    <col min="843" max="843" width="11.04" hidden="false" outlineLevel="1" customWidth="1"/>
    <col min="844" max="844" width="11.04" hidden="false" outlineLevel="1" customWidth="1"/>
    <col min="845" max="845" width="11.04" hidden="false" outlineLevel="1" customWidth="1"/>
    <col min="846" max="846" width="11.04" hidden="false" outlineLevel="1" customWidth="1"/>
    <col min="847" max="847" width="11.04" hidden="false" outlineLevel="1" customWidth="1"/>
    <col min="848" max="848" width="11.04" hidden="false" outlineLevel="1" customWidth="1"/>
    <col min="849" max="849" width="11.04" hidden="false" outlineLevel="1" customWidth="1"/>
    <col min="850" max="850" width="11.04" hidden="false" outlineLevel="1" customWidth="1"/>
    <col min="851" max="851" width="11.04" hidden="false" outlineLevel="1" customWidth="1"/>
    <col min="852" max="852" width="11.04" hidden="false" outlineLevel="1" customWidth="1"/>
    <col min="853" max="853" width="11.04" hidden="false" outlineLevel="1" customWidth="1"/>
    <col min="854" max="854" width="11.04" hidden="false" outlineLevel="1" customWidth="1"/>
    <col min="855" max="855" width="11.04" hidden="false" outlineLevel="1" customWidth="1"/>
    <col min="856" max="856" width="11.04" hidden="false" outlineLevel="1" customWidth="1"/>
    <col min="857" max="857" width="11.04" hidden="false" outlineLevel="1" customWidth="1"/>
    <col min="858" max="858" width="11.04" hidden="false" outlineLevel="1" customWidth="1"/>
    <col min="859" max="859" width="11.04" hidden="false" outlineLevel="1" customWidth="1"/>
    <col min="860" max="860" width="11.04" hidden="false" outlineLevel="1" customWidth="1"/>
    <col min="861" max="861" width="11.04" hidden="false" outlineLevel="1" customWidth="1"/>
    <col min="862" max="862" width="11.04" hidden="false" outlineLevel="1" customWidth="1"/>
    <col min="863" max="863" width="11.04" hidden="false" outlineLevel="1" customWidth="1"/>
    <col min="864" max="864" width="11.04" hidden="false" outlineLevel="1" customWidth="1"/>
    <col min="865" max="865" width="11.04" hidden="false" outlineLevel="1" customWidth="1"/>
    <col min="866" max="866" width="11.04" hidden="false" outlineLevel="1" customWidth="1"/>
    <col min="867" max="867" width="11.04" hidden="false" outlineLevel="1" customWidth="1"/>
    <col min="868" max="868" width="11.04" hidden="false" outlineLevel="1" customWidth="1"/>
    <col min="869" max="869" width="11.04" hidden="false" outlineLevel="1" customWidth="1"/>
    <col min="870" max="870" width="11.04" hidden="false" outlineLevel="1" customWidth="1"/>
    <col min="871" max="871" width="11.04" hidden="false" outlineLevel="1" customWidth="1"/>
    <col min="872" max="872" width="11.04" hidden="false" outlineLevel="1" customWidth="1"/>
    <col min="873" max="873" width="11.04" hidden="false" outlineLevel="1" customWidth="1"/>
    <col min="874" max="874" width="11.04" hidden="false" outlineLevel="1" customWidth="1"/>
    <col min="875" max="875" width="11.04" hidden="false" outlineLevel="1" customWidth="1"/>
    <col min="876" max="876" width="11.04" hidden="false" outlineLevel="1" customWidth="1"/>
    <col min="877" max="877" width="11.04" hidden="false" outlineLevel="1" customWidth="1"/>
    <col min="878" max="878" width="11.04" hidden="false" outlineLevel="1" customWidth="1"/>
    <col min="879" max="879" width="11.04" hidden="false" outlineLevel="1" customWidth="1"/>
    <col min="880" max="880" width="11.04" hidden="false" outlineLevel="1" customWidth="1"/>
    <col min="881" max="881" width="11.04" hidden="false" outlineLevel="1" customWidth="1"/>
    <col min="882" max="882" width="11.04" hidden="false" outlineLevel="1" customWidth="1"/>
    <col min="883" max="883" width="11.04" hidden="false" outlineLevel="1" customWidth="1"/>
    <col min="884" max="884" width="11.04" hidden="false" outlineLevel="1" customWidth="1"/>
    <col min="885" max="885" width="11.04" hidden="false" outlineLevel="1" customWidth="1"/>
    <col min="886" max="886" width="11.04" hidden="false" outlineLevel="1" customWidth="1"/>
    <col min="887" max="887" width="11.04" hidden="false" outlineLevel="1" customWidth="1"/>
    <col min="888" max="888" width="11.04" hidden="false" outlineLevel="1" customWidth="1"/>
    <col min="889" max="889" width="11.04" hidden="false" outlineLevel="1" customWidth="1"/>
    <col min="890" max="890" width="11.04" hidden="false" outlineLevel="1" customWidth="1"/>
    <col min="891" max="891" width="11.04" hidden="false" outlineLevel="1" customWidth="1"/>
    <col min="892" max="892" width="11.04" hidden="false" outlineLevel="1" customWidth="1"/>
    <col min="893" max="893" width="11.04" hidden="false" outlineLevel="1" customWidth="1"/>
    <col min="894" max="894" width="11.04" hidden="false" outlineLevel="1" customWidth="1"/>
    <col min="895" max="895" width="11.04" hidden="false" outlineLevel="1" customWidth="1"/>
    <col min="896" max="896" width="11.04" hidden="false" outlineLevel="1" customWidth="1"/>
    <col min="897" max="897" width="11.04" hidden="false" outlineLevel="1" customWidth="1"/>
    <col min="898" max="898" width="11.04" hidden="false" outlineLevel="1" customWidth="1"/>
    <col min="899" max="899" width="11.04" hidden="false" outlineLevel="1" customWidth="1"/>
    <col min="900" max="900" width="11.04" hidden="false" outlineLevel="1" customWidth="1"/>
    <col min="901" max="901" width="11.04" hidden="false" outlineLevel="1" customWidth="1"/>
    <col min="902" max="902" width="11.04" hidden="false" outlineLevel="1" customWidth="1"/>
    <col min="903" max="903" width="11.04" hidden="false" outlineLevel="1" customWidth="1"/>
    <col min="904" max="904" width="11.04" hidden="false" outlineLevel="1" customWidth="1"/>
    <col min="905" max="905" width="11.04" hidden="false" outlineLevel="1" customWidth="1"/>
    <col min="906" max="906" width="11.04" hidden="false" outlineLevel="1" customWidth="1"/>
    <col min="907" max="907" width="11.04" hidden="false" outlineLevel="1" customWidth="1"/>
    <col min="908" max="908" width="11.04" hidden="false" outlineLevel="1" customWidth="1"/>
    <col min="909" max="909" width="11.04" hidden="false" outlineLevel="1" customWidth="1"/>
    <col min="910" max="910" width="11.04" hidden="false" outlineLevel="1" customWidth="1"/>
    <col min="911" max="911" width="11.04" hidden="false" outlineLevel="1" customWidth="1"/>
    <col min="912" max="912" width="11.04" hidden="false" outlineLevel="1" customWidth="1"/>
    <col min="913" max="913" width="11.04" hidden="false" outlineLevel="1" customWidth="1"/>
    <col min="914" max="914" width="11.04" hidden="false" outlineLevel="1" customWidth="1"/>
    <col min="915" max="915" width="11.04" hidden="false" outlineLevel="1" customWidth="1"/>
    <col min="916" max="916" width="11.04" hidden="false" outlineLevel="1" customWidth="1"/>
    <col min="917" max="917" width="11.04" hidden="false" outlineLevel="1" customWidth="1"/>
    <col min="918" max="918" width="11.04" hidden="false" outlineLevel="1" customWidth="1"/>
    <col min="919" max="919" width="11.04" hidden="false" outlineLevel="1" customWidth="1"/>
    <col min="920" max="920" width="11.04" hidden="false" outlineLevel="1" customWidth="1"/>
    <col min="921" max="921" width="11.04" hidden="false" outlineLevel="1" customWidth="1"/>
    <col min="922" max="922" width="11.04" hidden="false" outlineLevel="1" customWidth="1"/>
    <col min="923" max="923" width="11.04" hidden="false" outlineLevel="1" customWidth="1"/>
    <col min="924" max="924" width="11.04" hidden="false" outlineLevel="1" customWidth="1"/>
    <col min="925" max="925" width="11.04" hidden="false" outlineLevel="1" customWidth="1"/>
    <col min="926" max="926" width="11.04" hidden="false" outlineLevel="1" customWidth="1"/>
    <col min="927" max="927" width="11.04" hidden="false" outlineLevel="1" customWidth="1"/>
    <col min="928" max="928" width="11.04" hidden="false" outlineLevel="1" customWidth="1"/>
    <col min="929" max="929" width="11.04" hidden="false" outlineLevel="1" customWidth="1"/>
    <col min="930" max="930" width="11.04" hidden="false" outlineLevel="1" customWidth="1"/>
    <col min="931" max="931" width="11.04" hidden="false" outlineLevel="1" customWidth="1"/>
    <col min="932" max="932" width="11.04" hidden="false" outlineLevel="1" customWidth="1"/>
    <col min="933" max="933" width="11.04" hidden="false" outlineLevel="1" customWidth="1"/>
    <col min="934" max="934" width="11.04" hidden="false" outlineLevel="1" customWidth="1"/>
    <col min="935" max="935" width="11.04" hidden="false" outlineLevel="1" customWidth="1"/>
    <col min="936" max="936" width="11.04" hidden="false" outlineLevel="1" customWidth="1"/>
    <col min="937" max="937" width="11.04" hidden="false" outlineLevel="1" customWidth="1"/>
    <col min="938" max="938" width="11.04" hidden="false" outlineLevel="1" customWidth="1"/>
    <col min="939" max="939" width="11.04" hidden="false" outlineLevel="1" customWidth="1"/>
    <col min="940" max="940" width="11.04" hidden="false" outlineLevel="1" customWidth="1"/>
    <col min="941" max="941" width="11.04" hidden="false" outlineLevel="1" customWidth="1"/>
    <col min="942" max="942" width="11.04" hidden="false" outlineLevel="1" customWidth="1"/>
    <col min="943" max="943" width="11.04" hidden="false" outlineLevel="1" customWidth="1"/>
    <col min="944" max="944" width="11.04" hidden="false" outlineLevel="1" customWidth="1"/>
    <col min="945" max="945" width="11.04" hidden="false" outlineLevel="1" customWidth="1"/>
    <col min="946" max="946" width="11.04" hidden="false" outlineLevel="1" customWidth="1"/>
    <col min="947" max="947" width="11.04" hidden="false" outlineLevel="1" customWidth="1"/>
    <col min="948" max="948" width="11.04" hidden="false" outlineLevel="1" customWidth="1"/>
    <col min="949" max="949" width="11.04" hidden="false" outlineLevel="1" customWidth="1"/>
    <col min="950" max="950" width="11.04" hidden="false" outlineLevel="1" customWidth="1"/>
    <col min="951" max="951" width="11.04" hidden="false" outlineLevel="1" customWidth="1"/>
    <col min="952" max="952" width="11.04" hidden="false" outlineLevel="1" customWidth="1"/>
    <col min="953" max="953" width="11.04" hidden="false" outlineLevel="1" customWidth="1"/>
    <col min="954" max="954" width="11.04" hidden="false" outlineLevel="1" customWidth="1"/>
    <col min="955" max="955" width="11.04" hidden="false" outlineLevel="1" customWidth="1"/>
    <col min="956" max="956" width="11.04" hidden="false" outlineLevel="1" customWidth="1"/>
    <col min="957" max="957" width="11.04" hidden="false" outlineLevel="1" customWidth="1"/>
    <col min="958" max="958" width="11.04" hidden="false" outlineLevel="1" customWidth="1"/>
    <col min="959" max="959" width="11.04" hidden="false" outlineLevel="1" customWidth="1"/>
    <col min="960" max="960" width="11.04" hidden="false" outlineLevel="1" customWidth="1"/>
    <col min="961" max="961" width="11.04" hidden="false" outlineLevel="1" customWidth="1"/>
    <col min="962" max="962" width="11.04" hidden="false" outlineLevel="1" customWidth="1"/>
    <col min="963" max="963" width="11.04" hidden="false" outlineLevel="1" customWidth="1"/>
    <col min="964" max="964" width="11.04" hidden="false" outlineLevel="1" customWidth="1"/>
    <col min="965" max="965" width="11.04" hidden="false" outlineLevel="1" customWidth="1"/>
    <col min="966" max="966" width="11.04" hidden="false" outlineLevel="1" customWidth="1"/>
    <col min="967" max="967" width="11.04" hidden="false" outlineLevel="1" customWidth="1"/>
    <col min="968" max="968" width="11.04" hidden="false" outlineLevel="1" customWidth="1"/>
    <col min="969" max="969" width="11.04" hidden="false" outlineLevel="1" customWidth="1"/>
    <col min="970" max="970" width="11.04" hidden="false" outlineLevel="1" customWidth="1"/>
    <col min="971" max="971" width="11.04" hidden="false" outlineLevel="1" customWidth="1"/>
    <col min="972" max="972" width="11.04" hidden="false" outlineLevel="1" customWidth="1"/>
    <col min="973" max="973" width="11.04" hidden="false" outlineLevel="1" customWidth="1"/>
    <col min="974" max="974" width="11.04" hidden="false" outlineLevel="1" customWidth="1"/>
    <col min="975" max="975" width="11.04" hidden="false" outlineLevel="1" customWidth="1"/>
    <col min="976" max="976" width="11.04" hidden="false" outlineLevel="1" customWidth="1"/>
    <col min="977" max="977" width="11.04" hidden="false" outlineLevel="1" customWidth="1"/>
    <col min="978" max="978" width="11.04" hidden="false" outlineLevel="1" customWidth="1"/>
    <col min="979" max="979" width="11.04" hidden="false" outlineLevel="1" customWidth="1"/>
    <col min="980" max="980" width="11.04" hidden="false" outlineLevel="1" customWidth="1"/>
    <col min="981" max="981" width="11.04" hidden="false" outlineLevel="1" customWidth="1"/>
    <col min="982" max="982" width="11.04" hidden="false" outlineLevel="1" customWidth="1"/>
    <col min="983" max="983" width="11.04" hidden="false" outlineLevel="1" customWidth="1"/>
    <col min="984" max="984" width="11.04" hidden="false" outlineLevel="1" customWidth="1"/>
    <col min="985" max="985" width="11.04" hidden="false" outlineLevel="1" customWidth="1"/>
    <col min="986" max="986" width="11.04" hidden="false" outlineLevel="1" customWidth="1"/>
    <col min="987" max="987" width="11.04" hidden="false" outlineLevel="1" customWidth="1"/>
    <col min="988" max="988" width="11.04" hidden="false" outlineLevel="1" customWidth="1"/>
    <col min="989" max="989" width="11.04" hidden="false" outlineLevel="1" customWidth="1"/>
    <col min="990" max="990" width="11.04" hidden="false" outlineLevel="1" customWidth="1"/>
    <col min="991" max="991" width="11.04" hidden="false" outlineLevel="1" customWidth="1"/>
    <col min="992" max="992" width="11.04" hidden="false" outlineLevel="1" customWidth="1"/>
    <col min="993" max="993" width="11.04" hidden="false" outlineLevel="1" customWidth="1"/>
    <col min="994" max="994" width="11.04" hidden="false" outlineLevel="1" customWidth="1"/>
    <col min="995" max="995" width="11.04" hidden="false" outlineLevel="1" customWidth="1"/>
    <col min="996" max="996" width="11.04" hidden="false" outlineLevel="1" customWidth="1"/>
    <col min="997" max="997" width="11.04" hidden="false" outlineLevel="1" customWidth="1"/>
    <col min="998" max="998" width="11.04" hidden="false" outlineLevel="1" customWidth="1"/>
    <col min="999" max="999" width="11.04" hidden="false" outlineLevel="1" customWidth="1"/>
    <col min="1000" max="1000" width="11.04" hidden="false" outlineLevel="1" customWidth="1"/>
    <col min="1001" max="1001" width="11.04" hidden="false" outlineLevel="1" customWidth="1"/>
    <col min="1002" max="1002" width="11.04" hidden="false" outlineLevel="1" customWidth="1"/>
    <col min="1003" max="1003" width="11.04" hidden="false" outlineLevel="1" customWidth="1"/>
    <col min="1004" max="1004" width="11.04" hidden="false" outlineLevel="1" customWidth="1"/>
    <col min="1005" max="1005" width="11.04" hidden="false" outlineLevel="1" customWidth="1"/>
    <col min="1006" max="1006" width="11.04" hidden="false" outlineLevel="1" customWidth="1"/>
    <col min="1007" max="1007" width="11.04" hidden="false" outlineLevel="1" customWidth="1"/>
    <col min="1008" max="1008" width="11.04" hidden="false" outlineLevel="1" customWidth="1"/>
    <col min="1009" max="1009" width="11.04" hidden="false" outlineLevel="1" customWidth="1"/>
    <col min="1010" max="1010" width="11.04" hidden="false" outlineLevel="1" customWidth="1"/>
    <col min="1011" max="1011" width="11.04" hidden="false" outlineLevel="1" customWidth="1"/>
    <col min="1012" max="1012" width="11.04" hidden="false" outlineLevel="1" customWidth="1"/>
    <col min="1013" max="1013" width="11.04" hidden="false" outlineLevel="1" customWidth="1"/>
    <col min="1014" max="1014" width="11.04" hidden="false" outlineLevel="1" customWidth="1"/>
    <col min="1015" max="1015" width="11.04" hidden="false" outlineLevel="1" customWidth="1"/>
    <col min="1016" max="1016" width="11.04" hidden="false" outlineLevel="1" customWidth="1"/>
    <col min="1017" max="1017" width="11.04" hidden="false" outlineLevel="1" customWidth="1"/>
    <col min="1018" max="1018" width="11.04" hidden="false" outlineLevel="1" customWidth="1"/>
    <col min="1019" max="1019" width="11.04" hidden="false" outlineLevel="1" customWidth="1"/>
    <col min="1020" max="1020" width="11.04" hidden="false" outlineLevel="1" customWidth="1"/>
    <col min="1021" max="1021" width="11.04" hidden="false" outlineLevel="1" customWidth="1"/>
    <col min="1022" max="1022" width="11.04" hidden="false" outlineLevel="1" customWidth="1"/>
    <col min="1023" max="1023" width="11.04" hidden="false" outlineLevel="1" customWidth="1"/>
    <col min="1024" max="1024" width="11.04" hidden="false" outlineLevel="1" customWidth="1"/>
    <col min="1025" max="1025" width="11.04" hidden="false" outlineLevel="1" customWidth="1"/>
  </cols>
  <sheetData/>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tabColor rgb="FFFFFFFF"/>
      <pageSetUpPr fitToPage="tru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J5" activeCellId="0" sqref="J5"/>
    </sheetView>
  </sheetViews>
  <sheetFormatPr defaultRowHeight="15.0" baseColWidth="10" outlineLevelCol="1"/>
  <cols>
    <col min="1" max="1" width="15.27" hidden="false" outlineLevel="1" customWidth="1"/>
    <col min="2" max="2" width="10.27" hidden="false" outlineLevel="1" customWidth="1"/>
    <col min="3" max="3" width="15.27" hidden="false" outlineLevel="1" customWidth="1"/>
    <col min="4" max="4" width="19.12" hidden="false" outlineLevel="1" customWidth="1"/>
    <col min="5" max="5" width="18.54" hidden="false" outlineLevel="1" customWidth="1"/>
    <col min="6" max="6" width="5.55" hidden="false" outlineLevel="1" customWidth="1"/>
    <col min="7" max="7" width="14.83" hidden="false" outlineLevel="1" customWidth="1"/>
    <col min="8" max="8" width="24.11" hidden="false" outlineLevel="1" customWidth="1"/>
    <col min="9" max="9" width="8.98" hidden="false" outlineLevel="1" customWidth="1"/>
    <col min="10" max="10" width="21.55" hidden="false" outlineLevel="1" customWidth="1"/>
    <col min="11" max="11" width="15.54" hidden="false" outlineLevel="1" customWidth="1"/>
    <col min="12" max="12" width="15.54" hidden="false" outlineLevel="1" customWidth="1"/>
    <col min="13" max="13" width="15.54" hidden="false" outlineLevel="1" customWidth="1"/>
    <col min="14" max="14" width="15.54" hidden="false" outlineLevel="1" customWidth="1"/>
    <col min="15" max="15" width="16.12" hidden="false" outlineLevel="1" customWidth="1"/>
    <col min="16" max="16" width="15.54" hidden="false" outlineLevel="1" customWidth="1"/>
    <col min="17" max="17" width="15.54" hidden="false" outlineLevel="1" customWidth="1"/>
    <col min="18" max="18" width="15.54" hidden="false" outlineLevel="1" customWidth="1"/>
    <col min="19" max="19" width="15.54" hidden="false" outlineLevel="1" customWidth="1"/>
    <col min="20" max="20" width="15.54" hidden="false" outlineLevel="1" customWidth="1"/>
    <col min="21" max="21" width="15.54" hidden="false" outlineLevel="1" customWidth="1"/>
    <col min="22" max="22" width="15.54" hidden="false" outlineLevel="1" customWidth="1"/>
    <col min="23" max="23" width="15.54" hidden="false" outlineLevel="1" customWidth="1"/>
    <col min="24" max="24" width="15.54" hidden="false" outlineLevel="1" customWidth="1"/>
    <col min="25" max="25" width="15.54" hidden="false" outlineLevel="1" customWidth="1"/>
    <col min="26" max="26" width="15.54" hidden="false" outlineLevel="1" customWidth="1"/>
    <col min="27" max="27" width="15.54" hidden="false" outlineLevel="1" customWidth="1"/>
    <col min="28" max="28" width="15.54" hidden="false" outlineLevel="1" customWidth="1"/>
    <col min="29" max="29" width="15.54" hidden="false" outlineLevel="1" customWidth="1"/>
    <col min="30" max="30" width="15.54" hidden="false" outlineLevel="1" customWidth="1"/>
    <col min="31" max="31" width="15.54" hidden="false" outlineLevel="1" customWidth="1"/>
    <col min="32" max="32" width="15.54" hidden="false" outlineLevel="1" customWidth="1"/>
    <col min="33" max="33" width="15.54" hidden="false" outlineLevel="1" customWidth="1"/>
    <col min="34" max="34" width="15.54" hidden="false" outlineLevel="1" customWidth="1"/>
    <col min="35" max="35" width="15.54" hidden="false" outlineLevel="1" customWidth="1"/>
    <col min="36" max="36" width="15.54" hidden="false" outlineLevel="1" customWidth="1"/>
    <col min="37" max="37" width="15.54" hidden="false" outlineLevel="1" customWidth="1"/>
    <col min="38" max="38" width="15.54" hidden="false" outlineLevel="1" customWidth="1"/>
    <col min="39" max="39" width="15.54" hidden="false" outlineLevel="1" customWidth="1"/>
    <col min="40" max="40" width="15.54" hidden="false" outlineLevel="1" customWidth="1"/>
    <col min="41" max="41" width="15.54" hidden="false" outlineLevel="1" customWidth="1"/>
    <col min="42" max="42" width="15.54" hidden="false" outlineLevel="1" customWidth="1"/>
    <col min="43" max="43" width="15.54" hidden="false" outlineLevel="1" customWidth="1"/>
    <col min="44" max="44" width="15.54" hidden="false" outlineLevel="1" customWidth="1"/>
    <col min="45" max="45" width="15.54" hidden="false" outlineLevel="1" customWidth="1"/>
    <col min="46" max="46" width="15.54" hidden="false" outlineLevel="1" customWidth="1"/>
    <col min="47" max="47" width="15.54" hidden="false" outlineLevel="1" customWidth="1"/>
    <col min="48" max="48" width="15.54" hidden="false" outlineLevel="1" customWidth="1"/>
    <col min="49" max="49" width="15.54" hidden="false" outlineLevel="1" customWidth="1"/>
    <col min="50" max="50" width="15.54" hidden="false" outlineLevel="1" customWidth="1"/>
    <col min="51" max="51" width="15.54" hidden="false" outlineLevel="1" customWidth="1"/>
    <col min="52" max="52" width="15.54" hidden="false" outlineLevel="1" customWidth="1"/>
    <col min="53" max="53" width="15.54" hidden="false" outlineLevel="1" customWidth="1"/>
    <col min="54" max="54" width="15.54" hidden="false" outlineLevel="1" customWidth="1"/>
    <col min="55" max="55" width="15.54" hidden="false" outlineLevel="1" customWidth="1"/>
    <col min="56" max="56" width="15.54" hidden="false" outlineLevel="1" customWidth="1"/>
    <col min="57" max="57" width="15.54" hidden="false" outlineLevel="1" customWidth="1"/>
    <col min="58" max="58" width="15.54" hidden="false" outlineLevel="1" customWidth="1"/>
    <col min="59" max="59" width="15.54" hidden="false" outlineLevel="1" customWidth="1"/>
    <col min="60" max="60" width="15.54" hidden="false" outlineLevel="1" customWidth="1"/>
    <col min="61" max="61" width="15.54" hidden="false" outlineLevel="1" customWidth="1"/>
    <col min="62" max="62" width="15.54" hidden="false" outlineLevel="1" customWidth="1"/>
    <col min="63" max="63" width="15.54" hidden="false" outlineLevel="1" customWidth="1"/>
    <col min="64" max="64" width="15.54" hidden="false" outlineLevel="1" customWidth="1"/>
    <col min="65" max="65" width="15.54" hidden="false" outlineLevel="1" customWidth="1"/>
    <col min="66" max="66" width="15.54" hidden="false" outlineLevel="1" customWidth="1"/>
    <col min="67" max="67" width="15.54" hidden="false" outlineLevel="1" customWidth="1"/>
    <col min="68" max="68" width="15.54" hidden="false" outlineLevel="1" customWidth="1"/>
    <col min="69" max="69" width="15.54" hidden="false" outlineLevel="1" customWidth="1"/>
    <col min="70" max="70" width="15.54" hidden="false" outlineLevel="1" customWidth="1"/>
    <col min="71" max="71" width="15.54" hidden="false" outlineLevel="1" customWidth="1"/>
    <col min="72" max="72" width="15.54" hidden="false" outlineLevel="1" customWidth="1"/>
    <col min="73" max="73" width="15.54" hidden="false" outlineLevel="1" customWidth="1"/>
    <col min="74" max="74" width="15.54" hidden="false" outlineLevel="1" customWidth="1"/>
    <col min="75" max="75" width="15.54" hidden="false" outlineLevel="1" customWidth="1"/>
    <col min="76" max="76" width="15.54" hidden="false" outlineLevel="1" customWidth="1"/>
    <col min="77" max="77" width="15.54" hidden="false" outlineLevel="1" customWidth="1"/>
    <col min="78" max="78" width="15.54" hidden="false" outlineLevel="1" customWidth="1"/>
    <col min="79" max="79" width="15.54" hidden="false" outlineLevel="1" customWidth="1"/>
    <col min="80" max="80" width="15.54" hidden="false" outlineLevel="1" customWidth="1"/>
    <col min="81" max="81" width="15.54" hidden="false" outlineLevel="1" customWidth="1"/>
    <col min="82" max="82" width="15.54" hidden="false" outlineLevel="1" customWidth="1"/>
    <col min="83" max="83" width="15.54" hidden="false" outlineLevel="1" customWidth="1"/>
    <col min="84" max="84" width="15.54" hidden="false" outlineLevel="1" customWidth="1"/>
    <col min="85" max="85" width="15.54" hidden="false" outlineLevel="1" customWidth="1"/>
    <col min="86" max="86" width="15.54" hidden="false" outlineLevel="1" customWidth="1"/>
    <col min="87" max="87" width="15.54" hidden="false" outlineLevel="1" customWidth="1"/>
    <col min="88" max="88" width="15.54" hidden="false" outlineLevel="1" customWidth="1"/>
    <col min="89" max="89" width="15.54" hidden="false" outlineLevel="1" customWidth="1"/>
    <col min="90" max="90" width="15.54" hidden="false" outlineLevel="1" customWidth="1"/>
    <col min="91" max="91" width="15.54" hidden="false" outlineLevel="1" customWidth="1"/>
    <col min="92" max="92" width="15.54" hidden="false" outlineLevel="1" customWidth="1"/>
    <col min="93" max="93" width="15.54" hidden="false" outlineLevel="1" customWidth="1"/>
    <col min="94" max="94" width="15.54" hidden="false" outlineLevel="1" customWidth="1"/>
    <col min="95" max="95" width="15.54" hidden="false" outlineLevel="1" customWidth="1"/>
    <col min="96" max="96" width="15.54" hidden="false" outlineLevel="1" customWidth="1"/>
    <col min="97" max="97" width="15.54" hidden="false" outlineLevel="1" customWidth="1"/>
    <col min="98" max="98" width="15.54" hidden="false" outlineLevel="1" customWidth="1"/>
    <col min="99" max="99" width="15.54" hidden="false" outlineLevel="1" customWidth="1"/>
    <col min="100" max="100" width="15.54" hidden="false" outlineLevel="1" customWidth="1"/>
    <col min="101" max="101" width="15.54" hidden="false" outlineLevel="1" customWidth="1"/>
    <col min="102" max="102" width="15.54" hidden="false" outlineLevel="1" customWidth="1"/>
    <col min="103" max="103" width="15.54" hidden="false" outlineLevel="1" customWidth="1"/>
    <col min="104" max="104" width="15.54" hidden="false" outlineLevel="1" customWidth="1"/>
    <col min="105" max="105" width="15.54" hidden="false" outlineLevel="1" customWidth="1"/>
    <col min="106" max="106" width="15.54" hidden="false" outlineLevel="1" customWidth="1"/>
    <col min="107" max="107" width="15.54" hidden="false" outlineLevel="1" customWidth="1"/>
    <col min="108" max="108" width="15.54" hidden="false" outlineLevel="1" customWidth="1"/>
    <col min="109" max="109" width="15.54" hidden="false" outlineLevel="1" customWidth="1"/>
    <col min="110" max="110" width="15.54" hidden="false" outlineLevel="1" customWidth="1"/>
    <col min="111" max="111" width="15.54" hidden="false" outlineLevel="1" customWidth="1"/>
    <col min="112" max="112" width="15.54" hidden="false" outlineLevel="1" customWidth="1"/>
    <col min="113" max="113" width="15.54" hidden="false" outlineLevel="1" customWidth="1"/>
    <col min="114" max="114" width="15.54" hidden="false" outlineLevel="1" customWidth="1"/>
    <col min="115" max="115" width="15.54" hidden="false" outlineLevel="1" customWidth="1"/>
    <col min="116" max="116" width="15.54" hidden="false" outlineLevel="1" customWidth="1"/>
    <col min="117" max="117" width="15.54" hidden="false" outlineLevel="1" customWidth="1"/>
    <col min="118" max="118" width="15.54" hidden="false" outlineLevel="1" customWidth="1"/>
    <col min="119" max="119" width="15.54" hidden="false" outlineLevel="1" customWidth="1"/>
    <col min="120" max="120" width="15.54" hidden="false" outlineLevel="1" customWidth="1"/>
    <col min="121" max="121" width="15.54" hidden="false" outlineLevel="1" customWidth="1"/>
    <col min="122" max="122" width="15.54" hidden="false" outlineLevel="1" customWidth="1"/>
    <col min="123" max="123" width="15.54" hidden="false" outlineLevel="1" customWidth="1"/>
    <col min="124" max="124" width="15.54" hidden="false" outlineLevel="1" customWidth="1"/>
    <col min="125" max="125" width="15.54" hidden="false" outlineLevel="1" customWidth="1"/>
    <col min="126" max="126" width="15.54" hidden="false" outlineLevel="1" customWidth="1"/>
    <col min="127" max="127" width="15.54" hidden="false" outlineLevel="1" customWidth="1"/>
    <col min="128" max="128" width="15.54" hidden="false" outlineLevel="1" customWidth="1"/>
    <col min="129" max="129" width="15.54" hidden="false" outlineLevel="1" customWidth="1"/>
    <col min="130" max="130" width="15.54" hidden="false" outlineLevel="1" customWidth="1"/>
    <col min="131" max="131" width="15.54" hidden="false" outlineLevel="1" customWidth="1"/>
    <col min="132" max="132" width="15.54" hidden="false" outlineLevel="1" customWidth="1"/>
    <col min="133" max="133" width="15.54" hidden="false" outlineLevel="1" customWidth="1"/>
    <col min="134" max="134" width="15.54" hidden="false" outlineLevel="1" customWidth="1"/>
    <col min="135" max="135" width="15.54" hidden="false" outlineLevel="1" customWidth="1"/>
    <col min="136" max="136" width="15.54" hidden="false" outlineLevel="1" customWidth="1"/>
    <col min="137" max="137" width="15.54" hidden="false" outlineLevel="1" customWidth="1"/>
    <col min="138" max="138" width="15.54" hidden="false" outlineLevel="1" customWidth="1"/>
    <col min="139" max="139" width="15.54" hidden="false" outlineLevel="1" customWidth="1"/>
    <col min="140" max="140" width="15.54" hidden="false" outlineLevel="1" customWidth="1"/>
    <col min="141" max="141" width="15.54" hidden="false" outlineLevel="1" customWidth="1"/>
    <col min="142" max="142" width="15.54" hidden="false" outlineLevel="1" customWidth="1"/>
    <col min="143" max="143" width="15.54" hidden="false" outlineLevel="1" customWidth="1"/>
    <col min="144" max="144" width="15.54" hidden="false" outlineLevel="1" customWidth="1"/>
    <col min="145" max="145" width="15.54" hidden="false" outlineLevel="1" customWidth="1"/>
    <col min="146" max="146" width="15.54" hidden="false" outlineLevel="1" customWidth="1"/>
    <col min="147" max="147" width="15.54" hidden="false" outlineLevel="1" customWidth="1"/>
    <col min="148" max="148" width="15.54" hidden="false" outlineLevel="1" customWidth="1"/>
    <col min="149" max="149" width="15.54" hidden="false" outlineLevel="1" customWidth="1"/>
    <col min="150" max="150" width="15.54" hidden="false" outlineLevel="1" customWidth="1"/>
    <col min="151" max="151" width="15.54" hidden="false" outlineLevel="1" customWidth="1"/>
    <col min="152" max="152" width="15.54" hidden="false" outlineLevel="1" customWidth="1"/>
    <col min="153" max="153" width="15.54" hidden="false" outlineLevel="1" customWidth="1"/>
    <col min="154" max="154" width="15.54" hidden="false" outlineLevel="1" customWidth="1"/>
    <col min="155" max="155" width="15.54" hidden="false" outlineLevel="1" customWidth="1"/>
    <col min="156" max="156" width="15.54" hidden="false" outlineLevel="1" customWidth="1"/>
    <col min="157" max="157" width="15.54" hidden="false" outlineLevel="1" customWidth="1"/>
    <col min="158" max="158" width="15.54" hidden="false" outlineLevel="1" customWidth="1"/>
    <col min="159" max="159" width="15.54" hidden="false" outlineLevel="1" customWidth="1"/>
    <col min="160" max="160" width="15.54" hidden="false" outlineLevel="1" customWidth="1"/>
    <col min="161" max="161" width="15.54" hidden="false" outlineLevel="1" customWidth="1"/>
    <col min="162" max="162" width="15.54" hidden="false" outlineLevel="1" customWidth="1"/>
    <col min="163" max="163" width="15.54" hidden="false" outlineLevel="1" customWidth="1"/>
    <col min="164" max="164" width="15.54" hidden="false" outlineLevel="1" customWidth="1"/>
    <col min="165" max="165" width="15.54" hidden="false" outlineLevel="1" customWidth="1"/>
    <col min="166" max="166" width="15.54" hidden="false" outlineLevel="1" customWidth="1"/>
    <col min="167" max="167" width="15.54" hidden="false" outlineLevel="1" customWidth="1"/>
    <col min="168" max="168" width="15.54" hidden="false" outlineLevel="1" customWidth="1"/>
    <col min="169" max="169" width="15.54" hidden="false" outlineLevel="1" customWidth="1"/>
    <col min="170" max="170" width="15.54" hidden="false" outlineLevel="1" customWidth="1"/>
    <col min="171" max="171" width="15.54" hidden="false" outlineLevel="1" customWidth="1"/>
    <col min="172" max="172" width="15.54" hidden="false" outlineLevel="1" customWidth="1"/>
    <col min="173" max="173" width="15.54" hidden="false" outlineLevel="1" customWidth="1"/>
    <col min="174" max="174" width="15.54" hidden="false" outlineLevel="1" customWidth="1"/>
    <col min="175" max="175" width="15.54" hidden="false" outlineLevel="1" customWidth="1"/>
    <col min="176" max="176" width="15.54" hidden="false" outlineLevel="1" customWidth="1"/>
    <col min="177" max="177" width="15.54" hidden="false" outlineLevel="1" customWidth="1"/>
    <col min="178" max="178" width="15.54" hidden="false" outlineLevel="1" customWidth="1"/>
    <col min="179" max="179" width="15.54" hidden="false" outlineLevel="1" customWidth="1"/>
    <col min="180" max="180" width="15.54" hidden="false" outlineLevel="1" customWidth="1"/>
    <col min="181" max="181" width="15.54" hidden="false" outlineLevel="1" customWidth="1"/>
    <col min="182" max="182" width="15.54" hidden="false" outlineLevel="1" customWidth="1"/>
    <col min="183" max="183" width="15.54" hidden="false" outlineLevel="1" customWidth="1"/>
    <col min="184" max="184" width="15.54" hidden="false" outlineLevel="1" customWidth="1"/>
    <col min="185" max="185" width="15.54" hidden="false" outlineLevel="1" customWidth="1"/>
    <col min="186" max="186" width="15.54" hidden="false" outlineLevel="1" customWidth="1"/>
    <col min="187" max="187" width="15.54" hidden="false" outlineLevel="1" customWidth="1"/>
    <col min="188" max="188" width="15.54" hidden="false" outlineLevel="1" customWidth="1"/>
    <col min="189" max="189" width="15.54" hidden="false" outlineLevel="1" customWidth="1"/>
    <col min="190" max="190" width="15.54" hidden="false" outlineLevel="1" customWidth="1"/>
    <col min="191" max="191" width="15.54" hidden="false" outlineLevel="1" customWidth="1"/>
    <col min="192" max="192" width="15.54" hidden="false" outlineLevel="1" customWidth="1"/>
    <col min="193" max="193" width="15.54" hidden="false" outlineLevel="1" customWidth="1"/>
    <col min="194" max="194" width="15.54" hidden="false" outlineLevel="1" customWidth="1"/>
    <col min="195" max="195" width="15.54" hidden="false" outlineLevel="1" customWidth="1"/>
    <col min="196" max="196" width="15.54" hidden="false" outlineLevel="1" customWidth="1"/>
    <col min="197" max="197" width="15.54" hidden="false" outlineLevel="1" customWidth="1"/>
    <col min="198" max="198" width="15.54" hidden="false" outlineLevel="1" customWidth="1"/>
    <col min="199" max="199" width="15.54" hidden="false" outlineLevel="1" customWidth="1"/>
    <col min="200" max="200" width="15.54" hidden="false" outlineLevel="1" customWidth="1"/>
    <col min="201" max="201" width="15.54" hidden="false" outlineLevel="1" customWidth="1"/>
    <col min="202" max="202" width="15.54" hidden="false" outlineLevel="1" customWidth="1"/>
    <col min="203" max="203" width="15.54" hidden="false" outlineLevel="1" customWidth="1"/>
    <col min="204" max="204" width="15.54" hidden="false" outlineLevel="1" customWidth="1"/>
    <col min="205" max="205" width="15.54" hidden="false" outlineLevel="1" customWidth="1"/>
    <col min="206" max="206" width="15.54" hidden="false" outlineLevel="1" customWidth="1"/>
    <col min="207" max="207" width="15.54" hidden="false" outlineLevel="1" customWidth="1"/>
    <col min="208" max="208" width="15.54" hidden="false" outlineLevel="1" customWidth="1"/>
    <col min="209" max="209" width="15.54" hidden="false" outlineLevel="1" customWidth="1"/>
    <col min="210" max="210" width="15.54" hidden="false" outlineLevel="1" customWidth="1"/>
    <col min="211" max="211" width="15.54" hidden="false" outlineLevel="1" customWidth="1"/>
    <col min="212" max="212" width="15.54" hidden="false" outlineLevel="1" customWidth="1"/>
    <col min="213" max="213" width="15.54" hidden="false" outlineLevel="1" customWidth="1"/>
    <col min="214" max="214" width="15.54" hidden="false" outlineLevel="1" customWidth="1"/>
    <col min="215" max="215" width="15.54" hidden="false" outlineLevel="1" customWidth="1"/>
    <col min="216" max="216" width="15.54" hidden="false" outlineLevel="1" customWidth="1"/>
    <col min="217" max="217" width="15.54" hidden="false" outlineLevel="1" customWidth="1"/>
    <col min="218" max="218" width="15.54" hidden="false" outlineLevel="1" customWidth="1"/>
    <col min="219" max="219" width="15.54" hidden="false" outlineLevel="1" customWidth="1"/>
    <col min="220" max="220" width="15.54" hidden="false" outlineLevel="1" customWidth="1"/>
    <col min="221" max="221" width="15.54" hidden="false" outlineLevel="1" customWidth="1"/>
    <col min="222" max="222" width="15.54" hidden="false" outlineLevel="1" customWidth="1"/>
    <col min="223" max="223" width="15.54" hidden="false" outlineLevel="1" customWidth="1"/>
    <col min="224" max="224" width="15.54" hidden="false" outlineLevel="1" customWidth="1"/>
    <col min="225" max="225" width="15.54" hidden="false" outlineLevel="1" customWidth="1"/>
    <col min="226" max="226" width="15.54" hidden="false" outlineLevel="1" customWidth="1"/>
    <col min="227" max="227" width="15.54" hidden="false" outlineLevel="1" customWidth="1"/>
    <col min="228" max="228" width="15.54" hidden="false" outlineLevel="1" customWidth="1"/>
    <col min="229" max="229" width="15.54" hidden="false" outlineLevel="1" customWidth="1"/>
    <col min="230" max="230" width="15.54" hidden="false" outlineLevel="1" customWidth="1"/>
    <col min="231" max="231" width="15.54" hidden="false" outlineLevel="1" customWidth="1"/>
    <col min="232" max="232" width="15.54" hidden="false" outlineLevel="1" customWidth="1"/>
    <col min="233" max="233" width="15.54" hidden="false" outlineLevel="1" customWidth="1"/>
    <col min="234" max="234" width="15.54" hidden="false" outlineLevel="1" customWidth="1"/>
    <col min="235" max="235" width="15.54" hidden="false" outlineLevel="1" customWidth="1"/>
    <col min="236" max="236" width="15.54" hidden="false" outlineLevel="1" customWidth="1"/>
    <col min="237" max="237" width="15.54" hidden="false" outlineLevel="1" customWidth="1"/>
    <col min="238" max="238" width="15.54" hidden="false" outlineLevel="1" customWidth="1"/>
    <col min="239" max="239" width="15.54" hidden="false" outlineLevel="1" customWidth="1"/>
    <col min="240" max="240" width="15.54" hidden="false" outlineLevel="1" customWidth="1"/>
    <col min="241" max="241" width="15.54" hidden="false" outlineLevel="1" customWidth="1"/>
    <col min="242" max="242" width="15.54" hidden="false" outlineLevel="1" customWidth="1"/>
    <col min="243" max="243" width="15.54" hidden="false" outlineLevel="1" customWidth="1"/>
    <col min="244" max="244" width="15.54" hidden="false" outlineLevel="1" customWidth="1"/>
    <col min="245" max="245" width="15.54" hidden="false" outlineLevel="1" customWidth="1"/>
    <col min="246" max="246" width="15.54" hidden="false" outlineLevel="1" customWidth="1"/>
    <col min="247" max="247" width="15.54" hidden="false" outlineLevel="1" customWidth="1"/>
    <col min="248" max="248" width="15.54" hidden="false" outlineLevel="1" customWidth="1"/>
    <col min="249" max="249" width="15.54" hidden="false" outlineLevel="1" customWidth="1"/>
    <col min="250" max="250" width="15.54" hidden="false" outlineLevel="1" customWidth="1"/>
    <col min="251" max="251" width="15.54" hidden="false" outlineLevel="1" customWidth="1"/>
    <col min="252" max="252" width="15.54" hidden="false" outlineLevel="1" customWidth="1"/>
    <col min="253" max="253" width="15.54" hidden="false" outlineLevel="1" customWidth="1"/>
    <col min="254" max="254" width="15.54" hidden="false" outlineLevel="1" customWidth="1"/>
    <col min="255" max="255" width="15.54" hidden="false" outlineLevel="1" customWidth="1"/>
    <col min="256" max="256" width="15.54" hidden="false" outlineLevel="1" customWidth="1"/>
    <col min="257" max="257" width="15.54" hidden="false" outlineLevel="1" customWidth="1"/>
    <col min="258" max="258" width="15.54" hidden="false" outlineLevel="1" customWidth="1"/>
    <col min="259" max="259" width="15.54" hidden="false" outlineLevel="1" customWidth="1"/>
    <col min="260" max="260" width="15.54" hidden="false" outlineLevel="1" customWidth="1"/>
    <col min="261" max="261" width="15.54" hidden="false" outlineLevel="1" customWidth="1"/>
    <col min="262" max="262" width="15.54" hidden="false" outlineLevel="1" customWidth="1"/>
    <col min="263" max="263" width="15.54" hidden="false" outlineLevel="1" customWidth="1"/>
    <col min="264" max="264" width="15.54" hidden="false" outlineLevel="1" customWidth="1"/>
    <col min="265" max="265" width="15.54" hidden="false" outlineLevel="1" customWidth="1"/>
    <col min="266" max="266" width="15.54" hidden="false" outlineLevel="1" customWidth="1"/>
    <col min="267" max="267" width="15.54" hidden="false" outlineLevel="1" customWidth="1"/>
    <col min="268" max="268" width="15.54" hidden="false" outlineLevel="1" customWidth="1"/>
    <col min="269" max="269" width="15.54" hidden="false" outlineLevel="1" customWidth="1"/>
    <col min="270" max="270" width="15.54" hidden="false" outlineLevel="1" customWidth="1"/>
    <col min="271" max="271" width="15.54" hidden="false" outlineLevel="1" customWidth="1"/>
    <col min="272" max="272" width="15.54" hidden="false" outlineLevel="1" customWidth="1"/>
    <col min="273" max="273" width="15.54" hidden="false" outlineLevel="1" customWidth="1"/>
    <col min="274" max="274" width="15.54" hidden="false" outlineLevel="1" customWidth="1"/>
    <col min="275" max="275" width="15.54" hidden="false" outlineLevel="1" customWidth="1"/>
    <col min="276" max="276" width="15.54" hidden="false" outlineLevel="1" customWidth="1"/>
    <col min="277" max="277" width="15.54" hidden="false" outlineLevel="1" customWidth="1"/>
    <col min="278" max="278" width="15.54" hidden="false" outlineLevel="1" customWidth="1"/>
    <col min="279" max="279" width="15.54" hidden="false" outlineLevel="1" customWidth="1"/>
    <col min="280" max="280" width="15.54" hidden="false" outlineLevel="1" customWidth="1"/>
    <col min="281" max="281" width="15.54" hidden="false" outlineLevel="1" customWidth="1"/>
    <col min="282" max="282" width="15.54" hidden="false" outlineLevel="1" customWidth="1"/>
    <col min="283" max="283" width="15.54" hidden="false" outlineLevel="1" customWidth="1"/>
    <col min="284" max="284" width="15.54" hidden="false" outlineLevel="1" customWidth="1"/>
    <col min="285" max="285" width="15.54" hidden="false" outlineLevel="1" customWidth="1"/>
    <col min="286" max="286" width="15.54" hidden="false" outlineLevel="1" customWidth="1"/>
    <col min="287" max="287" width="15.54" hidden="false" outlineLevel="1" customWidth="1"/>
    <col min="288" max="288" width="15.54" hidden="false" outlineLevel="1" customWidth="1"/>
    <col min="289" max="289" width="15.54" hidden="false" outlineLevel="1" customWidth="1"/>
    <col min="290" max="290" width="15.54" hidden="false" outlineLevel="1" customWidth="1"/>
    <col min="291" max="291" width="15.54" hidden="false" outlineLevel="1" customWidth="1"/>
    <col min="292" max="292" width="15.54" hidden="false" outlineLevel="1" customWidth="1"/>
    <col min="293" max="293" width="15.54" hidden="false" outlineLevel="1" customWidth="1"/>
    <col min="294" max="294" width="15.54" hidden="false" outlineLevel="1" customWidth="1"/>
    <col min="295" max="295" width="15.54" hidden="false" outlineLevel="1" customWidth="1"/>
    <col min="296" max="296" width="15.54" hidden="false" outlineLevel="1" customWidth="1"/>
    <col min="297" max="297" width="15.54" hidden="false" outlineLevel="1" customWidth="1"/>
    <col min="298" max="298" width="15.54" hidden="false" outlineLevel="1" customWidth="1"/>
    <col min="299" max="299" width="15.54" hidden="false" outlineLevel="1" customWidth="1"/>
    <col min="300" max="300" width="15.54" hidden="false" outlineLevel="1" customWidth="1"/>
    <col min="301" max="301" width="15.54" hidden="false" outlineLevel="1" customWidth="1"/>
    <col min="302" max="302" width="15.54" hidden="false" outlineLevel="1" customWidth="1"/>
    <col min="303" max="303" width="15.54" hidden="false" outlineLevel="1" customWidth="1"/>
    <col min="304" max="304" width="15.54" hidden="false" outlineLevel="1" customWidth="1"/>
    <col min="305" max="305" width="15.54" hidden="false" outlineLevel="1" customWidth="1"/>
    <col min="306" max="306" width="15.54" hidden="false" outlineLevel="1" customWidth="1"/>
    <col min="307" max="307" width="15.54" hidden="false" outlineLevel="1" customWidth="1"/>
    <col min="308" max="308" width="15.54" hidden="false" outlineLevel="1" customWidth="1"/>
    <col min="309" max="309" width="15.54" hidden="false" outlineLevel="1" customWidth="1"/>
    <col min="310" max="310" width="15.54" hidden="false" outlineLevel="1" customWidth="1"/>
    <col min="311" max="311" width="15.54" hidden="false" outlineLevel="1" customWidth="1"/>
    <col min="312" max="312" width="15.54" hidden="false" outlineLevel="1" customWidth="1"/>
    <col min="313" max="313" width="15.54" hidden="false" outlineLevel="1" customWidth="1"/>
    <col min="314" max="314" width="15.54" hidden="false" outlineLevel="1" customWidth="1"/>
    <col min="315" max="315" width="15.54" hidden="false" outlineLevel="1" customWidth="1"/>
    <col min="316" max="316" width="15.54" hidden="false" outlineLevel="1" customWidth="1"/>
    <col min="317" max="317" width="15.54" hidden="false" outlineLevel="1" customWidth="1"/>
    <col min="318" max="318" width="15.54" hidden="false" outlineLevel="1" customWidth="1"/>
    <col min="319" max="319" width="15.54" hidden="false" outlineLevel="1" customWidth="1"/>
    <col min="320" max="320" width="15.54" hidden="false" outlineLevel="1" customWidth="1"/>
    <col min="321" max="321" width="15.54" hidden="false" outlineLevel="1" customWidth="1"/>
    <col min="322" max="322" width="15.54" hidden="false" outlineLevel="1" customWidth="1"/>
    <col min="323" max="323" width="15.54" hidden="false" outlineLevel="1" customWidth="1"/>
    <col min="324" max="324" width="15.54" hidden="false" outlineLevel="1" customWidth="1"/>
    <col min="325" max="325" width="15.54" hidden="false" outlineLevel="1" customWidth="1"/>
    <col min="326" max="326" width="15.54" hidden="false" outlineLevel="1" customWidth="1"/>
    <col min="327" max="327" width="15.54" hidden="false" outlineLevel="1" customWidth="1"/>
    <col min="328" max="328" width="15.54" hidden="false" outlineLevel="1" customWidth="1"/>
    <col min="329" max="329" width="15.54" hidden="false" outlineLevel="1" customWidth="1"/>
    <col min="330" max="330" width="15.54" hidden="false" outlineLevel="1" customWidth="1"/>
    <col min="331" max="331" width="15.54" hidden="false" outlineLevel="1" customWidth="1"/>
    <col min="332" max="332" width="15.54" hidden="false" outlineLevel="1" customWidth="1"/>
    <col min="333" max="333" width="15.54" hidden="false" outlineLevel="1" customWidth="1"/>
    <col min="334" max="334" width="15.54" hidden="false" outlineLevel="1" customWidth="1"/>
    <col min="335" max="335" width="15.54" hidden="false" outlineLevel="1" customWidth="1"/>
    <col min="336" max="336" width="15.54" hidden="false" outlineLevel="1" customWidth="1"/>
    <col min="337" max="337" width="15.54" hidden="false" outlineLevel="1" customWidth="1"/>
    <col min="338" max="338" width="15.54" hidden="false" outlineLevel="1" customWidth="1"/>
    <col min="339" max="339" width="15.54" hidden="false" outlineLevel="1" customWidth="1"/>
    <col min="340" max="340" width="15.54" hidden="false" outlineLevel="1" customWidth="1"/>
    <col min="341" max="341" width="15.54" hidden="false" outlineLevel="1" customWidth="1"/>
    <col min="342" max="342" width="15.54" hidden="false" outlineLevel="1" customWidth="1"/>
    <col min="343" max="343" width="15.54" hidden="false" outlineLevel="1" customWidth="1"/>
    <col min="344" max="344" width="15.54" hidden="false" outlineLevel="1" customWidth="1"/>
    <col min="345" max="345" width="15.54" hidden="false" outlineLevel="1" customWidth="1"/>
    <col min="346" max="346" width="15.54" hidden="false" outlineLevel="1" customWidth="1"/>
    <col min="347" max="347" width="15.54" hidden="false" outlineLevel="1" customWidth="1"/>
    <col min="348" max="348" width="15.54" hidden="false" outlineLevel="1" customWidth="1"/>
    <col min="349" max="349" width="15.54" hidden="false" outlineLevel="1" customWidth="1"/>
    <col min="350" max="350" width="15.54" hidden="false" outlineLevel="1" customWidth="1"/>
    <col min="351" max="351" width="15.54" hidden="false" outlineLevel="1" customWidth="1"/>
    <col min="352" max="352" width="15.54" hidden="false" outlineLevel="1" customWidth="1"/>
    <col min="353" max="353" width="15.54" hidden="false" outlineLevel="1" customWidth="1"/>
    <col min="354" max="354" width="15.54" hidden="false" outlineLevel="1" customWidth="1"/>
    <col min="355" max="355" width="15.54" hidden="false" outlineLevel="1" customWidth="1"/>
    <col min="356" max="356" width="15.54" hidden="false" outlineLevel="1" customWidth="1"/>
    <col min="357" max="357" width="15.54" hidden="false" outlineLevel="1" customWidth="1"/>
    <col min="358" max="358" width="15.54" hidden="false" outlineLevel="1" customWidth="1"/>
    <col min="359" max="359" width="15.54" hidden="false" outlineLevel="1" customWidth="1"/>
    <col min="360" max="360" width="15.54" hidden="false" outlineLevel="1" customWidth="1"/>
    <col min="361" max="361" width="15.54" hidden="false" outlineLevel="1" customWidth="1"/>
    <col min="362" max="362" width="15.54" hidden="false" outlineLevel="1" customWidth="1"/>
    <col min="363" max="363" width="15.54" hidden="false" outlineLevel="1" customWidth="1"/>
    <col min="364" max="364" width="15.54" hidden="false" outlineLevel="1" customWidth="1"/>
    <col min="365" max="365" width="15.54" hidden="false" outlineLevel="1" customWidth="1"/>
    <col min="366" max="366" width="15.54" hidden="false" outlineLevel="1" customWidth="1"/>
    <col min="367" max="367" width="15.54" hidden="false" outlineLevel="1" customWidth="1"/>
    <col min="368" max="368" width="15.54" hidden="false" outlineLevel="1" customWidth="1"/>
    <col min="369" max="369" width="15.54" hidden="false" outlineLevel="1" customWidth="1"/>
    <col min="370" max="370" width="15.54" hidden="false" outlineLevel="1" customWidth="1"/>
    <col min="371" max="371" width="15.54" hidden="false" outlineLevel="1" customWidth="1"/>
    <col min="372" max="372" width="15.54" hidden="false" outlineLevel="1" customWidth="1"/>
    <col min="373" max="373" width="15.54" hidden="false" outlineLevel="1" customWidth="1"/>
    <col min="374" max="374" width="15.54" hidden="false" outlineLevel="1" customWidth="1"/>
    <col min="375" max="375" width="15.54" hidden="false" outlineLevel="1" customWidth="1"/>
    <col min="376" max="376" width="15.54" hidden="false" outlineLevel="1" customWidth="1"/>
    <col min="377" max="377" width="15.54" hidden="false" outlineLevel="1" customWidth="1"/>
    <col min="378" max="378" width="15.54" hidden="false" outlineLevel="1" customWidth="1"/>
    <col min="379" max="379" width="15.54" hidden="false" outlineLevel="1" customWidth="1"/>
    <col min="380" max="380" width="15.54" hidden="false" outlineLevel="1" customWidth="1"/>
    <col min="381" max="381" width="15.54" hidden="false" outlineLevel="1" customWidth="1"/>
    <col min="382" max="382" width="15.54" hidden="false" outlineLevel="1" customWidth="1"/>
    <col min="383" max="383" width="15.54" hidden="false" outlineLevel="1" customWidth="1"/>
    <col min="384" max="384" width="15.54" hidden="false" outlineLevel="1" customWidth="1"/>
    <col min="385" max="385" width="15.54" hidden="false" outlineLevel="1" customWidth="1"/>
    <col min="386" max="386" width="15.54" hidden="false" outlineLevel="1" customWidth="1"/>
    <col min="387" max="387" width="15.54" hidden="false" outlineLevel="1" customWidth="1"/>
    <col min="388" max="388" width="15.54" hidden="false" outlineLevel="1" customWidth="1"/>
    <col min="389" max="389" width="15.54" hidden="false" outlineLevel="1" customWidth="1"/>
    <col min="390" max="390" width="15.54" hidden="false" outlineLevel="1" customWidth="1"/>
    <col min="391" max="391" width="15.54" hidden="false" outlineLevel="1" customWidth="1"/>
    <col min="392" max="392" width="15.54" hidden="false" outlineLevel="1" customWidth="1"/>
    <col min="393" max="393" width="15.54" hidden="false" outlineLevel="1" customWidth="1"/>
    <col min="394" max="394" width="15.54" hidden="false" outlineLevel="1" customWidth="1"/>
    <col min="395" max="395" width="15.54" hidden="false" outlineLevel="1" customWidth="1"/>
    <col min="396" max="396" width="15.54" hidden="false" outlineLevel="1" customWidth="1"/>
    <col min="397" max="397" width="15.54" hidden="false" outlineLevel="1" customWidth="1"/>
    <col min="398" max="398" width="15.54" hidden="false" outlineLevel="1" customWidth="1"/>
    <col min="399" max="399" width="15.54" hidden="false" outlineLevel="1" customWidth="1"/>
    <col min="400" max="400" width="15.54" hidden="false" outlineLevel="1" customWidth="1"/>
    <col min="401" max="401" width="15.54" hidden="false" outlineLevel="1" customWidth="1"/>
    <col min="402" max="402" width="15.54" hidden="false" outlineLevel="1" customWidth="1"/>
    <col min="403" max="403" width="15.54" hidden="false" outlineLevel="1" customWidth="1"/>
    <col min="404" max="404" width="15.54" hidden="false" outlineLevel="1" customWidth="1"/>
    <col min="405" max="405" width="15.54" hidden="false" outlineLevel="1" customWidth="1"/>
    <col min="406" max="406" width="15.54" hidden="false" outlineLevel="1" customWidth="1"/>
    <col min="407" max="407" width="15.54" hidden="false" outlineLevel="1" customWidth="1"/>
    <col min="408" max="408" width="15.54" hidden="false" outlineLevel="1" customWidth="1"/>
    <col min="409" max="409" width="15.54" hidden="false" outlineLevel="1" customWidth="1"/>
    <col min="410" max="410" width="15.54" hidden="false" outlineLevel="1" customWidth="1"/>
    <col min="411" max="411" width="15.54" hidden="false" outlineLevel="1" customWidth="1"/>
    <col min="412" max="412" width="15.54" hidden="false" outlineLevel="1" customWidth="1"/>
    <col min="413" max="413" width="15.54" hidden="false" outlineLevel="1" customWidth="1"/>
    <col min="414" max="414" width="15.54" hidden="false" outlineLevel="1" customWidth="1"/>
    <col min="415" max="415" width="15.54" hidden="false" outlineLevel="1" customWidth="1"/>
    <col min="416" max="416" width="15.54" hidden="false" outlineLevel="1" customWidth="1"/>
    <col min="417" max="417" width="15.54" hidden="false" outlineLevel="1" customWidth="1"/>
    <col min="418" max="418" width="15.54" hidden="false" outlineLevel="1" customWidth="1"/>
    <col min="419" max="419" width="15.54" hidden="false" outlineLevel="1" customWidth="1"/>
    <col min="420" max="420" width="15.54" hidden="false" outlineLevel="1" customWidth="1"/>
    <col min="421" max="421" width="15.54" hidden="false" outlineLevel="1" customWidth="1"/>
    <col min="422" max="422" width="15.54" hidden="false" outlineLevel="1" customWidth="1"/>
    <col min="423" max="423" width="15.54" hidden="false" outlineLevel="1" customWidth="1"/>
    <col min="424" max="424" width="15.54" hidden="false" outlineLevel="1" customWidth="1"/>
    <col min="425" max="425" width="15.54" hidden="false" outlineLevel="1" customWidth="1"/>
    <col min="426" max="426" width="15.54" hidden="false" outlineLevel="1" customWidth="1"/>
    <col min="427" max="427" width="15.54" hidden="false" outlineLevel="1" customWidth="1"/>
    <col min="428" max="428" width="15.54" hidden="false" outlineLevel="1" customWidth="1"/>
    <col min="429" max="429" width="15.54" hidden="false" outlineLevel="1" customWidth="1"/>
    <col min="430" max="430" width="15.54" hidden="false" outlineLevel="1" customWidth="1"/>
    <col min="431" max="431" width="15.54" hidden="false" outlineLevel="1" customWidth="1"/>
    <col min="432" max="432" width="15.54" hidden="false" outlineLevel="1" customWidth="1"/>
    <col min="433" max="433" width="15.54" hidden="false" outlineLevel="1" customWidth="1"/>
    <col min="434" max="434" width="15.54" hidden="false" outlineLevel="1" customWidth="1"/>
    <col min="435" max="435" width="15.54" hidden="false" outlineLevel="1" customWidth="1"/>
    <col min="436" max="436" width="15.54" hidden="false" outlineLevel="1" customWidth="1"/>
    <col min="437" max="437" width="15.54" hidden="false" outlineLevel="1" customWidth="1"/>
    <col min="438" max="438" width="15.54" hidden="false" outlineLevel="1" customWidth="1"/>
    <col min="439" max="439" width="15.54" hidden="false" outlineLevel="1" customWidth="1"/>
    <col min="440" max="440" width="15.54" hidden="false" outlineLevel="1" customWidth="1"/>
    <col min="441" max="441" width="15.54" hidden="false" outlineLevel="1" customWidth="1"/>
    <col min="442" max="442" width="15.54" hidden="false" outlineLevel="1" customWidth="1"/>
    <col min="443" max="443" width="15.54" hidden="false" outlineLevel="1" customWidth="1"/>
    <col min="444" max="444" width="15.54" hidden="false" outlineLevel="1" customWidth="1"/>
    <col min="445" max="445" width="15.54" hidden="false" outlineLevel="1" customWidth="1"/>
    <col min="446" max="446" width="15.54" hidden="false" outlineLevel="1" customWidth="1"/>
    <col min="447" max="447" width="15.54" hidden="false" outlineLevel="1" customWidth="1"/>
    <col min="448" max="448" width="15.54" hidden="false" outlineLevel="1" customWidth="1"/>
    <col min="449" max="449" width="15.54" hidden="false" outlineLevel="1" customWidth="1"/>
    <col min="450" max="450" width="15.54" hidden="false" outlineLevel="1" customWidth="1"/>
    <col min="451" max="451" width="15.54" hidden="false" outlineLevel="1" customWidth="1"/>
    <col min="452" max="452" width="15.54" hidden="false" outlineLevel="1" customWidth="1"/>
    <col min="453" max="453" width="15.54" hidden="false" outlineLevel="1" customWidth="1"/>
    <col min="454" max="454" width="15.54" hidden="false" outlineLevel="1" customWidth="1"/>
    <col min="455" max="455" width="15.54" hidden="false" outlineLevel="1" customWidth="1"/>
    <col min="456" max="456" width="15.54" hidden="false" outlineLevel="1" customWidth="1"/>
    <col min="457" max="457" width="15.54" hidden="false" outlineLevel="1" customWidth="1"/>
    <col min="458" max="458" width="15.54" hidden="false" outlineLevel="1" customWidth="1"/>
    <col min="459" max="459" width="15.54" hidden="false" outlineLevel="1" customWidth="1"/>
    <col min="460" max="460" width="15.54" hidden="false" outlineLevel="1" customWidth="1"/>
    <col min="461" max="461" width="15.54" hidden="false" outlineLevel="1" customWidth="1"/>
    <col min="462" max="462" width="15.54" hidden="false" outlineLevel="1" customWidth="1"/>
    <col min="463" max="463" width="15.54" hidden="false" outlineLevel="1" customWidth="1"/>
    <col min="464" max="464" width="15.54" hidden="false" outlineLevel="1" customWidth="1"/>
    <col min="465" max="465" width="15.54" hidden="false" outlineLevel="1" customWidth="1"/>
    <col min="466" max="466" width="15.54" hidden="false" outlineLevel="1" customWidth="1"/>
    <col min="467" max="467" width="15.54" hidden="false" outlineLevel="1" customWidth="1"/>
    <col min="468" max="468" width="15.54" hidden="false" outlineLevel="1" customWidth="1"/>
    <col min="469" max="469" width="15.54" hidden="false" outlineLevel="1" customWidth="1"/>
    <col min="470" max="470" width="15.54" hidden="false" outlineLevel="1" customWidth="1"/>
    <col min="471" max="471" width="15.54" hidden="false" outlineLevel="1" customWidth="1"/>
    <col min="472" max="472" width="15.54" hidden="false" outlineLevel="1" customWidth="1"/>
    <col min="473" max="473" width="15.54" hidden="false" outlineLevel="1" customWidth="1"/>
    <col min="474" max="474" width="15.54" hidden="false" outlineLevel="1" customWidth="1"/>
    <col min="475" max="475" width="15.54" hidden="false" outlineLevel="1" customWidth="1"/>
    <col min="476" max="476" width="15.54" hidden="false" outlineLevel="1" customWidth="1"/>
    <col min="477" max="477" width="15.54" hidden="false" outlineLevel="1" customWidth="1"/>
    <col min="478" max="478" width="15.54" hidden="false" outlineLevel="1" customWidth="1"/>
    <col min="479" max="479" width="15.54" hidden="false" outlineLevel="1" customWidth="1"/>
    <col min="480" max="480" width="15.54" hidden="false" outlineLevel="1" customWidth="1"/>
    <col min="481" max="481" width="15.54" hidden="false" outlineLevel="1" customWidth="1"/>
    <col min="482" max="482" width="15.54" hidden="false" outlineLevel="1" customWidth="1"/>
    <col min="483" max="483" width="15.54" hidden="false" outlineLevel="1" customWidth="1"/>
    <col min="484" max="484" width="15.54" hidden="false" outlineLevel="1" customWidth="1"/>
    <col min="485" max="485" width="15.54" hidden="false" outlineLevel="1" customWidth="1"/>
    <col min="486" max="486" width="15.54" hidden="false" outlineLevel="1" customWidth="1"/>
    <col min="487" max="487" width="15.54" hidden="false" outlineLevel="1" customWidth="1"/>
    <col min="488" max="488" width="15.54" hidden="false" outlineLevel="1" customWidth="1"/>
    <col min="489" max="489" width="15.54" hidden="false" outlineLevel="1" customWidth="1"/>
    <col min="490" max="490" width="15.54" hidden="false" outlineLevel="1" customWidth="1"/>
    <col min="491" max="491" width="15.54" hidden="false" outlineLevel="1" customWidth="1"/>
    <col min="492" max="492" width="15.54" hidden="false" outlineLevel="1" customWidth="1"/>
    <col min="493" max="493" width="15.54" hidden="false" outlineLevel="1" customWidth="1"/>
    <col min="494" max="494" width="15.54" hidden="false" outlineLevel="1" customWidth="1"/>
    <col min="495" max="495" width="15.54" hidden="false" outlineLevel="1" customWidth="1"/>
    <col min="496" max="496" width="15.54" hidden="false" outlineLevel="1" customWidth="1"/>
    <col min="497" max="497" width="15.54" hidden="false" outlineLevel="1" customWidth="1"/>
    <col min="498" max="498" width="15.54" hidden="false" outlineLevel="1" customWidth="1"/>
    <col min="499" max="499" width="15.54" hidden="false" outlineLevel="1" customWidth="1"/>
    <col min="500" max="500" width="15.54" hidden="false" outlineLevel="1" customWidth="1"/>
    <col min="501" max="501" width="15.54" hidden="false" outlineLevel="1" customWidth="1"/>
    <col min="502" max="502" width="15.54" hidden="false" outlineLevel="1" customWidth="1"/>
    <col min="503" max="503" width="15.54" hidden="false" outlineLevel="1" customWidth="1"/>
    <col min="504" max="504" width="15.54" hidden="false" outlineLevel="1" customWidth="1"/>
    <col min="505" max="505" width="15.54" hidden="false" outlineLevel="1" customWidth="1"/>
    <col min="506" max="506" width="15.54" hidden="false" outlineLevel="1" customWidth="1"/>
    <col min="507" max="507" width="15.54" hidden="false" outlineLevel="1" customWidth="1"/>
    <col min="508" max="508" width="15.54" hidden="false" outlineLevel="1" customWidth="1"/>
    <col min="509" max="509" width="15.54" hidden="false" outlineLevel="1" customWidth="1"/>
    <col min="510" max="510" width="15.54" hidden="false" outlineLevel="1" customWidth="1"/>
    <col min="511" max="511" width="15.54" hidden="false" outlineLevel="1" customWidth="1"/>
    <col min="512" max="512" width="15.54" hidden="false" outlineLevel="1" customWidth="1"/>
    <col min="513" max="513" width="15.54" hidden="false" outlineLevel="1" customWidth="1"/>
    <col min="514" max="514" width="15.54" hidden="false" outlineLevel="1" customWidth="1"/>
    <col min="515" max="515" width="15.54" hidden="false" outlineLevel="1" customWidth="1"/>
    <col min="516" max="516" width="15.54" hidden="false" outlineLevel="1" customWidth="1"/>
    <col min="517" max="517" width="15.54" hidden="false" outlineLevel="1" customWidth="1"/>
    <col min="518" max="518" width="15.54" hidden="false" outlineLevel="1" customWidth="1"/>
    <col min="519" max="519" width="15.54" hidden="false" outlineLevel="1" customWidth="1"/>
    <col min="520" max="520" width="15.54" hidden="false" outlineLevel="1" customWidth="1"/>
    <col min="521" max="521" width="15.54" hidden="false" outlineLevel="1" customWidth="1"/>
    <col min="522" max="522" width="15.54" hidden="false" outlineLevel="1" customWidth="1"/>
    <col min="523" max="523" width="15.54" hidden="false" outlineLevel="1" customWidth="1"/>
    <col min="524" max="524" width="15.54" hidden="false" outlineLevel="1" customWidth="1"/>
    <col min="525" max="525" width="15.54" hidden="false" outlineLevel="1" customWidth="1"/>
    <col min="526" max="526" width="15.54" hidden="false" outlineLevel="1" customWidth="1"/>
    <col min="527" max="527" width="15.54" hidden="false" outlineLevel="1" customWidth="1"/>
    <col min="528" max="528" width="15.54" hidden="false" outlineLevel="1" customWidth="1"/>
    <col min="529" max="529" width="15.54" hidden="false" outlineLevel="1" customWidth="1"/>
    <col min="530" max="530" width="15.54" hidden="false" outlineLevel="1" customWidth="1"/>
    <col min="531" max="531" width="15.54" hidden="false" outlineLevel="1" customWidth="1"/>
    <col min="532" max="532" width="15.54" hidden="false" outlineLevel="1" customWidth="1"/>
    <col min="533" max="533" width="15.54" hidden="false" outlineLevel="1" customWidth="1"/>
    <col min="534" max="534" width="15.54" hidden="false" outlineLevel="1" customWidth="1"/>
    <col min="535" max="535" width="15.54" hidden="false" outlineLevel="1" customWidth="1"/>
    <col min="536" max="536" width="15.54" hidden="false" outlineLevel="1" customWidth="1"/>
    <col min="537" max="537" width="15.54" hidden="false" outlineLevel="1" customWidth="1"/>
    <col min="538" max="538" width="15.54" hidden="false" outlineLevel="1" customWidth="1"/>
    <col min="539" max="539" width="15.54" hidden="false" outlineLevel="1" customWidth="1"/>
    <col min="540" max="540" width="15.54" hidden="false" outlineLevel="1" customWidth="1"/>
    <col min="541" max="541" width="15.54" hidden="false" outlineLevel="1" customWidth="1"/>
    <col min="542" max="542" width="15.54" hidden="false" outlineLevel="1" customWidth="1"/>
    <col min="543" max="543" width="15.54" hidden="false" outlineLevel="1" customWidth="1"/>
    <col min="544" max="544" width="15.54" hidden="false" outlineLevel="1" customWidth="1"/>
    <col min="545" max="545" width="15.54" hidden="false" outlineLevel="1" customWidth="1"/>
    <col min="546" max="546" width="15.54" hidden="false" outlineLevel="1" customWidth="1"/>
    <col min="547" max="547" width="15.54" hidden="false" outlineLevel="1" customWidth="1"/>
    <col min="548" max="548" width="15.54" hidden="false" outlineLevel="1" customWidth="1"/>
    <col min="549" max="549" width="15.54" hidden="false" outlineLevel="1" customWidth="1"/>
    <col min="550" max="550" width="15.54" hidden="false" outlineLevel="1" customWidth="1"/>
    <col min="551" max="551" width="15.54" hidden="false" outlineLevel="1" customWidth="1"/>
    <col min="552" max="552" width="15.54" hidden="false" outlineLevel="1" customWidth="1"/>
    <col min="553" max="553" width="15.54" hidden="false" outlineLevel="1" customWidth="1"/>
    <col min="554" max="554" width="15.54" hidden="false" outlineLevel="1" customWidth="1"/>
    <col min="555" max="555" width="15.54" hidden="false" outlineLevel="1" customWidth="1"/>
    <col min="556" max="556" width="15.54" hidden="false" outlineLevel="1" customWidth="1"/>
    <col min="557" max="557" width="15.54" hidden="false" outlineLevel="1" customWidth="1"/>
    <col min="558" max="558" width="15.54" hidden="false" outlineLevel="1" customWidth="1"/>
    <col min="559" max="559" width="15.54" hidden="false" outlineLevel="1" customWidth="1"/>
    <col min="560" max="560" width="15.54" hidden="false" outlineLevel="1" customWidth="1"/>
    <col min="561" max="561" width="15.54" hidden="false" outlineLevel="1" customWidth="1"/>
    <col min="562" max="562" width="15.54" hidden="false" outlineLevel="1" customWidth="1"/>
    <col min="563" max="563" width="15.54" hidden="false" outlineLevel="1" customWidth="1"/>
    <col min="564" max="564" width="15.54" hidden="false" outlineLevel="1" customWidth="1"/>
    <col min="565" max="565" width="15.54" hidden="false" outlineLevel="1" customWidth="1"/>
    <col min="566" max="566" width="15.54" hidden="false" outlineLevel="1" customWidth="1"/>
    <col min="567" max="567" width="15.54" hidden="false" outlineLevel="1" customWidth="1"/>
    <col min="568" max="568" width="15.54" hidden="false" outlineLevel="1" customWidth="1"/>
    <col min="569" max="569" width="15.54" hidden="false" outlineLevel="1" customWidth="1"/>
    <col min="570" max="570" width="15.54" hidden="false" outlineLevel="1" customWidth="1"/>
    <col min="571" max="571" width="15.54" hidden="false" outlineLevel="1" customWidth="1"/>
    <col min="572" max="572" width="15.54" hidden="false" outlineLevel="1" customWidth="1"/>
    <col min="573" max="573" width="15.54" hidden="false" outlineLevel="1" customWidth="1"/>
    <col min="574" max="574" width="15.54" hidden="false" outlineLevel="1" customWidth="1"/>
    <col min="575" max="575" width="15.54" hidden="false" outlineLevel="1" customWidth="1"/>
    <col min="576" max="576" width="15.54" hidden="false" outlineLevel="1" customWidth="1"/>
    <col min="577" max="577" width="15.54" hidden="false" outlineLevel="1" customWidth="1"/>
    <col min="578" max="578" width="15.54" hidden="false" outlineLevel="1" customWidth="1"/>
    <col min="579" max="579" width="15.54" hidden="false" outlineLevel="1" customWidth="1"/>
    <col min="580" max="580" width="15.54" hidden="false" outlineLevel="1" customWidth="1"/>
    <col min="581" max="581" width="15.54" hidden="false" outlineLevel="1" customWidth="1"/>
    <col min="582" max="582" width="15.54" hidden="false" outlineLevel="1" customWidth="1"/>
    <col min="583" max="583" width="15.54" hidden="false" outlineLevel="1" customWidth="1"/>
    <col min="584" max="584" width="15.54" hidden="false" outlineLevel="1" customWidth="1"/>
    <col min="585" max="585" width="15.54" hidden="false" outlineLevel="1" customWidth="1"/>
    <col min="586" max="586" width="15.54" hidden="false" outlineLevel="1" customWidth="1"/>
    <col min="587" max="587" width="15.54" hidden="false" outlineLevel="1" customWidth="1"/>
    <col min="588" max="588" width="15.54" hidden="false" outlineLevel="1" customWidth="1"/>
    <col min="589" max="589" width="15.54" hidden="false" outlineLevel="1" customWidth="1"/>
    <col min="590" max="590" width="15.54" hidden="false" outlineLevel="1" customWidth="1"/>
    <col min="591" max="591" width="15.54" hidden="false" outlineLevel="1" customWidth="1"/>
    <col min="592" max="592" width="15.54" hidden="false" outlineLevel="1" customWidth="1"/>
    <col min="593" max="593" width="15.54" hidden="false" outlineLevel="1" customWidth="1"/>
    <col min="594" max="594" width="15.54" hidden="false" outlineLevel="1" customWidth="1"/>
    <col min="595" max="595" width="15.54" hidden="false" outlineLevel="1" customWidth="1"/>
    <col min="596" max="596" width="15.54" hidden="false" outlineLevel="1" customWidth="1"/>
    <col min="597" max="597" width="15.54" hidden="false" outlineLevel="1" customWidth="1"/>
    <col min="598" max="598" width="15.54" hidden="false" outlineLevel="1" customWidth="1"/>
    <col min="599" max="599" width="15.54" hidden="false" outlineLevel="1" customWidth="1"/>
    <col min="600" max="600" width="15.54" hidden="false" outlineLevel="1" customWidth="1"/>
    <col min="601" max="601" width="15.54" hidden="false" outlineLevel="1" customWidth="1"/>
    <col min="602" max="602" width="15.54" hidden="false" outlineLevel="1" customWidth="1"/>
    <col min="603" max="603" width="15.54" hidden="false" outlineLevel="1" customWidth="1"/>
    <col min="604" max="604" width="15.54" hidden="false" outlineLevel="1" customWidth="1"/>
    <col min="605" max="605" width="15.54" hidden="false" outlineLevel="1" customWidth="1"/>
    <col min="606" max="606" width="15.54" hidden="false" outlineLevel="1" customWidth="1"/>
    <col min="607" max="607" width="15.54" hidden="false" outlineLevel="1" customWidth="1"/>
    <col min="608" max="608" width="15.54" hidden="false" outlineLevel="1" customWidth="1"/>
    <col min="609" max="609" width="15.54" hidden="false" outlineLevel="1" customWidth="1"/>
    <col min="610" max="610" width="15.54" hidden="false" outlineLevel="1" customWidth="1"/>
    <col min="611" max="611" width="15.54" hidden="false" outlineLevel="1" customWidth="1"/>
    <col min="612" max="612" width="15.54" hidden="false" outlineLevel="1" customWidth="1"/>
    <col min="613" max="613" width="15.54" hidden="false" outlineLevel="1" customWidth="1"/>
    <col min="614" max="614" width="15.54" hidden="false" outlineLevel="1" customWidth="1"/>
    <col min="615" max="615" width="15.54" hidden="false" outlineLevel="1" customWidth="1"/>
    <col min="616" max="616" width="15.54" hidden="false" outlineLevel="1" customWidth="1"/>
    <col min="617" max="617" width="15.54" hidden="false" outlineLevel="1" customWidth="1"/>
    <col min="618" max="618" width="15.54" hidden="false" outlineLevel="1" customWidth="1"/>
    <col min="619" max="619" width="15.54" hidden="false" outlineLevel="1" customWidth="1"/>
    <col min="620" max="620" width="15.54" hidden="false" outlineLevel="1" customWidth="1"/>
    <col min="621" max="621" width="15.54" hidden="false" outlineLevel="1" customWidth="1"/>
    <col min="622" max="622" width="15.54" hidden="false" outlineLevel="1" customWidth="1"/>
    <col min="623" max="623" width="15.54" hidden="false" outlineLevel="1" customWidth="1"/>
    <col min="624" max="624" width="15.54" hidden="false" outlineLevel="1" customWidth="1"/>
    <col min="625" max="625" width="15.54" hidden="false" outlineLevel="1" customWidth="1"/>
    <col min="626" max="626" width="15.54" hidden="false" outlineLevel="1" customWidth="1"/>
    <col min="627" max="627" width="15.54" hidden="false" outlineLevel="1" customWidth="1"/>
    <col min="628" max="628" width="15.54" hidden="false" outlineLevel="1" customWidth="1"/>
    <col min="629" max="629" width="15.54" hidden="false" outlineLevel="1" customWidth="1"/>
    <col min="630" max="630" width="15.54" hidden="false" outlineLevel="1" customWidth="1"/>
    <col min="631" max="631" width="15.54" hidden="false" outlineLevel="1" customWidth="1"/>
    <col min="632" max="632" width="15.54" hidden="false" outlineLevel="1" customWidth="1"/>
    <col min="633" max="633" width="15.54" hidden="false" outlineLevel="1" customWidth="1"/>
    <col min="634" max="634" width="15.54" hidden="false" outlineLevel="1" customWidth="1"/>
    <col min="635" max="635" width="15.54" hidden="false" outlineLevel="1" customWidth="1"/>
    <col min="636" max="636" width="15.54" hidden="false" outlineLevel="1" customWidth="1"/>
    <col min="637" max="637" width="15.54" hidden="false" outlineLevel="1" customWidth="1"/>
    <col min="638" max="638" width="15.54" hidden="false" outlineLevel="1" customWidth="1"/>
    <col min="639" max="639" width="15.54" hidden="false" outlineLevel="1" customWidth="1"/>
    <col min="640" max="640" width="15.54" hidden="false" outlineLevel="1" customWidth="1"/>
    <col min="641" max="641" width="15.54" hidden="false" outlineLevel="1" customWidth="1"/>
    <col min="642" max="642" width="15.54" hidden="false" outlineLevel="1" customWidth="1"/>
    <col min="643" max="643" width="15.54" hidden="false" outlineLevel="1" customWidth="1"/>
    <col min="644" max="644" width="15.54" hidden="false" outlineLevel="1" customWidth="1"/>
    <col min="645" max="645" width="15.54" hidden="false" outlineLevel="1" customWidth="1"/>
    <col min="646" max="646" width="15.54" hidden="false" outlineLevel="1" customWidth="1"/>
    <col min="647" max="647" width="15.54" hidden="false" outlineLevel="1" customWidth="1"/>
    <col min="648" max="648" width="15.54" hidden="false" outlineLevel="1" customWidth="1"/>
    <col min="649" max="649" width="15.54" hidden="false" outlineLevel="1" customWidth="1"/>
    <col min="650" max="650" width="15.54" hidden="false" outlineLevel="1" customWidth="1"/>
    <col min="651" max="651" width="15.54" hidden="false" outlineLevel="1" customWidth="1"/>
    <col min="652" max="652" width="15.54" hidden="false" outlineLevel="1" customWidth="1"/>
    <col min="653" max="653" width="15.54" hidden="false" outlineLevel="1" customWidth="1"/>
    <col min="654" max="654" width="15.54" hidden="false" outlineLevel="1" customWidth="1"/>
    <col min="655" max="655" width="15.54" hidden="false" outlineLevel="1" customWidth="1"/>
    <col min="656" max="656" width="15.54" hidden="false" outlineLevel="1" customWidth="1"/>
    <col min="657" max="657" width="15.54" hidden="false" outlineLevel="1" customWidth="1"/>
    <col min="658" max="658" width="15.54" hidden="false" outlineLevel="1" customWidth="1"/>
    <col min="659" max="659" width="15.54" hidden="false" outlineLevel="1" customWidth="1"/>
    <col min="660" max="660" width="15.54" hidden="false" outlineLevel="1" customWidth="1"/>
    <col min="661" max="661" width="15.54" hidden="false" outlineLevel="1" customWidth="1"/>
    <col min="662" max="662" width="15.54" hidden="false" outlineLevel="1" customWidth="1"/>
    <col min="663" max="663" width="15.54" hidden="false" outlineLevel="1" customWidth="1"/>
    <col min="664" max="664" width="15.54" hidden="false" outlineLevel="1" customWidth="1"/>
    <col min="665" max="665" width="15.54" hidden="false" outlineLevel="1" customWidth="1"/>
    <col min="666" max="666" width="15.54" hidden="false" outlineLevel="1" customWidth="1"/>
    <col min="667" max="667" width="15.54" hidden="false" outlineLevel="1" customWidth="1"/>
    <col min="668" max="668" width="15.54" hidden="false" outlineLevel="1" customWidth="1"/>
    <col min="669" max="669" width="15.54" hidden="false" outlineLevel="1" customWidth="1"/>
    <col min="670" max="670" width="15.54" hidden="false" outlineLevel="1" customWidth="1"/>
    <col min="671" max="671" width="15.54" hidden="false" outlineLevel="1" customWidth="1"/>
    <col min="672" max="672" width="15.54" hidden="false" outlineLevel="1" customWidth="1"/>
    <col min="673" max="673" width="15.54" hidden="false" outlineLevel="1" customWidth="1"/>
    <col min="674" max="674" width="15.54" hidden="false" outlineLevel="1" customWidth="1"/>
    <col min="675" max="675" width="15.54" hidden="false" outlineLevel="1" customWidth="1"/>
    <col min="676" max="676" width="15.54" hidden="false" outlineLevel="1" customWidth="1"/>
    <col min="677" max="677" width="15.54" hidden="false" outlineLevel="1" customWidth="1"/>
    <col min="678" max="678" width="15.54" hidden="false" outlineLevel="1" customWidth="1"/>
    <col min="679" max="679" width="15.54" hidden="false" outlineLevel="1" customWidth="1"/>
    <col min="680" max="680" width="15.54" hidden="false" outlineLevel="1" customWidth="1"/>
    <col min="681" max="681" width="15.54" hidden="false" outlineLevel="1" customWidth="1"/>
    <col min="682" max="682" width="15.54" hidden="false" outlineLevel="1" customWidth="1"/>
    <col min="683" max="683" width="15.54" hidden="false" outlineLevel="1" customWidth="1"/>
    <col min="684" max="684" width="15.54" hidden="false" outlineLevel="1" customWidth="1"/>
    <col min="685" max="685" width="15.54" hidden="false" outlineLevel="1" customWidth="1"/>
    <col min="686" max="686" width="15.54" hidden="false" outlineLevel="1" customWidth="1"/>
    <col min="687" max="687" width="15.54" hidden="false" outlineLevel="1" customWidth="1"/>
    <col min="688" max="688" width="15.54" hidden="false" outlineLevel="1" customWidth="1"/>
    <col min="689" max="689" width="15.54" hidden="false" outlineLevel="1" customWidth="1"/>
    <col min="690" max="690" width="15.54" hidden="false" outlineLevel="1" customWidth="1"/>
    <col min="691" max="691" width="15.54" hidden="false" outlineLevel="1" customWidth="1"/>
    <col min="692" max="692" width="15.54" hidden="false" outlineLevel="1" customWidth="1"/>
    <col min="693" max="693" width="15.54" hidden="false" outlineLevel="1" customWidth="1"/>
    <col min="694" max="694" width="15.54" hidden="false" outlineLevel="1" customWidth="1"/>
    <col min="695" max="695" width="15.54" hidden="false" outlineLevel="1" customWidth="1"/>
    <col min="696" max="696" width="15.54" hidden="false" outlineLevel="1" customWidth="1"/>
    <col min="697" max="697" width="15.54" hidden="false" outlineLevel="1" customWidth="1"/>
    <col min="698" max="698" width="15.54" hidden="false" outlineLevel="1" customWidth="1"/>
    <col min="699" max="699" width="15.54" hidden="false" outlineLevel="1" customWidth="1"/>
    <col min="700" max="700" width="15.54" hidden="false" outlineLevel="1" customWidth="1"/>
    <col min="701" max="701" width="15.54" hidden="false" outlineLevel="1" customWidth="1"/>
    <col min="702" max="702" width="15.54" hidden="false" outlineLevel="1" customWidth="1"/>
    <col min="703" max="703" width="15.54" hidden="false" outlineLevel="1" customWidth="1"/>
    <col min="704" max="704" width="15.54" hidden="false" outlineLevel="1" customWidth="1"/>
    <col min="705" max="705" width="15.54" hidden="false" outlineLevel="1" customWidth="1"/>
    <col min="706" max="706" width="15.54" hidden="false" outlineLevel="1" customWidth="1"/>
    <col min="707" max="707" width="15.54" hidden="false" outlineLevel="1" customWidth="1"/>
    <col min="708" max="708" width="15.54" hidden="false" outlineLevel="1" customWidth="1"/>
    <col min="709" max="709" width="15.54" hidden="false" outlineLevel="1" customWidth="1"/>
    <col min="710" max="710" width="15.54" hidden="false" outlineLevel="1" customWidth="1"/>
    <col min="711" max="711" width="15.54" hidden="false" outlineLevel="1" customWidth="1"/>
    <col min="712" max="712" width="15.54" hidden="false" outlineLevel="1" customWidth="1"/>
    <col min="713" max="713" width="15.54" hidden="false" outlineLevel="1" customWidth="1"/>
    <col min="714" max="714" width="15.54" hidden="false" outlineLevel="1" customWidth="1"/>
    <col min="715" max="715" width="15.54" hidden="false" outlineLevel="1" customWidth="1"/>
    <col min="716" max="716" width="15.54" hidden="false" outlineLevel="1" customWidth="1"/>
    <col min="717" max="717" width="15.54" hidden="false" outlineLevel="1" customWidth="1"/>
    <col min="718" max="718" width="15.54" hidden="false" outlineLevel="1" customWidth="1"/>
    <col min="719" max="719" width="15.54" hidden="false" outlineLevel="1" customWidth="1"/>
    <col min="720" max="720" width="15.54" hidden="false" outlineLevel="1" customWidth="1"/>
    <col min="721" max="721" width="15.54" hidden="false" outlineLevel="1" customWidth="1"/>
    <col min="722" max="722" width="15.54" hidden="false" outlineLevel="1" customWidth="1"/>
    <col min="723" max="723" width="15.54" hidden="false" outlineLevel="1" customWidth="1"/>
    <col min="724" max="724" width="15.54" hidden="false" outlineLevel="1" customWidth="1"/>
    <col min="725" max="725" width="15.54" hidden="false" outlineLevel="1" customWidth="1"/>
    <col min="726" max="726" width="15.54" hidden="false" outlineLevel="1" customWidth="1"/>
    <col min="727" max="727" width="15.54" hidden="false" outlineLevel="1" customWidth="1"/>
    <col min="728" max="728" width="15.54" hidden="false" outlineLevel="1" customWidth="1"/>
    <col min="729" max="729" width="15.54" hidden="false" outlineLevel="1" customWidth="1"/>
    <col min="730" max="730" width="15.54" hidden="false" outlineLevel="1" customWidth="1"/>
    <col min="731" max="731" width="15.54" hidden="false" outlineLevel="1" customWidth="1"/>
    <col min="732" max="732" width="15.54" hidden="false" outlineLevel="1" customWidth="1"/>
    <col min="733" max="733" width="15.54" hidden="false" outlineLevel="1" customWidth="1"/>
    <col min="734" max="734" width="15.54" hidden="false" outlineLevel="1" customWidth="1"/>
    <col min="735" max="735" width="15.54" hidden="false" outlineLevel="1" customWidth="1"/>
    <col min="736" max="736" width="15.54" hidden="false" outlineLevel="1" customWidth="1"/>
    <col min="737" max="737" width="15.54" hidden="false" outlineLevel="1" customWidth="1"/>
    <col min="738" max="738" width="15.54" hidden="false" outlineLevel="1" customWidth="1"/>
    <col min="739" max="739" width="15.54" hidden="false" outlineLevel="1" customWidth="1"/>
    <col min="740" max="740" width="15.54" hidden="false" outlineLevel="1" customWidth="1"/>
    <col min="741" max="741" width="15.54" hidden="false" outlineLevel="1" customWidth="1"/>
    <col min="742" max="742" width="15.54" hidden="false" outlineLevel="1" customWidth="1"/>
    <col min="743" max="743" width="15.54" hidden="false" outlineLevel="1" customWidth="1"/>
    <col min="744" max="744" width="15.54" hidden="false" outlineLevel="1" customWidth="1"/>
    <col min="745" max="745" width="15.54" hidden="false" outlineLevel="1" customWidth="1"/>
    <col min="746" max="746" width="15.54" hidden="false" outlineLevel="1" customWidth="1"/>
    <col min="747" max="747" width="15.54" hidden="false" outlineLevel="1" customWidth="1"/>
    <col min="748" max="748" width="15.54" hidden="false" outlineLevel="1" customWidth="1"/>
    <col min="749" max="749" width="15.54" hidden="false" outlineLevel="1" customWidth="1"/>
    <col min="750" max="750" width="15.54" hidden="false" outlineLevel="1" customWidth="1"/>
    <col min="751" max="751" width="15.54" hidden="false" outlineLevel="1" customWidth="1"/>
    <col min="752" max="752" width="15.54" hidden="false" outlineLevel="1" customWidth="1"/>
    <col min="753" max="753" width="15.54" hidden="false" outlineLevel="1" customWidth="1"/>
    <col min="754" max="754" width="15.54" hidden="false" outlineLevel="1" customWidth="1"/>
    <col min="755" max="755" width="15.54" hidden="false" outlineLevel="1" customWidth="1"/>
    <col min="756" max="756" width="15.54" hidden="false" outlineLevel="1" customWidth="1"/>
    <col min="757" max="757" width="15.54" hidden="false" outlineLevel="1" customWidth="1"/>
    <col min="758" max="758" width="15.54" hidden="false" outlineLevel="1" customWidth="1"/>
    <col min="759" max="759" width="15.54" hidden="false" outlineLevel="1" customWidth="1"/>
    <col min="760" max="760" width="15.54" hidden="false" outlineLevel="1" customWidth="1"/>
    <col min="761" max="761" width="15.54" hidden="false" outlineLevel="1" customWidth="1"/>
    <col min="762" max="762" width="15.54" hidden="false" outlineLevel="1" customWidth="1"/>
    <col min="763" max="763" width="15.54" hidden="false" outlineLevel="1" customWidth="1"/>
    <col min="764" max="764" width="15.54" hidden="false" outlineLevel="1" customWidth="1"/>
    <col min="765" max="765" width="15.54" hidden="false" outlineLevel="1" customWidth="1"/>
    <col min="766" max="766" width="15.54" hidden="false" outlineLevel="1" customWidth="1"/>
    <col min="767" max="767" width="15.54" hidden="false" outlineLevel="1" customWidth="1"/>
    <col min="768" max="768" width="15.54" hidden="false" outlineLevel="1" customWidth="1"/>
    <col min="769" max="769" width="15.54" hidden="false" outlineLevel="1" customWidth="1"/>
    <col min="770" max="770" width="15.54" hidden="false" outlineLevel="1" customWidth="1"/>
    <col min="771" max="771" width="15.54" hidden="false" outlineLevel="1" customWidth="1"/>
    <col min="772" max="772" width="15.54" hidden="false" outlineLevel="1" customWidth="1"/>
    <col min="773" max="773" width="15.54" hidden="false" outlineLevel="1" customWidth="1"/>
    <col min="774" max="774" width="15.54" hidden="false" outlineLevel="1" customWidth="1"/>
    <col min="775" max="775" width="15.54" hidden="false" outlineLevel="1" customWidth="1"/>
    <col min="776" max="776" width="15.54" hidden="false" outlineLevel="1" customWidth="1"/>
    <col min="777" max="777" width="15.54" hidden="false" outlineLevel="1" customWidth="1"/>
    <col min="778" max="778" width="15.54" hidden="false" outlineLevel="1" customWidth="1"/>
    <col min="779" max="779" width="15.54" hidden="false" outlineLevel="1" customWidth="1"/>
    <col min="780" max="780" width="15.54" hidden="false" outlineLevel="1" customWidth="1"/>
    <col min="781" max="781" width="15.54" hidden="false" outlineLevel="1" customWidth="1"/>
    <col min="782" max="782" width="15.54" hidden="false" outlineLevel="1" customWidth="1"/>
    <col min="783" max="783" width="15.54" hidden="false" outlineLevel="1" customWidth="1"/>
    <col min="784" max="784" width="15.54" hidden="false" outlineLevel="1" customWidth="1"/>
    <col min="785" max="785" width="15.54" hidden="false" outlineLevel="1" customWidth="1"/>
    <col min="786" max="786" width="15.54" hidden="false" outlineLevel="1" customWidth="1"/>
    <col min="787" max="787" width="15.54" hidden="false" outlineLevel="1" customWidth="1"/>
    <col min="788" max="788" width="15.54" hidden="false" outlineLevel="1" customWidth="1"/>
    <col min="789" max="789" width="15.54" hidden="false" outlineLevel="1" customWidth="1"/>
    <col min="790" max="790" width="15.54" hidden="false" outlineLevel="1" customWidth="1"/>
    <col min="791" max="791" width="15.54" hidden="false" outlineLevel="1" customWidth="1"/>
    <col min="792" max="792" width="15.54" hidden="false" outlineLevel="1" customWidth="1"/>
    <col min="793" max="793" width="15.54" hidden="false" outlineLevel="1" customWidth="1"/>
    <col min="794" max="794" width="15.54" hidden="false" outlineLevel="1" customWidth="1"/>
    <col min="795" max="795" width="15.54" hidden="false" outlineLevel="1" customWidth="1"/>
    <col min="796" max="796" width="15.54" hidden="false" outlineLevel="1" customWidth="1"/>
    <col min="797" max="797" width="15.54" hidden="false" outlineLevel="1" customWidth="1"/>
    <col min="798" max="798" width="15.54" hidden="false" outlineLevel="1" customWidth="1"/>
    <col min="799" max="799" width="15.54" hidden="false" outlineLevel="1" customWidth="1"/>
    <col min="800" max="800" width="15.54" hidden="false" outlineLevel="1" customWidth="1"/>
    <col min="801" max="801" width="15.54" hidden="false" outlineLevel="1" customWidth="1"/>
    <col min="802" max="802" width="15.54" hidden="false" outlineLevel="1" customWidth="1"/>
    <col min="803" max="803" width="15.54" hidden="false" outlineLevel="1" customWidth="1"/>
    <col min="804" max="804" width="15.54" hidden="false" outlineLevel="1" customWidth="1"/>
    <col min="805" max="805" width="15.54" hidden="false" outlineLevel="1" customWidth="1"/>
    <col min="806" max="806" width="15.54" hidden="false" outlineLevel="1" customWidth="1"/>
    <col min="807" max="807" width="15.54" hidden="false" outlineLevel="1" customWidth="1"/>
    <col min="808" max="808" width="15.54" hidden="false" outlineLevel="1" customWidth="1"/>
    <col min="809" max="809" width="15.54" hidden="false" outlineLevel="1" customWidth="1"/>
    <col min="810" max="810" width="15.54" hidden="false" outlineLevel="1" customWidth="1"/>
    <col min="811" max="811" width="15.54" hidden="false" outlineLevel="1" customWidth="1"/>
    <col min="812" max="812" width="15.54" hidden="false" outlineLevel="1" customWidth="1"/>
    <col min="813" max="813" width="15.54" hidden="false" outlineLevel="1" customWidth="1"/>
    <col min="814" max="814" width="15.54" hidden="false" outlineLevel="1" customWidth="1"/>
    <col min="815" max="815" width="15.54" hidden="false" outlineLevel="1" customWidth="1"/>
    <col min="816" max="816" width="15.54" hidden="false" outlineLevel="1" customWidth="1"/>
    <col min="817" max="817" width="15.54" hidden="false" outlineLevel="1" customWidth="1"/>
    <col min="818" max="818" width="15.54" hidden="false" outlineLevel="1" customWidth="1"/>
    <col min="819" max="819" width="15.54" hidden="false" outlineLevel="1" customWidth="1"/>
    <col min="820" max="820" width="15.54" hidden="false" outlineLevel="1" customWidth="1"/>
    <col min="821" max="821" width="15.54" hidden="false" outlineLevel="1" customWidth="1"/>
    <col min="822" max="822" width="15.54" hidden="false" outlineLevel="1" customWidth="1"/>
    <col min="823" max="823" width="15.54" hidden="false" outlineLevel="1" customWidth="1"/>
    <col min="824" max="824" width="15.54" hidden="false" outlineLevel="1" customWidth="1"/>
    <col min="825" max="825" width="15.54" hidden="false" outlineLevel="1" customWidth="1"/>
    <col min="826" max="826" width="15.54" hidden="false" outlineLevel="1" customWidth="1"/>
    <col min="827" max="827" width="15.54" hidden="false" outlineLevel="1" customWidth="1"/>
    <col min="828" max="828" width="15.54" hidden="false" outlineLevel="1" customWidth="1"/>
    <col min="829" max="829" width="15.54" hidden="false" outlineLevel="1" customWidth="1"/>
    <col min="830" max="830" width="15.54" hidden="false" outlineLevel="1" customWidth="1"/>
    <col min="831" max="831" width="15.54" hidden="false" outlineLevel="1" customWidth="1"/>
    <col min="832" max="832" width="15.54" hidden="false" outlineLevel="1" customWidth="1"/>
    <col min="833" max="833" width="15.54" hidden="false" outlineLevel="1" customWidth="1"/>
    <col min="834" max="834" width="15.54" hidden="false" outlineLevel="1" customWidth="1"/>
    <col min="835" max="835" width="15.54" hidden="false" outlineLevel="1" customWidth="1"/>
    <col min="836" max="836" width="15.54" hidden="false" outlineLevel="1" customWidth="1"/>
    <col min="837" max="837" width="15.54" hidden="false" outlineLevel="1" customWidth="1"/>
    <col min="838" max="838" width="15.54" hidden="false" outlineLevel="1" customWidth="1"/>
    <col min="839" max="839" width="15.54" hidden="false" outlineLevel="1" customWidth="1"/>
    <col min="840" max="840" width="15.54" hidden="false" outlineLevel="1" customWidth="1"/>
    <col min="841" max="841" width="15.54" hidden="false" outlineLevel="1" customWidth="1"/>
    <col min="842" max="842" width="15.54" hidden="false" outlineLevel="1" customWidth="1"/>
    <col min="843" max="843" width="15.54" hidden="false" outlineLevel="1" customWidth="1"/>
    <col min="844" max="844" width="15.54" hidden="false" outlineLevel="1" customWidth="1"/>
    <col min="845" max="845" width="15.54" hidden="false" outlineLevel="1" customWidth="1"/>
    <col min="846" max="846" width="15.54" hidden="false" outlineLevel="1" customWidth="1"/>
    <col min="847" max="847" width="15.54" hidden="false" outlineLevel="1" customWidth="1"/>
    <col min="848" max="848" width="15.54" hidden="false" outlineLevel="1" customWidth="1"/>
    <col min="849" max="849" width="15.54" hidden="false" outlineLevel="1" customWidth="1"/>
    <col min="850" max="850" width="15.54" hidden="false" outlineLevel="1" customWidth="1"/>
    <col min="851" max="851" width="15.54" hidden="false" outlineLevel="1" customWidth="1"/>
    <col min="852" max="852" width="15.54" hidden="false" outlineLevel="1" customWidth="1"/>
    <col min="853" max="853" width="15.54" hidden="false" outlineLevel="1" customWidth="1"/>
    <col min="854" max="854" width="15.54" hidden="false" outlineLevel="1" customWidth="1"/>
    <col min="855" max="855" width="15.54" hidden="false" outlineLevel="1" customWidth="1"/>
    <col min="856" max="856" width="15.54" hidden="false" outlineLevel="1" customWidth="1"/>
    <col min="857" max="857" width="15.54" hidden="false" outlineLevel="1" customWidth="1"/>
    <col min="858" max="858" width="15.54" hidden="false" outlineLevel="1" customWidth="1"/>
    <col min="859" max="859" width="15.54" hidden="false" outlineLevel="1" customWidth="1"/>
    <col min="860" max="860" width="15.54" hidden="false" outlineLevel="1" customWidth="1"/>
    <col min="861" max="861" width="15.54" hidden="false" outlineLevel="1" customWidth="1"/>
    <col min="862" max="862" width="15.54" hidden="false" outlineLevel="1" customWidth="1"/>
    <col min="863" max="863" width="15.54" hidden="false" outlineLevel="1" customWidth="1"/>
    <col min="864" max="864" width="15.54" hidden="false" outlineLevel="1" customWidth="1"/>
    <col min="865" max="865" width="15.54" hidden="false" outlineLevel="1" customWidth="1"/>
    <col min="866" max="866" width="15.54" hidden="false" outlineLevel="1" customWidth="1"/>
    <col min="867" max="867" width="15.54" hidden="false" outlineLevel="1" customWidth="1"/>
    <col min="868" max="868" width="15.54" hidden="false" outlineLevel="1" customWidth="1"/>
    <col min="869" max="869" width="15.54" hidden="false" outlineLevel="1" customWidth="1"/>
    <col min="870" max="870" width="15.54" hidden="false" outlineLevel="1" customWidth="1"/>
    <col min="871" max="871" width="15.54" hidden="false" outlineLevel="1" customWidth="1"/>
    <col min="872" max="872" width="15.54" hidden="false" outlineLevel="1" customWidth="1"/>
    <col min="873" max="873" width="15.54" hidden="false" outlineLevel="1" customWidth="1"/>
    <col min="874" max="874" width="15.54" hidden="false" outlineLevel="1" customWidth="1"/>
    <col min="875" max="875" width="15.54" hidden="false" outlineLevel="1" customWidth="1"/>
    <col min="876" max="876" width="15.54" hidden="false" outlineLevel="1" customWidth="1"/>
    <col min="877" max="877" width="15.54" hidden="false" outlineLevel="1" customWidth="1"/>
    <col min="878" max="878" width="15.54" hidden="false" outlineLevel="1" customWidth="1"/>
    <col min="879" max="879" width="15.54" hidden="false" outlineLevel="1" customWidth="1"/>
    <col min="880" max="880" width="15.54" hidden="false" outlineLevel="1" customWidth="1"/>
    <col min="881" max="881" width="15.54" hidden="false" outlineLevel="1" customWidth="1"/>
    <col min="882" max="882" width="15.54" hidden="false" outlineLevel="1" customWidth="1"/>
    <col min="883" max="883" width="15.54" hidden="false" outlineLevel="1" customWidth="1"/>
    <col min="884" max="884" width="15.54" hidden="false" outlineLevel="1" customWidth="1"/>
    <col min="885" max="885" width="15.54" hidden="false" outlineLevel="1" customWidth="1"/>
    <col min="886" max="886" width="15.54" hidden="false" outlineLevel="1" customWidth="1"/>
    <col min="887" max="887" width="15.54" hidden="false" outlineLevel="1" customWidth="1"/>
    <col min="888" max="888" width="15.54" hidden="false" outlineLevel="1" customWidth="1"/>
    <col min="889" max="889" width="15.54" hidden="false" outlineLevel="1" customWidth="1"/>
    <col min="890" max="890" width="15.54" hidden="false" outlineLevel="1" customWidth="1"/>
    <col min="891" max="891" width="15.54" hidden="false" outlineLevel="1" customWidth="1"/>
    <col min="892" max="892" width="15.54" hidden="false" outlineLevel="1" customWidth="1"/>
    <col min="893" max="893" width="15.54" hidden="false" outlineLevel="1" customWidth="1"/>
    <col min="894" max="894" width="15.54" hidden="false" outlineLevel="1" customWidth="1"/>
    <col min="895" max="895" width="15.54" hidden="false" outlineLevel="1" customWidth="1"/>
    <col min="896" max="896" width="15.54" hidden="false" outlineLevel="1" customWidth="1"/>
    <col min="897" max="897" width="15.54" hidden="false" outlineLevel="1" customWidth="1"/>
    <col min="898" max="898" width="15.54" hidden="false" outlineLevel="1" customWidth="1"/>
    <col min="899" max="899" width="15.54" hidden="false" outlineLevel="1" customWidth="1"/>
    <col min="900" max="900" width="15.54" hidden="false" outlineLevel="1" customWidth="1"/>
    <col min="901" max="901" width="15.54" hidden="false" outlineLevel="1" customWidth="1"/>
    <col min="902" max="902" width="15.54" hidden="false" outlineLevel="1" customWidth="1"/>
    <col min="903" max="903" width="15.54" hidden="false" outlineLevel="1" customWidth="1"/>
    <col min="904" max="904" width="15.54" hidden="false" outlineLevel="1" customWidth="1"/>
    <col min="905" max="905" width="15.54" hidden="false" outlineLevel="1" customWidth="1"/>
    <col min="906" max="906" width="15.54" hidden="false" outlineLevel="1" customWidth="1"/>
    <col min="907" max="907" width="15.54" hidden="false" outlineLevel="1" customWidth="1"/>
    <col min="908" max="908" width="15.54" hidden="false" outlineLevel="1" customWidth="1"/>
    <col min="909" max="909" width="15.54" hidden="false" outlineLevel="1" customWidth="1"/>
    <col min="910" max="910" width="15.54" hidden="false" outlineLevel="1" customWidth="1"/>
    <col min="911" max="911" width="15.54" hidden="false" outlineLevel="1" customWidth="1"/>
    <col min="912" max="912" width="15.54" hidden="false" outlineLevel="1" customWidth="1"/>
    <col min="913" max="913" width="15.54" hidden="false" outlineLevel="1" customWidth="1"/>
    <col min="914" max="914" width="15.54" hidden="false" outlineLevel="1" customWidth="1"/>
    <col min="915" max="915" width="15.54" hidden="false" outlineLevel="1" customWidth="1"/>
    <col min="916" max="916" width="15.54" hidden="false" outlineLevel="1" customWidth="1"/>
    <col min="917" max="917" width="15.54" hidden="false" outlineLevel="1" customWidth="1"/>
    <col min="918" max="918" width="15.54" hidden="false" outlineLevel="1" customWidth="1"/>
    <col min="919" max="919" width="15.54" hidden="false" outlineLevel="1" customWidth="1"/>
    <col min="920" max="920" width="15.54" hidden="false" outlineLevel="1" customWidth="1"/>
    <col min="921" max="921" width="15.54" hidden="false" outlineLevel="1" customWidth="1"/>
    <col min="922" max="922" width="15.54" hidden="false" outlineLevel="1" customWidth="1"/>
    <col min="923" max="923" width="15.54" hidden="false" outlineLevel="1" customWidth="1"/>
    <col min="924" max="924" width="15.54" hidden="false" outlineLevel="1" customWidth="1"/>
    <col min="925" max="925" width="15.54" hidden="false" outlineLevel="1" customWidth="1"/>
    <col min="926" max="926" width="15.54" hidden="false" outlineLevel="1" customWidth="1"/>
    <col min="927" max="927" width="15.54" hidden="false" outlineLevel="1" customWidth="1"/>
    <col min="928" max="928" width="15.54" hidden="false" outlineLevel="1" customWidth="1"/>
    <col min="929" max="929" width="15.54" hidden="false" outlineLevel="1" customWidth="1"/>
    <col min="930" max="930" width="15.54" hidden="false" outlineLevel="1" customWidth="1"/>
    <col min="931" max="931" width="15.54" hidden="false" outlineLevel="1" customWidth="1"/>
    <col min="932" max="932" width="15.54" hidden="false" outlineLevel="1" customWidth="1"/>
    <col min="933" max="933" width="15.54" hidden="false" outlineLevel="1" customWidth="1"/>
    <col min="934" max="934" width="15.54" hidden="false" outlineLevel="1" customWidth="1"/>
    <col min="935" max="935" width="15.54" hidden="false" outlineLevel="1" customWidth="1"/>
    <col min="936" max="936" width="15.54" hidden="false" outlineLevel="1" customWidth="1"/>
    <col min="937" max="937" width="15.54" hidden="false" outlineLevel="1" customWidth="1"/>
    <col min="938" max="938" width="15.54" hidden="false" outlineLevel="1" customWidth="1"/>
    <col min="939" max="939" width="15.54" hidden="false" outlineLevel="1" customWidth="1"/>
    <col min="940" max="940" width="15.54" hidden="false" outlineLevel="1" customWidth="1"/>
    <col min="941" max="941" width="15.54" hidden="false" outlineLevel="1" customWidth="1"/>
    <col min="942" max="942" width="15.54" hidden="false" outlineLevel="1" customWidth="1"/>
    <col min="943" max="943" width="15.54" hidden="false" outlineLevel="1" customWidth="1"/>
    <col min="944" max="944" width="15.54" hidden="false" outlineLevel="1" customWidth="1"/>
    <col min="945" max="945" width="15.54" hidden="false" outlineLevel="1" customWidth="1"/>
    <col min="946" max="946" width="15.54" hidden="false" outlineLevel="1" customWidth="1"/>
    <col min="947" max="947" width="15.54" hidden="false" outlineLevel="1" customWidth="1"/>
    <col min="948" max="948" width="15.54" hidden="false" outlineLevel="1" customWidth="1"/>
    <col min="949" max="949" width="15.54" hidden="false" outlineLevel="1" customWidth="1"/>
    <col min="950" max="950" width="15.54" hidden="false" outlineLevel="1" customWidth="1"/>
    <col min="951" max="951" width="15.54" hidden="false" outlineLevel="1" customWidth="1"/>
    <col min="952" max="952" width="15.54" hidden="false" outlineLevel="1" customWidth="1"/>
    <col min="953" max="953" width="15.54" hidden="false" outlineLevel="1" customWidth="1"/>
    <col min="954" max="954" width="15.54" hidden="false" outlineLevel="1" customWidth="1"/>
    <col min="955" max="955" width="15.54" hidden="false" outlineLevel="1" customWidth="1"/>
    <col min="956" max="956" width="15.54" hidden="false" outlineLevel="1" customWidth="1"/>
    <col min="957" max="957" width="15.54" hidden="false" outlineLevel="1" customWidth="1"/>
    <col min="958" max="958" width="15.54" hidden="false" outlineLevel="1" customWidth="1"/>
    <col min="959" max="959" width="15.54" hidden="false" outlineLevel="1" customWidth="1"/>
    <col min="960" max="960" width="15.54" hidden="false" outlineLevel="1" customWidth="1"/>
    <col min="961" max="961" width="15.54" hidden="false" outlineLevel="1" customWidth="1"/>
    <col min="962" max="962" width="15.54" hidden="false" outlineLevel="1" customWidth="1"/>
    <col min="963" max="963" width="15.54" hidden="false" outlineLevel="1" customWidth="1"/>
    <col min="964" max="964" width="15.54" hidden="false" outlineLevel="1" customWidth="1"/>
    <col min="965" max="965" width="15.54" hidden="false" outlineLevel="1" customWidth="1"/>
    <col min="966" max="966" width="15.54" hidden="false" outlineLevel="1" customWidth="1"/>
    <col min="967" max="967" width="15.54" hidden="false" outlineLevel="1" customWidth="1"/>
    <col min="968" max="968" width="15.54" hidden="false" outlineLevel="1" customWidth="1"/>
    <col min="969" max="969" width="15.54" hidden="false" outlineLevel="1" customWidth="1"/>
    <col min="970" max="970" width="15.54" hidden="false" outlineLevel="1" customWidth="1"/>
    <col min="971" max="971" width="15.54" hidden="false" outlineLevel="1" customWidth="1"/>
    <col min="972" max="972" width="15.54" hidden="false" outlineLevel="1" customWidth="1"/>
    <col min="973" max="973" width="15.54" hidden="false" outlineLevel="1" customWidth="1"/>
    <col min="974" max="974" width="15.54" hidden="false" outlineLevel="1" customWidth="1"/>
    <col min="975" max="975" width="15.54" hidden="false" outlineLevel="1" customWidth="1"/>
    <col min="976" max="976" width="15.54" hidden="false" outlineLevel="1" customWidth="1"/>
    <col min="977" max="977" width="15.54" hidden="false" outlineLevel="1" customWidth="1"/>
    <col min="978" max="978" width="15.54" hidden="false" outlineLevel="1" customWidth="1"/>
    <col min="979" max="979" width="15.54" hidden="false" outlineLevel="1" customWidth="1"/>
    <col min="980" max="980" width="15.54" hidden="false" outlineLevel="1" customWidth="1"/>
    <col min="981" max="981" width="15.54" hidden="false" outlineLevel="1" customWidth="1"/>
    <col min="982" max="982" width="15.54" hidden="false" outlineLevel="1" customWidth="1"/>
    <col min="983" max="983" width="15.54" hidden="false" outlineLevel="1" customWidth="1"/>
    <col min="984" max="984" width="15.54" hidden="false" outlineLevel="1" customWidth="1"/>
    <col min="985" max="985" width="15.54" hidden="false" outlineLevel="1" customWidth="1"/>
    <col min="986" max="986" width="15.54" hidden="false" outlineLevel="1" customWidth="1"/>
    <col min="987" max="987" width="15.54" hidden="false" outlineLevel="1" customWidth="1"/>
    <col min="988" max="988" width="15.54" hidden="false" outlineLevel="1" customWidth="1"/>
    <col min="989" max="989" width="15.54" hidden="false" outlineLevel="1" customWidth="1"/>
    <col min="990" max="990" width="15.54" hidden="false" outlineLevel="1" customWidth="1"/>
    <col min="991" max="991" width="15.54" hidden="false" outlineLevel="1" customWidth="1"/>
    <col min="992" max="992" width="15.54" hidden="false" outlineLevel="1" customWidth="1"/>
    <col min="993" max="993" width="15.54" hidden="false" outlineLevel="1" customWidth="1"/>
    <col min="994" max="994" width="15.54" hidden="false" outlineLevel="1" customWidth="1"/>
    <col min="995" max="995" width="15.54" hidden="false" outlineLevel="1" customWidth="1"/>
    <col min="996" max="996" width="15.54" hidden="false" outlineLevel="1" customWidth="1"/>
    <col min="997" max="997" width="15.54" hidden="false" outlineLevel="1" customWidth="1"/>
    <col min="998" max="998" width="15.54" hidden="false" outlineLevel="1" customWidth="1"/>
    <col min="999" max="999" width="15.54" hidden="false" outlineLevel="1" customWidth="1"/>
    <col min="1000" max="1000" width="15.54" hidden="false" outlineLevel="1" customWidth="1"/>
    <col min="1001" max="1001" width="15.54" hidden="false" outlineLevel="1" customWidth="1"/>
    <col min="1002" max="1002" width="15.54" hidden="false" outlineLevel="1" customWidth="1"/>
    <col min="1003" max="1003" width="15.54" hidden="false" outlineLevel="1" customWidth="1"/>
    <col min="1004" max="1004" width="15.54" hidden="false" outlineLevel="1" customWidth="1"/>
    <col min="1005" max="1005" width="15.54" hidden="false" outlineLevel="1" customWidth="1"/>
    <col min="1006" max="1006" width="15.54" hidden="false" outlineLevel="1" customWidth="1"/>
    <col min="1007" max="1007" width="15.54" hidden="false" outlineLevel="1" customWidth="1"/>
    <col min="1008" max="1008" width="15.54" hidden="false" outlineLevel="1" customWidth="1"/>
    <col min="1009" max="1009" width="15.54" hidden="false" outlineLevel="1" customWidth="1"/>
    <col min="1010" max="1010" width="15.54" hidden="false" outlineLevel="1" customWidth="1"/>
    <col min="1011" max="1011" width="15.54" hidden="false" outlineLevel="1" customWidth="1"/>
    <col min="1012" max="1012" width="15.54" hidden="false" outlineLevel="1" customWidth="1"/>
    <col min="1013" max="1013" width="15.54" hidden="false" outlineLevel="1" customWidth="1"/>
    <col min="1014" max="1014" width="15.54" hidden="false" outlineLevel="1" customWidth="1"/>
    <col min="1015" max="1015" width="15.54" hidden="false" outlineLevel="1" customWidth="1"/>
    <col min="1016" max="1016" width="15.54" hidden="false" outlineLevel="1" customWidth="1"/>
    <col min="1017" max="1017" width="15.54" hidden="false" outlineLevel="1" customWidth="1"/>
    <col min="1018" max="1018" width="15.54" hidden="false" outlineLevel="1" customWidth="1"/>
    <col min="1019" max="1019" width="15.54" hidden="false" outlineLevel="1" customWidth="1"/>
    <col min="1020" max="1020" width="15.54" hidden="false" outlineLevel="1" customWidth="1"/>
    <col min="1021" max="1021" width="15.54" hidden="false" outlineLevel="1" customWidth="1"/>
    <col min="1022" max="1022" width="15.54" hidden="false" outlineLevel="1" customWidth="1"/>
    <col min="1023" max="1023" width="15.54" hidden="false" outlineLevel="1" customWidth="1"/>
    <col min="1024" max="1024" width="15.54" hidden="false" outlineLevel="1" customWidth="1"/>
    <col min="1025" max="1025" width="15.54" hidden="false" outlineLevel="1" customWidth="1"/>
  </cols>
  <sheetData>
    <row r="1" ht="21" customHeight="1">
      <c r="A1" s="11" t="s">
        <v>16</v>
      </c>
      <c r="B1" s="11"/>
      <c r="C1" s="11"/>
      <c r="D1" s="11"/>
      <c r="E1" s="11"/>
      <c r="F1" s="11"/>
      <c r="G1" s="11"/>
      <c r="H1" s="11"/>
      <c r="I1" s="11"/>
      <c r="J1" s="11"/>
      <c r="K1" s="11"/>
      <c r="L1" s="11"/>
      <c r="M1" s="11"/>
      <c r="N1" s="11"/>
      <c r="O1" s="9"/>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row>
    <row r="2" ht="15" customHeight="1">
      <c r="A2"/>
      <c r="B2"/>
      <c r="C2"/>
      <c r="D2" s="1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row>
    <row r="3" ht="15" customHeight="1">
      <c r="D3" s="12"/>
      <c r="M3" s="9"/>
      <c r="N3" s="9"/>
      <c r="O3" s="9"/>
    </row>
    <row r="4" ht="15" customHeight="1">
      <c r="D4" s="12"/>
      <c r="J4" s="13" t="s">
        <v>17</v>
      </c>
      <c r="K4" s="14"/>
      <c r="M4" s="9"/>
      <c r="N4" s="9"/>
      <c r="O4" s="9"/>
    </row>
    <row r="5" ht="15" customHeight="1">
      <c r="D5" s="12"/>
      <c r="J5" s="13" t="s">
        <v>18</v>
      </c>
      <c r="K5" s="15" t="n">
        <v>43837</v>
      </c>
      <c r="M5" s="9"/>
      <c r="N5" s="9"/>
      <c r="O5" s="9"/>
    </row>
    <row r="6" ht="15" customHeight="1">
      <c r="D6" s="12"/>
      <c r="K6" s="14"/>
      <c r="M6" s="9"/>
      <c r="N6" s="9"/>
      <c r="O6" s="9"/>
    </row>
    <row r="7" ht="15" customHeight="1">
      <c r="D7" s="12"/>
      <c r="M7" s="9"/>
      <c r="N7" s="9"/>
      <c r="O7" s="9"/>
    </row>
    <row r="8" ht="15" customHeight="1">
      <c r="D8" s="12"/>
      <c r="M8" s="9"/>
      <c r="N8" s="9"/>
      <c r="O8" s="9"/>
    </row>
    <row r="9" ht="15" customHeight="1">
      <c r="D9" s="12"/>
      <c r="M9" s="9"/>
      <c r="N9" s="9"/>
      <c r="O9" s="9"/>
    </row>
    <row r="10" ht="15" customHeight="1">
      <c r="D10" s="12"/>
      <c r="M10" s="9"/>
      <c r="N10" s="9"/>
      <c r="O10" s="9"/>
    </row>
    <row r="11" ht="15" customHeight="1">
      <c r="D11" s="12"/>
      <c r="L11" s="9"/>
      <c r="M11" s="9"/>
      <c r="N11" s="9"/>
      <c r="O11" s="9"/>
    </row>
    <row r="12" ht="15" customHeight="1">
      <c r="B12" s="16" t="s">
        <v>19</v>
      </c>
      <c r="D12"/>
      <c r="F12" s="16" t="s">
        <v>20</v>
      </c>
      <c r="G12" s="10"/>
      <c r="H12" s="10"/>
      <c r="L12"/>
      <c r="M12" s="9"/>
      <c r="N12" s="9"/>
      <c r="O12" s="9"/>
      <c r="P12" s="9"/>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row>
    <row r="13" ht="15.75" customHeight="1">
      <c r="B13" s="12"/>
      <c r="D13"/>
      <c r="F13"/>
      <c r="G13"/>
      <c r="H13"/>
      <c r="L13"/>
      <c r="M13" s="9"/>
      <c r="N13" s="9"/>
      <c r="O13" s="9"/>
      <c r="P13" s="9"/>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row>
    <row r="14" ht="15" customHeight="1">
      <c r="B14" s="17" t="s">
        <v>21</v>
      </c>
      <c r="C14" s="9" t="s">
        <v>16</v>
      </c>
      <c r="D14" s="9"/>
      <c r="E14"/>
      <c r="F14" s="18" t="s">
        <v>22</v>
      </c>
      <c r="G14" s="18"/>
      <c r="H14" s="18"/>
      <c r="I14" s="18"/>
      <c r="J14"/>
      <c r="K14"/>
      <c r="L14"/>
      <c r="M14"/>
      <c r="N14"/>
      <c r="O14"/>
      <c r="P14" s="9"/>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row>
    <row r="15" ht="15" customHeight="1">
      <c r="B15" s="19" t="s">
        <v>23</v>
      </c>
      <c r="C15" s="20" t="s">
        <v>24</v>
      </c>
      <c r="D15" s="20"/>
      <c r="E15"/>
      <c r="F15" s="21" t="s">
        <v>25</v>
      </c>
      <c r="G15" s="21"/>
      <c r="H15" s="21"/>
      <c r="I15" s="21"/>
      <c r="J15"/>
      <c r="K15"/>
      <c r="L15"/>
      <c r="M15"/>
      <c r="N15"/>
      <c r="O15"/>
      <c r="P15" s="22"/>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row>
    <row r="16" ht="15" customHeight="1">
      <c r="B16" s="23" t="s">
        <v>26</v>
      </c>
      <c r="C16" s="9" t="s">
        <v>27</v>
      </c>
      <c r="D16" s="9"/>
      <c r="E16"/>
      <c r="F16" s="24" t="s">
        <v>28</v>
      </c>
      <c r="G16" s="24"/>
      <c r="H16" s="24"/>
      <c r="I16" s="24"/>
      <c r="J16"/>
      <c r="K16"/>
      <c r="L16"/>
      <c r="M16"/>
      <c r="N16"/>
      <c r="O16"/>
      <c r="P16" s="9"/>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row>
    <row r="17" ht="15" customHeight="1">
      <c r="A17"/>
      <c r="B17" s="25" t="s">
        <v>29</v>
      </c>
      <c r="C17" s="9" t="s">
        <v>30</v>
      </c>
      <c r="D17" s="9"/>
      <c r="E17"/>
      <c r="F17" s="26" t="s">
        <v>31</v>
      </c>
      <c r="G17" s="26"/>
      <c r="H17" s="26"/>
      <c r="I17" s="26"/>
      <c r="J17"/>
      <c r="K17"/>
      <c r="L17"/>
      <c r="M17"/>
      <c r="N17"/>
      <c r="O17"/>
      <c r="P17" s="9"/>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row>
    <row r="18" ht="15" customHeight="1">
      <c r="A18"/>
      <c r="B18" s="9" t="s">
        <v>32</v>
      </c>
      <c r="C18" s="9" t="s">
        <v>33</v>
      </c>
      <c r="D18" s="9"/>
      <c r="E18"/>
      <c r="F18" s="27" t="s">
        <v>34</v>
      </c>
      <c r="G18" s="27"/>
      <c r="H18" s="27"/>
      <c r="I18" s="27"/>
      <c r="J18"/>
      <c r="K18"/>
      <c r="L18"/>
      <c r="M18"/>
      <c r="N18"/>
      <c r="O18"/>
      <c r="P18" s="9"/>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row>
    <row r="19" ht="15" customHeight="1">
      <c r="A19"/>
      <c r="B19" s="28" t="s">
        <v>35</v>
      </c>
      <c r="C19" s="29" t="s">
        <v>36</v>
      </c>
      <c r="D19" s="9" t="s">
        <v>37</v>
      </c>
      <c r="E19"/>
      <c r="F19" s="30" t="s">
        <v>38</v>
      </c>
      <c r="G19" s="30"/>
      <c r="H19" s="30"/>
      <c r="I19" s="30"/>
      <c r="J19"/>
      <c r="K19"/>
      <c r="L19"/>
      <c r="M19"/>
      <c r="N19"/>
      <c r="O19" s="9"/>
      <c r="P19" s="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row>
    <row r="20" ht="15.75" customHeight="1">
      <c r="A20"/>
      <c r="B20" s="31" t="s">
        <v>39</v>
      </c>
      <c r="C20" s="29"/>
      <c r="D20" s="9" t="s">
        <v>40</v>
      </c>
      <c r="E20"/>
      <c r="F20" s="32" t="s">
        <v>41</v>
      </c>
      <c r="G20" s="32"/>
      <c r="H20" s="32"/>
      <c r="I20" s="32"/>
      <c r="J20" s="9"/>
      <c r="K20"/>
      <c r="L20"/>
      <c r="M20"/>
      <c r="N20"/>
      <c r="O20" s="9"/>
      <c r="P20" s="9"/>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row>
    <row r="21" ht="16.5" customHeight="1">
      <c r="A21"/>
      <c r="B21" s="33" t="s">
        <v>42</v>
      </c>
      <c r="C21" s="29"/>
      <c r="D21" s="34" t="s">
        <v>43</v>
      </c>
      <c r="E21"/>
      <c r="F21" s="35" t="s">
        <v>44</v>
      </c>
      <c r="G21" s="35"/>
      <c r="H21" s="35"/>
      <c r="I21" s="35"/>
      <c r="J21" s="36"/>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row>
    <row r="22" ht="15.75" customHeight="1">
      <c r="B22" s="23" t="s">
        <v>45</v>
      </c>
      <c r="C22" s="37" t="s">
        <v>46</v>
      </c>
      <c r="D22" s="38"/>
      <c r="F22" s="35"/>
      <c r="G22" s="35"/>
      <c r="H22" s="35"/>
      <c r="I22" s="35"/>
      <c r="M22" s="9"/>
      <c r="N22" s="9"/>
      <c r="O22" s="9"/>
    </row>
    <row r="23" ht="13.9" customHeight="1">
      <c r="A23"/>
      <c r="B23" s="17" t="s">
        <v>47</v>
      </c>
      <c r="C23" s="9" t="s">
        <v>48</v>
      </c>
      <c r="D23" s="9"/>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row>
    <row r="24" ht="15" customHeight="1">
      <c r="A24"/>
      <c r="B24"/>
      <c r="C24"/>
      <c r="D24"/>
      <c r="E24"/>
      <c r="J24"/>
      <c r="K24"/>
      <c r="M24" s="9"/>
      <c r="N24" s="9"/>
      <c r="O24" s="9"/>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row>
    <row r="25" ht="15.75" customHeight="1">
      <c r="A25"/>
      <c r="B25" s="39" t="s">
        <v>49</v>
      </c>
      <c r="C25" s="39"/>
      <c r="D25" s="40"/>
      <c r="E25"/>
      <c r="J25"/>
      <c r="K25"/>
      <c r="M25" s="9"/>
      <c r="N25" s="9"/>
      <c r="O25" s="9"/>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row>
    <row r="26" ht="15.75" customHeight="1">
      <c r="A26" s="9" t="s">
        <v>50</v>
      </c>
      <c r="B26" s="41"/>
      <c r="C26" s="41"/>
      <c r="D26" s="40"/>
      <c r="E26"/>
      <c r="F26"/>
      <c r="G26"/>
      <c r="H26"/>
      <c r="I26"/>
      <c r="J26"/>
      <c r="K26"/>
      <c r="M26" s="9"/>
      <c r="N26" s="9"/>
      <c r="O26" s="9"/>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row>
    <row r="27" ht="15" customHeight="1">
      <c r="A27" s="9" t="s">
        <v>51</v>
      </c>
      <c r="B27"/>
      <c r="C27"/>
      <c r="D27"/>
      <c r="E27"/>
      <c r="F27" s="42"/>
      <c r="G27" s="42"/>
      <c r="H27"/>
      <c r="I27"/>
      <c r="J27"/>
      <c r="K27"/>
      <c r="M27" s="9"/>
      <c r="N27" s="9"/>
      <c r="O27" s="9"/>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row>
    <row r="28" ht="15" customHeight="1">
      <c r="A28" s="9" t="s">
        <v>52</v>
      </c>
      <c r="B28" s="43" t="s">
        <v>53</v>
      </c>
      <c r="M28" s="9"/>
      <c r="N28" s="9"/>
      <c r="O28" s="9"/>
    </row>
    <row r="29" ht="15" customHeight="1">
      <c r="A29"/>
      <c r="B29"/>
      <c r="M29" s="9"/>
      <c r="N29" s="9"/>
      <c r="O29" s="9"/>
    </row>
    <row r="30" ht="15" customHeight="1">
      <c r="A30"/>
      <c r="B30"/>
      <c r="P30"/>
      <c r="Q30"/>
      <c r="R30"/>
      <c r="S30"/>
      <c r="T30"/>
      <c r="U30"/>
      <c r="V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row>
    <row r="31" ht="15.75" customHeight="1">
      <c r="A31"/>
      <c r="B31" s="39" t="s">
        <v>54</v>
      </c>
      <c r="C31" s="39"/>
      <c r="D31"/>
      <c r="E31"/>
      <c r="F31"/>
      <c r="G31"/>
      <c r="H31"/>
      <c r="I31"/>
      <c r="J31"/>
      <c r="K31"/>
      <c r="L31"/>
      <c r="M31"/>
      <c r="N31"/>
      <c r="O31"/>
      <c r="P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row>
    <row r="32" ht="15" customHeight="1">
      <c r="A32" s="44" t="s">
        <v>55</v>
      </c>
      <c r="B32" s="44"/>
      <c r="C32" s="44"/>
      <c r="D32" s="44"/>
      <c r="E32" s="44"/>
      <c r="F32" s="44"/>
      <c r="G32" s="44"/>
      <c r="H32" s="44"/>
      <c r="I32" s="44"/>
      <c r="J32" s="44"/>
      <c r="K32"/>
      <c r="L32"/>
      <c r="M32"/>
      <c r="N32"/>
      <c r="O32"/>
      <c r="P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row>
    <row r="33" ht="15" customHeight="1">
      <c r="A33" s="9" t="s">
        <v>56</v>
      </c>
      <c r="B33"/>
      <c r="C33"/>
      <c r="D33"/>
      <c r="E33"/>
      <c r="F33"/>
      <c r="G33"/>
      <c r="H33"/>
      <c r="I33"/>
      <c r="J33"/>
      <c r="K33"/>
      <c r="L33"/>
      <c r="M33"/>
      <c r="N33"/>
      <c r="O33"/>
      <c r="P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row>
    <row r="34" ht="15" customHeight="1">
      <c r="A34" s="9" t="s">
        <v>57</v>
      </c>
      <c r="B34"/>
      <c r="C34"/>
      <c r="D34"/>
      <c r="E34"/>
      <c r="F34"/>
      <c r="G34"/>
      <c r="H34"/>
      <c r="I34"/>
      <c r="J34"/>
      <c r="K34"/>
      <c r="L34"/>
      <c r="M34"/>
      <c r="N34"/>
      <c r="O34"/>
      <c r="P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row>
    <row r="37" ht="15.75" customHeight="1">
      <c r="B37" s="39" t="s">
        <v>58</v>
      </c>
      <c r="C37" s="39"/>
      <c r="D37"/>
      <c r="E37"/>
      <c r="F37"/>
      <c r="G37"/>
      <c r="H37"/>
      <c r="I37"/>
      <c r="J37"/>
      <c r="K37"/>
      <c r="L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row>
    <row r="38" ht="15" customHeight="1">
      <c r="A38" s="9" t="s">
        <v>59</v>
      </c>
      <c r="B38"/>
      <c r="C38"/>
      <c r="D38"/>
      <c r="E38"/>
      <c r="F38"/>
      <c r="G38"/>
      <c r="H38"/>
      <c r="I38"/>
      <c r="J38"/>
      <c r="K38"/>
      <c r="L38"/>
      <c r="M38"/>
      <c r="N38"/>
      <c r="O38"/>
      <c r="P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row>
    <row r="39" ht="15" customHeight="1">
      <c r="A39" s="9" t="s">
        <v>60</v>
      </c>
      <c r="B39"/>
      <c r="C39"/>
      <c r="D39"/>
      <c r="E39"/>
      <c r="F39"/>
      <c r="G39"/>
      <c r="H39"/>
      <c r="I39"/>
      <c r="J39"/>
      <c r="K39"/>
      <c r="L39"/>
      <c r="M39"/>
      <c r="N39"/>
      <c r="O39"/>
      <c r="P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row>
    <row r="40" ht="15" customHeight="1">
      <c r="A40"/>
      <c r="B40"/>
      <c r="C40"/>
      <c r="D40"/>
      <c r="E40"/>
      <c r="F40"/>
      <c r="G40"/>
      <c r="H40"/>
      <c r="I40"/>
      <c r="J40"/>
      <c r="K40"/>
      <c r="L40"/>
      <c r="M40"/>
      <c r="N40"/>
      <c r="O40"/>
      <c r="P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row>
    <row r="41" ht="15" customHeight="1">
      <c r="A41"/>
      <c r="B41"/>
      <c r="C41"/>
      <c r="D41"/>
      <c r="E41"/>
      <c r="F41"/>
      <c r="G41"/>
      <c r="H41"/>
      <c r="I41"/>
      <c r="J41"/>
      <c r="K41"/>
      <c r="L41"/>
      <c r="M41"/>
      <c r="N41"/>
      <c r="O41"/>
      <c r="P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row>
    <row r="42" ht="15.75" customHeight="1">
      <c r="A42"/>
      <c r="B42" s="39" t="s">
        <v>33</v>
      </c>
      <c r="C42" s="39"/>
      <c r="D42" s="40"/>
      <c r="E42"/>
      <c r="F42"/>
      <c r="G42"/>
      <c r="H42"/>
      <c r="I42"/>
      <c r="J42"/>
      <c r="K42"/>
      <c r="L42"/>
      <c r="M42"/>
      <c r="N42"/>
      <c r="O42"/>
      <c r="P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row>
    <row r="43" ht="15.75" customHeight="1">
      <c r="A43"/>
      <c r="B43" s="45" t="s">
        <v>61</v>
      </c>
      <c r="C43" s="45"/>
      <c r="D43" s="40"/>
      <c r="E43"/>
      <c r="F43"/>
      <c r="G43"/>
      <c r="H43"/>
      <c r="I43"/>
      <c r="J43"/>
      <c r="K43"/>
      <c r="L43"/>
      <c r="M43"/>
      <c r="N43"/>
      <c r="O43"/>
      <c r="P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row>
    <row r="44" ht="15" customHeight="1">
      <c r="A44" s="9" t="s">
        <v>62</v>
      </c>
      <c r="B44"/>
      <c r="C44"/>
      <c r="D44"/>
      <c r="E44"/>
      <c r="F44"/>
      <c r="G44"/>
      <c r="H44"/>
      <c r="I44"/>
      <c r="J44"/>
      <c r="K44"/>
      <c r="L44"/>
      <c r="M44"/>
      <c r="N44"/>
      <c r="O44"/>
      <c r="P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row>
    <row r="45" ht="15" customHeight="1">
      <c r="A45"/>
      <c r="B45"/>
      <c r="C45"/>
      <c r="D45"/>
      <c r="E45"/>
      <c r="F45"/>
      <c r="G45"/>
      <c r="H45"/>
      <c r="I45"/>
      <c r="J45"/>
      <c r="K45"/>
      <c r="L45"/>
      <c r="M45"/>
      <c r="N45"/>
      <c r="O45"/>
      <c r="P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row>
    <row r="46" ht="15" customHeight="1">
      <c r="A46"/>
      <c r="B46"/>
      <c r="C46"/>
      <c r="D46"/>
      <c r="E46"/>
      <c r="F46"/>
      <c r="G46"/>
      <c r="H46"/>
      <c r="I46"/>
      <c r="J46"/>
      <c r="K46"/>
      <c r="L46"/>
      <c r="M46"/>
      <c r="N46"/>
      <c r="O46"/>
      <c r="P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row>
    <row r="47" ht="15.75" customHeight="1">
      <c r="A47"/>
      <c r="B47" s="46" t="s">
        <v>63</v>
      </c>
      <c r="C47"/>
      <c r="D47"/>
      <c r="E47"/>
      <c r="F47"/>
      <c r="G47"/>
      <c r="H47"/>
      <c r="I47"/>
      <c r="J47"/>
      <c r="K47"/>
      <c r="L47"/>
      <c r="M47"/>
      <c r="N47"/>
      <c r="O47"/>
      <c r="P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row>
    <row r="48" ht="15" customHeight="1">
      <c r="A48" s="9" t="s">
        <v>64</v>
      </c>
      <c r="B48"/>
      <c r="C48"/>
      <c r="D48"/>
      <c r="E48"/>
      <c r="F48"/>
      <c r="G48"/>
      <c r="H48"/>
      <c r="I48"/>
      <c r="J48"/>
      <c r="K48"/>
      <c r="L48"/>
      <c r="M48"/>
      <c r="N48"/>
      <c r="O48"/>
      <c r="P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row>
    <row r="49" ht="15" customHeight="1">
      <c r="A49" s="9" t="s">
        <v>65</v>
      </c>
      <c r="B49"/>
      <c r="C49"/>
      <c r="D49"/>
      <c r="E49"/>
      <c r="F49"/>
      <c r="G49"/>
      <c r="H49"/>
      <c r="I49"/>
      <c r="J49"/>
      <c r="K49"/>
      <c r="L49"/>
      <c r="M49"/>
      <c r="N49"/>
      <c r="O49"/>
      <c r="P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row>
    <row r="50" ht="15" customHeight="1">
      <c r="A50" s="44" t="s">
        <v>66</v>
      </c>
      <c r="B50"/>
      <c r="C50"/>
      <c r="D50"/>
      <c r="E50"/>
      <c r="F50"/>
      <c r="G50"/>
      <c r="H50"/>
      <c r="I50"/>
      <c r="J50"/>
      <c r="K50"/>
      <c r="L50"/>
      <c r="M50"/>
      <c r="N50"/>
      <c r="O50"/>
      <c r="P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row>
    <row r="53" ht="15.75" customHeight="1">
      <c r="A53"/>
      <c r="B53" s="39" t="s">
        <v>46</v>
      </c>
      <c r="C53" s="39"/>
      <c r="D53"/>
    </row>
    <row r="54" ht="15" customHeight="1">
      <c r="A54" s="9" t="s">
        <v>67</v>
      </c>
      <c r="B54"/>
      <c r="D54"/>
    </row>
    <row r="55" ht="15" customHeight="1">
      <c r="B55" s="9" t="s">
        <v>68</v>
      </c>
      <c r="D55"/>
    </row>
    <row r="56" ht="15" customHeight="1">
      <c r="B56" s="9" t="s">
        <v>69</v>
      </c>
      <c r="D56"/>
    </row>
    <row r="57" ht="15" customHeight="1">
      <c r="B57" s="9" t="s">
        <v>70</v>
      </c>
      <c r="D57" s="40"/>
    </row>
    <row r="58" ht="15" customHeight="1">
      <c r="B58" s="9" t="s">
        <v>71</v>
      </c>
      <c r="D58" s="40"/>
    </row>
    <row r="61" ht="15" customHeight="1">
      <c r="B61" s="39" t="s">
        <v>48</v>
      </c>
      <c r="C61" s="39"/>
    </row>
    <row r="62" ht="15" customHeight="1">
      <c r="A62" s="9" t="s">
        <v>72</v>
      </c>
    </row>
    <row r="63" ht="15" customHeight="1">
      <c r="A63" s="9" t="s">
        <v>73</v>
      </c>
    </row>
    <row r="64" ht="15" customHeight="1">
      <c r="A64" s="9" t="s">
        <v>74</v>
      </c>
    </row>
  </sheetData>
  <mergeCells count="18">
    <mergeCell ref="A1:N1"/>
    <mergeCell ref="F14:I14"/>
    <mergeCell ref="C15:D15"/>
    <mergeCell ref="F15:I15"/>
    <mergeCell ref="F16:I16"/>
    <mergeCell ref="F17:I17"/>
    <mergeCell ref="F18:I18"/>
    <mergeCell ref="C19:C21"/>
    <mergeCell ref="F19:I19"/>
    <mergeCell ref="F20:I20"/>
    <mergeCell ref="F21:I22"/>
    <mergeCell ref="B25:C25"/>
    <mergeCell ref="B31:C31"/>
    <mergeCell ref="B37:C37"/>
    <mergeCell ref="B42:C42"/>
    <mergeCell ref="B43:C43"/>
    <mergeCell ref="B53:C53"/>
    <mergeCell ref="B61:C61"/>
  </mergeCells>
  <pageMargins left="0" right="0" top="0.747916666666667" bottom="0.747916666666667" header="0.511805555555555" footer="0.511805555555555"/>
  <pageSetup paperSize="9" scale="100" firstPageNumber="0" fitToWidth="0" fitToHeight="1" pageOrder="downThenOver" orientation="landscape" blackAndWhite="false" draft="false" cellComments="none" useFirstPageNumber="false" horizontalDpi="300" verticalDpi="300" copies="1"/>
  <headerFooter differentOddEven="0" differentFirst="0" scaleWithDoc="0" alignWithMargins="0">
    <oddHeader/>
    <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tabColor rgb="FFFFFF00"/>
      <pageSetUpPr fitToPage="false"/>
    </sheetPr>
  </sheetPr>
  <dimension ref="A1"/>
  <sheetViews>
    <sheetView showFormulas="false" showGridLines="true" showRowColHeaders="true" showZeros="true" rightToLeft="false" tabSelected="0" showOutlineSymbols="true" defaultGridColor="true" view="normal" topLeftCell="B22" colorId="64" zoomScale="100" zoomScaleNormal="100" zoomScalePageLayoutView="100" workbookViewId="0">
      <selection pane="topLeft" activeCell="E41" activeCellId="0" sqref="E41"/>
    </sheetView>
  </sheetViews>
  <sheetFormatPr defaultRowHeight="15.0" baseColWidth="10" outlineLevelCol="1"/>
  <cols>
    <col min="1" max="1" width="10.27" hidden="false" outlineLevel="1" customWidth="1"/>
    <col min="2" max="2" width="10.27" hidden="false" outlineLevel="1" customWidth="1"/>
    <col min="3" max="3" width="10.27" hidden="false" outlineLevel="1" customWidth="1"/>
    <col min="4" max="4" width="10.27" hidden="false" outlineLevel="1" customWidth="1"/>
    <col min="5" max="5" width="10.27" hidden="false" outlineLevel="1" customWidth="1"/>
    <col min="6" max="6" width="10.27" hidden="false" outlineLevel="1" customWidth="1"/>
    <col min="7" max="7" width="10.27" hidden="false" outlineLevel="1" customWidth="1"/>
    <col min="8" max="8" width="10.12" hidden="false" outlineLevel="1" customWidth="1"/>
    <col min="9" max="9" width="6.55" hidden="false" outlineLevel="1" customWidth="1"/>
    <col min="10" max="10" width="11.04" hidden="false" outlineLevel="1" customWidth="1"/>
    <col min="11" max="11" width="11.04" hidden="false" outlineLevel="1" customWidth="1"/>
    <col min="12" max="12" width="11.04" hidden="false" outlineLevel="1" customWidth="1"/>
    <col min="13" max="13" width="11.04" hidden="false" outlineLevel="1" customWidth="1"/>
    <col min="14" max="14" width="11.04" hidden="false" outlineLevel="1" customWidth="1"/>
    <col min="15" max="15" width="11.04" hidden="false" outlineLevel="1" customWidth="1"/>
    <col min="16" max="16" width="11.04" hidden="false" outlineLevel="1" customWidth="1"/>
    <col min="17" max="17" width="11.04" hidden="false" outlineLevel="1" customWidth="1"/>
    <col min="18" max="18" width="11.04" hidden="false" outlineLevel="1" customWidth="1"/>
    <col min="19" max="19" width="11.04" hidden="false" outlineLevel="1" customWidth="1"/>
    <col min="20" max="20" width="11.04" hidden="false" outlineLevel="1" customWidth="1"/>
    <col min="21" max="21" width="11.04" hidden="false" outlineLevel="1" customWidth="1"/>
    <col min="22" max="22" width="11.04" hidden="false" outlineLevel="1" customWidth="1"/>
    <col min="23" max="23" width="11.04" hidden="false" outlineLevel="1" customWidth="1"/>
    <col min="24" max="24" width="11.04" hidden="false" outlineLevel="1" customWidth="1"/>
    <col min="25" max="25" width="11.04" hidden="false" outlineLevel="1" customWidth="1"/>
    <col min="26" max="26" width="11.04" hidden="false" outlineLevel="1" customWidth="1"/>
    <col min="27" max="27" width="11.04" hidden="false" outlineLevel="1" customWidth="1"/>
    <col min="28" max="28" width="11.04" hidden="false" outlineLevel="1" customWidth="1"/>
    <col min="29" max="29" width="11.04" hidden="false" outlineLevel="1" customWidth="1"/>
    <col min="30" max="30" width="11.04" hidden="false" outlineLevel="1" customWidth="1"/>
    <col min="31" max="31" width="11.04" hidden="false" outlineLevel="1" customWidth="1"/>
    <col min="32" max="32" width="11.04" hidden="false" outlineLevel="1" customWidth="1"/>
    <col min="33" max="33" width="11.04" hidden="false" outlineLevel="1" customWidth="1"/>
    <col min="34" max="34" width="11.04" hidden="false" outlineLevel="1" customWidth="1"/>
    <col min="35" max="35" width="11.04" hidden="false" outlineLevel="1" customWidth="1"/>
    <col min="36" max="36" width="11.04" hidden="false" outlineLevel="1" customWidth="1"/>
    <col min="37" max="37" width="11.04" hidden="false" outlineLevel="1" customWidth="1"/>
    <col min="38" max="38" width="11.04" hidden="false" outlineLevel="1" customWidth="1"/>
    <col min="39" max="39" width="11.04" hidden="false" outlineLevel="1" customWidth="1"/>
    <col min="40" max="40" width="11.04" hidden="false" outlineLevel="1" customWidth="1"/>
    <col min="41" max="41" width="11.04" hidden="false" outlineLevel="1" customWidth="1"/>
    <col min="42" max="42" width="11.04" hidden="false" outlineLevel="1" customWidth="1"/>
    <col min="43" max="43" width="11.04" hidden="false" outlineLevel="1" customWidth="1"/>
    <col min="44" max="44" width="11.04" hidden="false" outlineLevel="1" customWidth="1"/>
    <col min="45" max="45" width="11.04" hidden="false" outlineLevel="1" customWidth="1"/>
    <col min="46" max="46" width="11.04" hidden="false" outlineLevel="1" customWidth="1"/>
    <col min="47" max="47" width="11.04" hidden="false" outlineLevel="1" customWidth="1"/>
    <col min="48" max="48" width="11.04" hidden="false" outlineLevel="1" customWidth="1"/>
    <col min="49" max="49" width="11.04" hidden="false" outlineLevel="1" customWidth="1"/>
    <col min="50" max="50" width="11.04" hidden="false" outlineLevel="1" customWidth="1"/>
    <col min="51" max="51" width="11.04" hidden="false" outlineLevel="1" customWidth="1"/>
    <col min="52" max="52" width="11.04" hidden="false" outlineLevel="1" customWidth="1"/>
    <col min="53" max="53" width="11.04" hidden="false" outlineLevel="1" customWidth="1"/>
    <col min="54" max="54" width="11.04" hidden="false" outlineLevel="1" customWidth="1"/>
    <col min="55" max="55" width="11.04" hidden="false" outlineLevel="1" customWidth="1"/>
    <col min="56" max="56" width="11.04" hidden="false" outlineLevel="1" customWidth="1"/>
    <col min="57" max="57" width="11.04" hidden="false" outlineLevel="1" customWidth="1"/>
    <col min="58" max="58" width="11.04" hidden="false" outlineLevel="1" customWidth="1"/>
    <col min="59" max="59" width="11.04" hidden="false" outlineLevel="1" customWidth="1"/>
    <col min="60" max="60" width="11.04" hidden="false" outlineLevel="1" customWidth="1"/>
    <col min="61" max="61" width="11.04" hidden="false" outlineLevel="1" customWidth="1"/>
    <col min="62" max="62" width="11.04" hidden="false" outlineLevel="1" customWidth="1"/>
    <col min="63" max="63" width="11.04" hidden="false" outlineLevel="1" customWidth="1"/>
    <col min="64" max="64" width="11.04" hidden="false" outlineLevel="1" customWidth="1"/>
    <col min="65" max="65" width="11.04" hidden="false" outlineLevel="1" customWidth="1"/>
    <col min="66" max="66" width="11.04" hidden="false" outlineLevel="1" customWidth="1"/>
    <col min="67" max="67" width="11.04" hidden="false" outlineLevel="1" customWidth="1"/>
    <col min="68" max="68" width="11.04" hidden="false" outlineLevel="1" customWidth="1"/>
    <col min="69" max="69" width="11.04" hidden="false" outlineLevel="1" customWidth="1"/>
    <col min="70" max="70" width="11.04" hidden="false" outlineLevel="1" customWidth="1"/>
    <col min="71" max="71" width="11.04" hidden="false" outlineLevel="1" customWidth="1"/>
    <col min="72" max="72" width="11.04" hidden="false" outlineLevel="1" customWidth="1"/>
    <col min="73" max="73" width="11.04" hidden="false" outlineLevel="1" customWidth="1"/>
    <col min="74" max="74" width="11.04" hidden="false" outlineLevel="1" customWidth="1"/>
    <col min="75" max="75" width="11.04" hidden="false" outlineLevel="1" customWidth="1"/>
    <col min="76" max="76" width="11.04" hidden="false" outlineLevel="1" customWidth="1"/>
    <col min="77" max="77" width="11.04" hidden="false" outlineLevel="1" customWidth="1"/>
    <col min="78" max="78" width="11.04" hidden="false" outlineLevel="1" customWidth="1"/>
    <col min="79" max="79" width="11.04" hidden="false" outlineLevel="1" customWidth="1"/>
    <col min="80" max="80" width="11.04" hidden="false" outlineLevel="1" customWidth="1"/>
    <col min="81" max="81" width="11.04" hidden="false" outlineLevel="1" customWidth="1"/>
    <col min="82" max="82" width="11.04" hidden="false" outlineLevel="1" customWidth="1"/>
    <col min="83" max="83" width="11.04" hidden="false" outlineLevel="1" customWidth="1"/>
    <col min="84" max="84" width="11.04" hidden="false" outlineLevel="1" customWidth="1"/>
    <col min="85" max="85" width="11.04" hidden="false" outlineLevel="1" customWidth="1"/>
    <col min="86" max="86" width="11.04" hidden="false" outlineLevel="1" customWidth="1"/>
    <col min="87" max="87" width="11.04" hidden="false" outlineLevel="1" customWidth="1"/>
    <col min="88" max="88" width="11.04" hidden="false" outlineLevel="1" customWidth="1"/>
    <col min="89" max="89" width="11.04" hidden="false" outlineLevel="1" customWidth="1"/>
    <col min="90" max="90" width="11.04" hidden="false" outlineLevel="1" customWidth="1"/>
    <col min="91" max="91" width="11.04" hidden="false" outlineLevel="1" customWidth="1"/>
    <col min="92" max="92" width="11.04" hidden="false" outlineLevel="1" customWidth="1"/>
    <col min="93" max="93" width="11.04" hidden="false" outlineLevel="1" customWidth="1"/>
    <col min="94" max="94" width="11.04" hidden="false" outlineLevel="1" customWidth="1"/>
    <col min="95" max="95" width="11.04" hidden="false" outlineLevel="1" customWidth="1"/>
    <col min="96" max="96" width="11.04" hidden="false" outlineLevel="1" customWidth="1"/>
    <col min="97" max="97" width="11.04" hidden="false" outlineLevel="1" customWidth="1"/>
    <col min="98" max="98" width="11.04" hidden="false" outlineLevel="1" customWidth="1"/>
    <col min="99" max="99" width="11.04" hidden="false" outlineLevel="1" customWidth="1"/>
    <col min="100" max="100" width="11.04" hidden="false" outlineLevel="1" customWidth="1"/>
    <col min="101" max="101" width="11.04" hidden="false" outlineLevel="1" customWidth="1"/>
    <col min="102" max="102" width="11.04" hidden="false" outlineLevel="1" customWidth="1"/>
    <col min="103" max="103" width="11.04" hidden="false" outlineLevel="1" customWidth="1"/>
    <col min="104" max="104" width="11.04" hidden="false" outlineLevel="1" customWidth="1"/>
    <col min="105" max="105" width="11.04" hidden="false" outlineLevel="1" customWidth="1"/>
    <col min="106" max="106" width="11.04" hidden="false" outlineLevel="1" customWidth="1"/>
    <col min="107" max="107" width="11.04" hidden="false" outlineLevel="1" customWidth="1"/>
    <col min="108" max="108" width="11.04" hidden="false" outlineLevel="1" customWidth="1"/>
    <col min="109" max="109" width="11.04" hidden="false" outlineLevel="1" customWidth="1"/>
    <col min="110" max="110" width="11.04" hidden="false" outlineLevel="1" customWidth="1"/>
    <col min="111" max="111" width="11.04" hidden="false" outlineLevel="1" customWidth="1"/>
    <col min="112" max="112" width="11.04" hidden="false" outlineLevel="1" customWidth="1"/>
    <col min="113" max="113" width="11.04" hidden="false" outlineLevel="1" customWidth="1"/>
    <col min="114" max="114" width="11.04" hidden="false" outlineLevel="1" customWidth="1"/>
    <col min="115" max="115" width="11.04" hidden="false" outlineLevel="1" customWidth="1"/>
    <col min="116" max="116" width="11.04" hidden="false" outlineLevel="1" customWidth="1"/>
    <col min="117" max="117" width="11.04" hidden="false" outlineLevel="1" customWidth="1"/>
    <col min="118" max="118" width="11.04" hidden="false" outlineLevel="1" customWidth="1"/>
    <col min="119" max="119" width="11.04" hidden="false" outlineLevel="1" customWidth="1"/>
    <col min="120" max="120" width="11.04" hidden="false" outlineLevel="1" customWidth="1"/>
    <col min="121" max="121" width="11.04" hidden="false" outlineLevel="1" customWidth="1"/>
    <col min="122" max="122" width="11.04" hidden="false" outlineLevel="1" customWidth="1"/>
    <col min="123" max="123" width="11.04" hidden="false" outlineLevel="1" customWidth="1"/>
    <col min="124" max="124" width="11.04" hidden="false" outlineLevel="1" customWidth="1"/>
    <col min="125" max="125" width="11.04" hidden="false" outlineLevel="1" customWidth="1"/>
    <col min="126" max="126" width="11.04" hidden="false" outlineLevel="1" customWidth="1"/>
    <col min="127" max="127" width="11.04" hidden="false" outlineLevel="1" customWidth="1"/>
    <col min="128" max="128" width="11.04" hidden="false" outlineLevel="1" customWidth="1"/>
    <col min="129" max="129" width="11.04" hidden="false" outlineLevel="1" customWidth="1"/>
    <col min="130" max="130" width="11.04" hidden="false" outlineLevel="1" customWidth="1"/>
    <col min="131" max="131" width="11.04" hidden="false" outlineLevel="1" customWidth="1"/>
    <col min="132" max="132" width="11.04" hidden="false" outlineLevel="1" customWidth="1"/>
    <col min="133" max="133" width="11.04" hidden="false" outlineLevel="1" customWidth="1"/>
    <col min="134" max="134" width="11.04" hidden="false" outlineLevel="1" customWidth="1"/>
    <col min="135" max="135" width="11.04" hidden="false" outlineLevel="1" customWidth="1"/>
    <col min="136" max="136" width="11.04" hidden="false" outlineLevel="1" customWidth="1"/>
    <col min="137" max="137" width="11.04" hidden="false" outlineLevel="1" customWidth="1"/>
    <col min="138" max="138" width="11.04" hidden="false" outlineLevel="1" customWidth="1"/>
    <col min="139" max="139" width="11.04" hidden="false" outlineLevel="1" customWidth="1"/>
    <col min="140" max="140" width="11.04" hidden="false" outlineLevel="1" customWidth="1"/>
    <col min="141" max="141" width="11.04" hidden="false" outlineLevel="1" customWidth="1"/>
    <col min="142" max="142" width="11.04" hidden="false" outlineLevel="1" customWidth="1"/>
    <col min="143" max="143" width="11.04" hidden="false" outlineLevel="1" customWidth="1"/>
    <col min="144" max="144" width="11.04" hidden="false" outlineLevel="1" customWidth="1"/>
    <col min="145" max="145" width="11.04" hidden="false" outlineLevel="1" customWidth="1"/>
    <col min="146" max="146" width="11.04" hidden="false" outlineLevel="1" customWidth="1"/>
    <col min="147" max="147" width="11.04" hidden="false" outlineLevel="1" customWidth="1"/>
    <col min="148" max="148" width="11.04" hidden="false" outlineLevel="1" customWidth="1"/>
    <col min="149" max="149" width="11.04" hidden="false" outlineLevel="1" customWidth="1"/>
    <col min="150" max="150" width="11.04" hidden="false" outlineLevel="1" customWidth="1"/>
    <col min="151" max="151" width="11.04" hidden="false" outlineLevel="1" customWidth="1"/>
    <col min="152" max="152" width="11.04" hidden="false" outlineLevel="1" customWidth="1"/>
    <col min="153" max="153" width="11.04" hidden="false" outlineLevel="1" customWidth="1"/>
    <col min="154" max="154" width="11.04" hidden="false" outlineLevel="1" customWidth="1"/>
    <col min="155" max="155" width="11.04" hidden="false" outlineLevel="1" customWidth="1"/>
    <col min="156" max="156" width="11.04" hidden="false" outlineLevel="1" customWidth="1"/>
    <col min="157" max="157" width="11.04" hidden="false" outlineLevel="1" customWidth="1"/>
    <col min="158" max="158" width="11.04" hidden="false" outlineLevel="1" customWidth="1"/>
    <col min="159" max="159" width="11.04" hidden="false" outlineLevel="1" customWidth="1"/>
    <col min="160" max="160" width="11.04" hidden="false" outlineLevel="1" customWidth="1"/>
    <col min="161" max="161" width="11.04" hidden="false" outlineLevel="1" customWidth="1"/>
    <col min="162" max="162" width="11.04" hidden="false" outlineLevel="1" customWidth="1"/>
    <col min="163" max="163" width="11.04" hidden="false" outlineLevel="1" customWidth="1"/>
    <col min="164" max="164" width="11.04" hidden="false" outlineLevel="1" customWidth="1"/>
    <col min="165" max="165" width="11.04" hidden="false" outlineLevel="1" customWidth="1"/>
    <col min="166" max="166" width="11.04" hidden="false" outlineLevel="1" customWidth="1"/>
    <col min="167" max="167" width="11.04" hidden="false" outlineLevel="1" customWidth="1"/>
    <col min="168" max="168" width="11.04" hidden="false" outlineLevel="1" customWidth="1"/>
    <col min="169" max="169" width="11.04" hidden="false" outlineLevel="1" customWidth="1"/>
    <col min="170" max="170" width="11.04" hidden="false" outlineLevel="1" customWidth="1"/>
    <col min="171" max="171" width="11.04" hidden="false" outlineLevel="1" customWidth="1"/>
    <col min="172" max="172" width="11.04" hidden="false" outlineLevel="1" customWidth="1"/>
    <col min="173" max="173" width="11.04" hidden="false" outlineLevel="1" customWidth="1"/>
    <col min="174" max="174" width="11.04" hidden="false" outlineLevel="1" customWidth="1"/>
    <col min="175" max="175" width="11.04" hidden="false" outlineLevel="1" customWidth="1"/>
    <col min="176" max="176" width="11.04" hidden="false" outlineLevel="1" customWidth="1"/>
    <col min="177" max="177" width="11.04" hidden="false" outlineLevel="1" customWidth="1"/>
    <col min="178" max="178" width="11.04" hidden="false" outlineLevel="1" customWidth="1"/>
    <col min="179" max="179" width="11.04" hidden="false" outlineLevel="1" customWidth="1"/>
    <col min="180" max="180" width="11.04" hidden="false" outlineLevel="1" customWidth="1"/>
    <col min="181" max="181" width="11.04" hidden="false" outlineLevel="1" customWidth="1"/>
    <col min="182" max="182" width="11.04" hidden="false" outlineLevel="1" customWidth="1"/>
    <col min="183" max="183" width="11.04" hidden="false" outlineLevel="1" customWidth="1"/>
    <col min="184" max="184" width="11.04" hidden="false" outlineLevel="1" customWidth="1"/>
    <col min="185" max="185" width="11.04" hidden="false" outlineLevel="1" customWidth="1"/>
    <col min="186" max="186" width="11.04" hidden="false" outlineLevel="1" customWidth="1"/>
    <col min="187" max="187" width="11.04" hidden="false" outlineLevel="1" customWidth="1"/>
    <col min="188" max="188" width="11.04" hidden="false" outlineLevel="1" customWidth="1"/>
    <col min="189" max="189" width="11.04" hidden="false" outlineLevel="1" customWidth="1"/>
    <col min="190" max="190" width="11.04" hidden="false" outlineLevel="1" customWidth="1"/>
    <col min="191" max="191" width="11.04" hidden="false" outlineLevel="1" customWidth="1"/>
    <col min="192" max="192" width="11.04" hidden="false" outlineLevel="1" customWidth="1"/>
    <col min="193" max="193" width="11.04" hidden="false" outlineLevel="1" customWidth="1"/>
    <col min="194" max="194" width="11.04" hidden="false" outlineLevel="1" customWidth="1"/>
    <col min="195" max="195" width="11.04" hidden="false" outlineLevel="1" customWidth="1"/>
    <col min="196" max="196" width="11.04" hidden="false" outlineLevel="1" customWidth="1"/>
    <col min="197" max="197" width="11.04" hidden="false" outlineLevel="1" customWidth="1"/>
    <col min="198" max="198" width="11.04" hidden="false" outlineLevel="1" customWidth="1"/>
    <col min="199" max="199" width="11.04" hidden="false" outlineLevel="1" customWidth="1"/>
    <col min="200" max="200" width="11.04" hidden="false" outlineLevel="1" customWidth="1"/>
    <col min="201" max="201" width="11.04" hidden="false" outlineLevel="1" customWidth="1"/>
    <col min="202" max="202" width="11.04" hidden="false" outlineLevel="1" customWidth="1"/>
    <col min="203" max="203" width="11.04" hidden="false" outlineLevel="1" customWidth="1"/>
    <col min="204" max="204" width="11.04" hidden="false" outlineLevel="1" customWidth="1"/>
    <col min="205" max="205" width="11.04" hidden="false" outlineLevel="1" customWidth="1"/>
    <col min="206" max="206" width="11.04" hidden="false" outlineLevel="1" customWidth="1"/>
    <col min="207" max="207" width="11.04" hidden="false" outlineLevel="1" customWidth="1"/>
    <col min="208" max="208" width="11.04" hidden="false" outlineLevel="1" customWidth="1"/>
    <col min="209" max="209" width="11.04" hidden="false" outlineLevel="1" customWidth="1"/>
    <col min="210" max="210" width="11.04" hidden="false" outlineLevel="1" customWidth="1"/>
    <col min="211" max="211" width="11.04" hidden="false" outlineLevel="1" customWidth="1"/>
    <col min="212" max="212" width="11.04" hidden="false" outlineLevel="1" customWidth="1"/>
    <col min="213" max="213" width="11.04" hidden="false" outlineLevel="1" customWidth="1"/>
    <col min="214" max="214" width="11.04" hidden="false" outlineLevel="1" customWidth="1"/>
    <col min="215" max="215" width="11.04" hidden="false" outlineLevel="1" customWidth="1"/>
    <col min="216" max="216" width="11.04" hidden="false" outlineLevel="1" customWidth="1"/>
    <col min="217" max="217" width="11.04" hidden="false" outlineLevel="1" customWidth="1"/>
    <col min="218" max="218" width="11.04" hidden="false" outlineLevel="1" customWidth="1"/>
    <col min="219" max="219" width="11.04" hidden="false" outlineLevel="1" customWidth="1"/>
    <col min="220" max="220" width="11.04" hidden="false" outlineLevel="1" customWidth="1"/>
    <col min="221" max="221" width="11.04" hidden="false" outlineLevel="1" customWidth="1"/>
    <col min="222" max="222" width="11.04" hidden="false" outlineLevel="1" customWidth="1"/>
    <col min="223" max="223" width="11.04" hidden="false" outlineLevel="1" customWidth="1"/>
    <col min="224" max="224" width="11.04" hidden="false" outlineLevel="1" customWidth="1"/>
    <col min="225" max="225" width="11.04" hidden="false" outlineLevel="1" customWidth="1"/>
    <col min="226" max="226" width="11.04" hidden="false" outlineLevel="1" customWidth="1"/>
    <col min="227" max="227" width="11.04" hidden="false" outlineLevel="1" customWidth="1"/>
    <col min="228" max="228" width="11.04" hidden="false" outlineLevel="1" customWidth="1"/>
    <col min="229" max="229" width="11.04" hidden="false" outlineLevel="1" customWidth="1"/>
    <col min="230" max="230" width="11.04" hidden="false" outlineLevel="1" customWidth="1"/>
    <col min="231" max="231" width="11.04" hidden="false" outlineLevel="1" customWidth="1"/>
    <col min="232" max="232" width="11.04" hidden="false" outlineLevel="1" customWidth="1"/>
    <col min="233" max="233" width="11.04" hidden="false" outlineLevel="1" customWidth="1"/>
    <col min="234" max="234" width="11.04" hidden="false" outlineLevel="1" customWidth="1"/>
    <col min="235" max="235" width="11.04" hidden="false" outlineLevel="1" customWidth="1"/>
    <col min="236" max="236" width="11.04" hidden="false" outlineLevel="1" customWidth="1"/>
    <col min="237" max="237" width="11.04" hidden="false" outlineLevel="1" customWidth="1"/>
    <col min="238" max="238" width="11.04" hidden="false" outlineLevel="1" customWidth="1"/>
    <col min="239" max="239" width="11.04" hidden="false" outlineLevel="1" customWidth="1"/>
    <col min="240" max="240" width="11.04" hidden="false" outlineLevel="1" customWidth="1"/>
    <col min="241" max="241" width="11.04" hidden="false" outlineLevel="1" customWidth="1"/>
    <col min="242" max="242" width="11.04" hidden="false" outlineLevel="1" customWidth="1"/>
    <col min="243" max="243" width="11.04" hidden="false" outlineLevel="1" customWidth="1"/>
    <col min="244" max="244" width="11.04" hidden="false" outlineLevel="1" customWidth="1"/>
    <col min="245" max="245" width="11.04" hidden="false" outlineLevel="1" customWidth="1"/>
    <col min="246" max="246" width="11.04" hidden="false" outlineLevel="1" customWidth="1"/>
    <col min="247" max="247" width="11.04" hidden="false" outlineLevel="1" customWidth="1"/>
    <col min="248" max="248" width="11.04" hidden="false" outlineLevel="1" customWidth="1"/>
    <col min="249" max="249" width="11.04" hidden="false" outlineLevel="1" customWidth="1"/>
    <col min="250" max="250" width="11.04" hidden="false" outlineLevel="1" customWidth="1"/>
    <col min="251" max="251" width="11.04" hidden="false" outlineLevel="1" customWidth="1"/>
    <col min="252" max="252" width="11.04" hidden="false" outlineLevel="1" customWidth="1"/>
    <col min="253" max="253" width="11.04" hidden="false" outlineLevel="1" customWidth="1"/>
    <col min="254" max="254" width="11.04" hidden="false" outlineLevel="1" customWidth="1"/>
    <col min="255" max="255" width="11.04" hidden="false" outlineLevel="1" customWidth="1"/>
    <col min="256" max="256" width="11.04" hidden="false" outlineLevel="1" customWidth="1"/>
    <col min="257" max="257" width="11.04" hidden="false" outlineLevel="1" customWidth="1"/>
    <col min="258" max="258" width="11.04" hidden="false" outlineLevel="1" customWidth="1"/>
    <col min="259" max="259" width="11.04" hidden="false" outlineLevel="1" customWidth="1"/>
    <col min="260" max="260" width="11.04" hidden="false" outlineLevel="1" customWidth="1"/>
    <col min="261" max="261" width="11.04" hidden="false" outlineLevel="1" customWidth="1"/>
    <col min="262" max="262" width="11.04" hidden="false" outlineLevel="1" customWidth="1"/>
    <col min="263" max="263" width="11.04" hidden="false" outlineLevel="1" customWidth="1"/>
    <col min="264" max="264" width="11.04" hidden="false" outlineLevel="1" customWidth="1"/>
    <col min="265" max="265" width="11.04" hidden="false" outlineLevel="1" customWidth="1"/>
    <col min="266" max="266" width="11.04" hidden="false" outlineLevel="1" customWidth="1"/>
    <col min="267" max="267" width="11.04" hidden="false" outlineLevel="1" customWidth="1"/>
    <col min="268" max="268" width="11.04" hidden="false" outlineLevel="1" customWidth="1"/>
    <col min="269" max="269" width="11.04" hidden="false" outlineLevel="1" customWidth="1"/>
    <col min="270" max="270" width="11.04" hidden="false" outlineLevel="1" customWidth="1"/>
    <col min="271" max="271" width="11.04" hidden="false" outlineLevel="1" customWidth="1"/>
    <col min="272" max="272" width="11.04" hidden="false" outlineLevel="1" customWidth="1"/>
    <col min="273" max="273" width="11.04" hidden="false" outlineLevel="1" customWidth="1"/>
    <col min="274" max="274" width="11.04" hidden="false" outlineLevel="1" customWidth="1"/>
    <col min="275" max="275" width="11.04" hidden="false" outlineLevel="1" customWidth="1"/>
    <col min="276" max="276" width="11.04" hidden="false" outlineLevel="1" customWidth="1"/>
    <col min="277" max="277" width="11.04" hidden="false" outlineLevel="1" customWidth="1"/>
    <col min="278" max="278" width="11.04" hidden="false" outlineLevel="1" customWidth="1"/>
    <col min="279" max="279" width="11.04" hidden="false" outlineLevel="1" customWidth="1"/>
    <col min="280" max="280" width="11.04" hidden="false" outlineLevel="1" customWidth="1"/>
    <col min="281" max="281" width="11.04" hidden="false" outlineLevel="1" customWidth="1"/>
    <col min="282" max="282" width="11.04" hidden="false" outlineLevel="1" customWidth="1"/>
    <col min="283" max="283" width="11.04" hidden="false" outlineLevel="1" customWidth="1"/>
    <col min="284" max="284" width="11.04" hidden="false" outlineLevel="1" customWidth="1"/>
    <col min="285" max="285" width="11.04" hidden="false" outlineLevel="1" customWidth="1"/>
    <col min="286" max="286" width="11.04" hidden="false" outlineLevel="1" customWidth="1"/>
    <col min="287" max="287" width="11.04" hidden="false" outlineLevel="1" customWidth="1"/>
    <col min="288" max="288" width="11.04" hidden="false" outlineLevel="1" customWidth="1"/>
    <col min="289" max="289" width="11.04" hidden="false" outlineLevel="1" customWidth="1"/>
    <col min="290" max="290" width="11.04" hidden="false" outlineLevel="1" customWidth="1"/>
    <col min="291" max="291" width="11.04" hidden="false" outlineLevel="1" customWidth="1"/>
    <col min="292" max="292" width="11.04" hidden="false" outlineLevel="1" customWidth="1"/>
    <col min="293" max="293" width="11.04" hidden="false" outlineLevel="1" customWidth="1"/>
    <col min="294" max="294" width="11.04" hidden="false" outlineLevel="1" customWidth="1"/>
    <col min="295" max="295" width="11.04" hidden="false" outlineLevel="1" customWidth="1"/>
    <col min="296" max="296" width="11.04" hidden="false" outlineLevel="1" customWidth="1"/>
    <col min="297" max="297" width="11.04" hidden="false" outlineLevel="1" customWidth="1"/>
    <col min="298" max="298" width="11.04" hidden="false" outlineLevel="1" customWidth="1"/>
    <col min="299" max="299" width="11.04" hidden="false" outlineLevel="1" customWidth="1"/>
    <col min="300" max="300" width="11.04" hidden="false" outlineLevel="1" customWidth="1"/>
    <col min="301" max="301" width="11.04" hidden="false" outlineLevel="1" customWidth="1"/>
    <col min="302" max="302" width="11.04" hidden="false" outlineLevel="1" customWidth="1"/>
    <col min="303" max="303" width="11.04" hidden="false" outlineLevel="1" customWidth="1"/>
    <col min="304" max="304" width="11.04" hidden="false" outlineLevel="1" customWidth="1"/>
    <col min="305" max="305" width="11.04" hidden="false" outlineLevel="1" customWidth="1"/>
    <col min="306" max="306" width="11.04" hidden="false" outlineLevel="1" customWidth="1"/>
    <col min="307" max="307" width="11.04" hidden="false" outlineLevel="1" customWidth="1"/>
    <col min="308" max="308" width="11.04" hidden="false" outlineLevel="1" customWidth="1"/>
    <col min="309" max="309" width="11.04" hidden="false" outlineLevel="1" customWidth="1"/>
    <col min="310" max="310" width="11.04" hidden="false" outlineLevel="1" customWidth="1"/>
    <col min="311" max="311" width="11.04" hidden="false" outlineLevel="1" customWidth="1"/>
    <col min="312" max="312" width="11.04" hidden="false" outlineLevel="1" customWidth="1"/>
    <col min="313" max="313" width="11.04" hidden="false" outlineLevel="1" customWidth="1"/>
    <col min="314" max="314" width="11.04" hidden="false" outlineLevel="1" customWidth="1"/>
    <col min="315" max="315" width="11.04" hidden="false" outlineLevel="1" customWidth="1"/>
    <col min="316" max="316" width="11.04" hidden="false" outlineLevel="1" customWidth="1"/>
    <col min="317" max="317" width="11.04" hidden="false" outlineLevel="1" customWidth="1"/>
    <col min="318" max="318" width="11.04" hidden="false" outlineLevel="1" customWidth="1"/>
    <col min="319" max="319" width="11.04" hidden="false" outlineLevel="1" customWidth="1"/>
    <col min="320" max="320" width="11.04" hidden="false" outlineLevel="1" customWidth="1"/>
    <col min="321" max="321" width="11.04" hidden="false" outlineLevel="1" customWidth="1"/>
    <col min="322" max="322" width="11.04" hidden="false" outlineLevel="1" customWidth="1"/>
    <col min="323" max="323" width="11.04" hidden="false" outlineLevel="1" customWidth="1"/>
    <col min="324" max="324" width="11.04" hidden="false" outlineLevel="1" customWidth="1"/>
    <col min="325" max="325" width="11.04" hidden="false" outlineLevel="1" customWidth="1"/>
    <col min="326" max="326" width="11.04" hidden="false" outlineLevel="1" customWidth="1"/>
    <col min="327" max="327" width="11.04" hidden="false" outlineLevel="1" customWidth="1"/>
    <col min="328" max="328" width="11.04" hidden="false" outlineLevel="1" customWidth="1"/>
    <col min="329" max="329" width="11.04" hidden="false" outlineLevel="1" customWidth="1"/>
    <col min="330" max="330" width="11.04" hidden="false" outlineLevel="1" customWidth="1"/>
    <col min="331" max="331" width="11.04" hidden="false" outlineLevel="1" customWidth="1"/>
    <col min="332" max="332" width="11.04" hidden="false" outlineLevel="1" customWidth="1"/>
    <col min="333" max="333" width="11.04" hidden="false" outlineLevel="1" customWidth="1"/>
    <col min="334" max="334" width="11.04" hidden="false" outlineLevel="1" customWidth="1"/>
    <col min="335" max="335" width="11.04" hidden="false" outlineLevel="1" customWidth="1"/>
    <col min="336" max="336" width="11.04" hidden="false" outlineLevel="1" customWidth="1"/>
    <col min="337" max="337" width="11.04" hidden="false" outlineLevel="1" customWidth="1"/>
    <col min="338" max="338" width="11.04" hidden="false" outlineLevel="1" customWidth="1"/>
    <col min="339" max="339" width="11.04" hidden="false" outlineLevel="1" customWidth="1"/>
    <col min="340" max="340" width="11.04" hidden="false" outlineLevel="1" customWidth="1"/>
    <col min="341" max="341" width="11.04" hidden="false" outlineLevel="1" customWidth="1"/>
    <col min="342" max="342" width="11.04" hidden="false" outlineLevel="1" customWidth="1"/>
    <col min="343" max="343" width="11.04" hidden="false" outlineLevel="1" customWidth="1"/>
    <col min="344" max="344" width="11.04" hidden="false" outlineLevel="1" customWidth="1"/>
    <col min="345" max="345" width="11.04" hidden="false" outlineLevel="1" customWidth="1"/>
    <col min="346" max="346" width="11.04" hidden="false" outlineLevel="1" customWidth="1"/>
    <col min="347" max="347" width="11.04" hidden="false" outlineLevel="1" customWidth="1"/>
    <col min="348" max="348" width="11.04" hidden="false" outlineLevel="1" customWidth="1"/>
    <col min="349" max="349" width="11.04" hidden="false" outlineLevel="1" customWidth="1"/>
    <col min="350" max="350" width="11.04" hidden="false" outlineLevel="1" customWidth="1"/>
    <col min="351" max="351" width="11.04" hidden="false" outlineLevel="1" customWidth="1"/>
    <col min="352" max="352" width="11.04" hidden="false" outlineLevel="1" customWidth="1"/>
    <col min="353" max="353" width="11.04" hidden="false" outlineLevel="1" customWidth="1"/>
    <col min="354" max="354" width="11.04" hidden="false" outlineLevel="1" customWidth="1"/>
    <col min="355" max="355" width="11.04" hidden="false" outlineLevel="1" customWidth="1"/>
    <col min="356" max="356" width="11.04" hidden="false" outlineLevel="1" customWidth="1"/>
    <col min="357" max="357" width="11.04" hidden="false" outlineLevel="1" customWidth="1"/>
    <col min="358" max="358" width="11.04" hidden="false" outlineLevel="1" customWidth="1"/>
    <col min="359" max="359" width="11.04" hidden="false" outlineLevel="1" customWidth="1"/>
    <col min="360" max="360" width="11.04" hidden="false" outlineLevel="1" customWidth="1"/>
    <col min="361" max="361" width="11.04" hidden="false" outlineLevel="1" customWidth="1"/>
    <col min="362" max="362" width="11.04" hidden="false" outlineLevel="1" customWidth="1"/>
    <col min="363" max="363" width="11.04" hidden="false" outlineLevel="1" customWidth="1"/>
    <col min="364" max="364" width="11.04" hidden="false" outlineLevel="1" customWidth="1"/>
    <col min="365" max="365" width="11.04" hidden="false" outlineLevel="1" customWidth="1"/>
    <col min="366" max="366" width="11.04" hidden="false" outlineLevel="1" customWidth="1"/>
    <col min="367" max="367" width="11.04" hidden="false" outlineLevel="1" customWidth="1"/>
    <col min="368" max="368" width="11.04" hidden="false" outlineLevel="1" customWidth="1"/>
    <col min="369" max="369" width="11.04" hidden="false" outlineLevel="1" customWidth="1"/>
    <col min="370" max="370" width="11.04" hidden="false" outlineLevel="1" customWidth="1"/>
    <col min="371" max="371" width="11.04" hidden="false" outlineLevel="1" customWidth="1"/>
    <col min="372" max="372" width="11.04" hidden="false" outlineLevel="1" customWidth="1"/>
    <col min="373" max="373" width="11.04" hidden="false" outlineLevel="1" customWidth="1"/>
    <col min="374" max="374" width="11.04" hidden="false" outlineLevel="1" customWidth="1"/>
    <col min="375" max="375" width="11.04" hidden="false" outlineLevel="1" customWidth="1"/>
    <col min="376" max="376" width="11.04" hidden="false" outlineLevel="1" customWidth="1"/>
    <col min="377" max="377" width="11.04" hidden="false" outlineLevel="1" customWidth="1"/>
    <col min="378" max="378" width="11.04" hidden="false" outlineLevel="1" customWidth="1"/>
    <col min="379" max="379" width="11.04" hidden="false" outlineLevel="1" customWidth="1"/>
    <col min="380" max="380" width="11.04" hidden="false" outlineLevel="1" customWidth="1"/>
    <col min="381" max="381" width="11.04" hidden="false" outlineLevel="1" customWidth="1"/>
    <col min="382" max="382" width="11.04" hidden="false" outlineLevel="1" customWidth="1"/>
    <col min="383" max="383" width="11.04" hidden="false" outlineLevel="1" customWidth="1"/>
    <col min="384" max="384" width="11.04" hidden="false" outlineLevel="1" customWidth="1"/>
    <col min="385" max="385" width="11.04" hidden="false" outlineLevel="1" customWidth="1"/>
    <col min="386" max="386" width="11.04" hidden="false" outlineLevel="1" customWidth="1"/>
    <col min="387" max="387" width="11.04" hidden="false" outlineLevel="1" customWidth="1"/>
    <col min="388" max="388" width="11.04" hidden="false" outlineLevel="1" customWidth="1"/>
    <col min="389" max="389" width="11.04" hidden="false" outlineLevel="1" customWidth="1"/>
    <col min="390" max="390" width="11.04" hidden="false" outlineLevel="1" customWidth="1"/>
    <col min="391" max="391" width="11.04" hidden="false" outlineLevel="1" customWidth="1"/>
    <col min="392" max="392" width="11.04" hidden="false" outlineLevel="1" customWidth="1"/>
    <col min="393" max="393" width="11.04" hidden="false" outlineLevel="1" customWidth="1"/>
    <col min="394" max="394" width="11.04" hidden="false" outlineLevel="1" customWidth="1"/>
    <col min="395" max="395" width="11.04" hidden="false" outlineLevel="1" customWidth="1"/>
    <col min="396" max="396" width="11.04" hidden="false" outlineLevel="1" customWidth="1"/>
    <col min="397" max="397" width="11.04" hidden="false" outlineLevel="1" customWidth="1"/>
    <col min="398" max="398" width="11.04" hidden="false" outlineLevel="1" customWidth="1"/>
    <col min="399" max="399" width="11.04" hidden="false" outlineLevel="1" customWidth="1"/>
    <col min="400" max="400" width="11.04" hidden="false" outlineLevel="1" customWidth="1"/>
    <col min="401" max="401" width="11.04" hidden="false" outlineLevel="1" customWidth="1"/>
    <col min="402" max="402" width="11.04" hidden="false" outlineLevel="1" customWidth="1"/>
    <col min="403" max="403" width="11.04" hidden="false" outlineLevel="1" customWidth="1"/>
    <col min="404" max="404" width="11.04" hidden="false" outlineLevel="1" customWidth="1"/>
    <col min="405" max="405" width="11.04" hidden="false" outlineLevel="1" customWidth="1"/>
    <col min="406" max="406" width="11.04" hidden="false" outlineLevel="1" customWidth="1"/>
    <col min="407" max="407" width="11.04" hidden="false" outlineLevel="1" customWidth="1"/>
    <col min="408" max="408" width="11.04" hidden="false" outlineLevel="1" customWidth="1"/>
    <col min="409" max="409" width="11.04" hidden="false" outlineLevel="1" customWidth="1"/>
    <col min="410" max="410" width="11.04" hidden="false" outlineLevel="1" customWidth="1"/>
    <col min="411" max="411" width="11.04" hidden="false" outlineLevel="1" customWidth="1"/>
    <col min="412" max="412" width="11.04" hidden="false" outlineLevel="1" customWidth="1"/>
    <col min="413" max="413" width="11.04" hidden="false" outlineLevel="1" customWidth="1"/>
    <col min="414" max="414" width="11.04" hidden="false" outlineLevel="1" customWidth="1"/>
    <col min="415" max="415" width="11.04" hidden="false" outlineLevel="1" customWidth="1"/>
    <col min="416" max="416" width="11.04" hidden="false" outlineLevel="1" customWidth="1"/>
    <col min="417" max="417" width="11.04" hidden="false" outlineLevel="1" customWidth="1"/>
    <col min="418" max="418" width="11.04" hidden="false" outlineLevel="1" customWidth="1"/>
    <col min="419" max="419" width="11.04" hidden="false" outlineLevel="1" customWidth="1"/>
    <col min="420" max="420" width="11.04" hidden="false" outlineLevel="1" customWidth="1"/>
    <col min="421" max="421" width="11.04" hidden="false" outlineLevel="1" customWidth="1"/>
    <col min="422" max="422" width="11.04" hidden="false" outlineLevel="1" customWidth="1"/>
    <col min="423" max="423" width="11.04" hidden="false" outlineLevel="1" customWidth="1"/>
    <col min="424" max="424" width="11.04" hidden="false" outlineLevel="1" customWidth="1"/>
    <col min="425" max="425" width="11.04" hidden="false" outlineLevel="1" customWidth="1"/>
    <col min="426" max="426" width="11.04" hidden="false" outlineLevel="1" customWidth="1"/>
    <col min="427" max="427" width="11.04" hidden="false" outlineLevel="1" customWidth="1"/>
    <col min="428" max="428" width="11.04" hidden="false" outlineLevel="1" customWidth="1"/>
    <col min="429" max="429" width="11.04" hidden="false" outlineLevel="1" customWidth="1"/>
    <col min="430" max="430" width="11.04" hidden="false" outlineLevel="1" customWidth="1"/>
    <col min="431" max="431" width="11.04" hidden="false" outlineLevel="1" customWidth="1"/>
    <col min="432" max="432" width="11.04" hidden="false" outlineLevel="1" customWidth="1"/>
    <col min="433" max="433" width="11.04" hidden="false" outlineLevel="1" customWidth="1"/>
    <col min="434" max="434" width="11.04" hidden="false" outlineLevel="1" customWidth="1"/>
    <col min="435" max="435" width="11.04" hidden="false" outlineLevel="1" customWidth="1"/>
    <col min="436" max="436" width="11.04" hidden="false" outlineLevel="1" customWidth="1"/>
    <col min="437" max="437" width="11.04" hidden="false" outlineLevel="1" customWidth="1"/>
    <col min="438" max="438" width="11.04" hidden="false" outlineLevel="1" customWidth="1"/>
    <col min="439" max="439" width="11.04" hidden="false" outlineLevel="1" customWidth="1"/>
    <col min="440" max="440" width="11.04" hidden="false" outlineLevel="1" customWidth="1"/>
    <col min="441" max="441" width="11.04" hidden="false" outlineLevel="1" customWidth="1"/>
    <col min="442" max="442" width="11.04" hidden="false" outlineLevel="1" customWidth="1"/>
    <col min="443" max="443" width="11.04" hidden="false" outlineLevel="1" customWidth="1"/>
    <col min="444" max="444" width="11.04" hidden="false" outlineLevel="1" customWidth="1"/>
    <col min="445" max="445" width="11.04" hidden="false" outlineLevel="1" customWidth="1"/>
    <col min="446" max="446" width="11.04" hidden="false" outlineLevel="1" customWidth="1"/>
    <col min="447" max="447" width="11.04" hidden="false" outlineLevel="1" customWidth="1"/>
    <col min="448" max="448" width="11.04" hidden="false" outlineLevel="1" customWidth="1"/>
    <col min="449" max="449" width="11.04" hidden="false" outlineLevel="1" customWidth="1"/>
    <col min="450" max="450" width="11.04" hidden="false" outlineLevel="1" customWidth="1"/>
    <col min="451" max="451" width="11.04" hidden="false" outlineLevel="1" customWidth="1"/>
    <col min="452" max="452" width="11.04" hidden="false" outlineLevel="1" customWidth="1"/>
    <col min="453" max="453" width="11.04" hidden="false" outlineLevel="1" customWidth="1"/>
    <col min="454" max="454" width="11.04" hidden="false" outlineLevel="1" customWidth="1"/>
    <col min="455" max="455" width="11.04" hidden="false" outlineLevel="1" customWidth="1"/>
    <col min="456" max="456" width="11.04" hidden="false" outlineLevel="1" customWidth="1"/>
    <col min="457" max="457" width="11.04" hidden="false" outlineLevel="1" customWidth="1"/>
    <col min="458" max="458" width="11.04" hidden="false" outlineLevel="1" customWidth="1"/>
    <col min="459" max="459" width="11.04" hidden="false" outlineLevel="1" customWidth="1"/>
    <col min="460" max="460" width="11.04" hidden="false" outlineLevel="1" customWidth="1"/>
    <col min="461" max="461" width="11.04" hidden="false" outlineLevel="1" customWidth="1"/>
    <col min="462" max="462" width="11.04" hidden="false" outlineLevel="1" customWidth="1"/>
    <col min="463" max="463" width="11.04" hidden="false" outlineLevel="1" customWidth="1"/>
    <col min="464" max="464" width="11.04" hidden="false" outlineLevel="1" customWidth="1"/>
    <col min="465" max="465" width="11.04" hidden="false" outlineLevel="1" customWidth="1"/>
    <col min="466" max="466" width="11.04" hidden="false" outlineLevel="1" customWidth="1"/>
    <col min="467" max="467" width="11.04" hidden="false" outlineLevel="1" customWidth="1"/>
    <col min="468" max="468" width="11.04" hidden="false" outlineLevel="1" customWidth="1"/>
    <col min="469" max="469" width="11.04" hidden="false" outlineLevel="1" customWidth="1"/>
    <col min="470" max="470" width="11.04" hidden="false" outlineLevel="1" customWidth="1"/>
    <col min="471" max="471" width="11.04" hidden="false" outlineLevel="1" customWidth="1"/>
    <col min="472" max="472" width="11.04" hidden="false" outlineLevel="1" customWidth="1"/>
    <col min="473" max="473" width="11.04" hidden="false" outlineLevel="1" customWidth="1"/>
    <col min="474" max="474" width="11.04" hidden="false" outlineLevel="1" customWidth="1"/>
    <col min="475" max="475" width="11.04" hidden="false" outlineLevel="1" customWidth="1"/>
    <col min="476" max="476" width="11.04" hidden="false" outlineLevel="1" customWidth="1"/>
    <col min="477" max="477" width="11.04" hidden="false" outlineLevel="1" customWidth="1"/>
    <col min="478" max="478" width="11.04" hidden="false" outlineLevel="1" customWidth="1"/>
    <col min="479" max="479" width="11.04" hidden="false" outlineLevel="1" customWidth="1"/>
    <col min="480" max="480" width="11.04" hidden="false" outlineLevel="1" customWidth="1"/>
    <col min="481" max="481" width="11.04" hidden="false" outlineLevel="1" customWidth="1"/>
    <col min="482" max="482" width="11.04" hidden="false" outlineLevel="1" customWidth="1"/>
    <col min="483" max="483" width="11.04" hidden="false" outlineLevel="1" customWidth="1"/>
    <col min="484" max="484" width="11.04" hidden="false" outlineLevel="1" customWidth="1"/>
    <col min="485" max="485" width="11.04" hidden="false" outlineLevel="1" customWidth="1"/>
    <col min="486" max="486" width="11.04" hidden="false" outlineLevel="1" customWidth="1"/>
    <col min="487" max="487" width="11.04" hidden="false" outlineLevel="1" customWidth="1"/>
    <col min="488" max="488" width="11.04" hidden="false" outlineLevel="1" customWidth="1"/>
    <col min="489" max="489" width="11.04" hidden="false" outlineLevel="1" customWidth="1"/>
    <col min="490" max="490" width="11.04" hidden="false" outlineLevel="1" customWidth="1"/>
    <col min="491" max="491" width="11.04" hidden="false" outlineLevel="1" customWidth="1"/>
    <col min="492" max="492" width="11.04" hidden="false" outlineLevel="1" customWidth="1"/>
    <col min="493" max="493" width="11.04" hidden="false" outlineLevel="1" customWidth="1"/>
    <col min="494" max="494" width="11.04" hidden="false" outlineLevel="1" customWidth="1"/>
    <col min="495" max="495" width="11.04" hidden="false" outlineLevel="1" customWidth="1"/>
    <col min="496" max="496" width="11.04" hidden="false" outlineLevel="1" customWidth="1"/>
    <col min="497" max="497" width="11.04" hidden="false" outlineLevel="1" customWidth="1"/>
    <col min="498" max="498" width="11.04" hidden="false" outlineLevel="1" customWidth="1"/>
    <col min="499" max="499" width="11.04" hidden="false" outlineLevel="1" customWidth="1"/>
    <col min="500" max="500" width="11.04" hidden="false" outlineLevel="1" customWidth="1"/>
    <col min="501" max="501" width="11.04" hidden="false" outlineLevel="1" customWidth="1"/>
    <col min="502" max="502" width="11.04" hidden="false" outlineLevel="1" customWidth="1"/>
    <col min="503" max="503" width="11.04" hidden="false" outlineLevel="1" customWidth="1"/>
    <col min="504" max="504" width="11.04" hidden="false" outlineLevel="1" customWidth="1"/>
    <col min="505" max="505" width="11.04" hidden="false" outlineLevel="1" customWidth="1"/>
    <col min="506" max="506" width="11.04" hidden="false" outlineLevel="1" customWidth="1"/>
    <col min="507" max="507" width="11.04" hidden="false" outlineLevel="1" customWidth="1"/>
    <col min="508" max="508" width="11.04" hidden="false" outlineLevel="1" customWidth="1"/>
    <col min="509" max="509" width="11.04" hidden="false" outlineLevel="1" customWidth="1"/>
    <col min="510" max="510" width="11.04" hidden="false" outlineLevel="1" customWidth="1"/>
    <col min="511" max="511" width="11.04" hidden="false" outlineLevel="1" customWidth="1"/>
    <col min="512" max="512" width="11.04" hidden="false" outlineLevel="1" customWidth="1"/>
    <col min="513" max="513" width="11.04" hidden="false" outlineLevel="1" customWidth="1"/>
    <col min="514" max="514" width="11.04" hidden="false" outlineLevel="1" customWidth="1"/>
    <col min="515" max="515" width="11.04" hidden="false" outlineLevel="1" customWidth="1"/>
    <col min="516" max="516" width="11.04" hidden="false" outlineLevel="1" customWidth="1"/>
    <col min="517" max="517" width="11.04" hidden="false" outlineLevel="1" customWidth="1"/>
    <col min="518" max="518" width="11.04" hidden="false" outlineLevel="1" customWidth="1"/>
    <col min="519" max="519" width="11.04" hidden="false" outlineLevel="1" customWidth="1"/>
    <col min="520" max="520" width="11.04" hidden="false" outlineLevel="1" customWidth="1"/>
    <col min="521" max="521" width="11.04" hidden="false" outlineLevel="1" customWidth="1"/>
    <col min="522" max="522" width="11.04" hidden="false" outlineLevel="1" customWidth="1"/>
    <col min="523" max="523" width="11.04" hidden="false" outlineLevel="1" customWidth="1"/>
    <col min="524" max="524" width="11.04" hidden="false" outlineLevel="1" customWidth="1"/>
    <col min="525" max="525" width="11.04" hidden="false" outlineLevel="1" customWidth="1"/>
    <col min="526" max="526" width="11.04" hidden="false" outlineLevel="1" customWidth="1"/>
    <col min="527" max="527" width="11.04" hidden="false" outlineLevel="1" customWidth="1"/>
    <col min="528" max="528" width="11.04" hidden="false" outlineLevel="1" customWidth="1"/>
    <col min="529" max="529" width="11.04" hidden="false" outlineLevel="1" customWidth="1"/>
    <col min="530" max="530" width="11.04" hidden="false" outlineLevel="1" customWidth="1"/>
    <col min="531" max="531" width="11.04" hidden="false" outlineLevel="1" customWidth="1"/>
    <col min="532" max="532" width="11.04" hidden="false" outlineLevel="1" customWidth="1"/>
    <col min="533" max="533" width="11.04" hidden="false" outlineLevel="1" customWidth="1"/>
    <col min="534" max="534" width="11.04" hidden="false" outlineLevel="1" customWidth="1"/>
    <col min="535" max="535" width="11.04" hidden="false" outlineLevel="1" customWidth="1"/>
    <col min="536" max="536" width="11.04" hidden="false" outlineLevel="1" customWidth="1"/>
    <col min="537" max="537" width="11.04" hidden="false" outlineLevel="1" customWidth="1"/>
    <col min="538" max="538" width="11.04" hidden="false" outlineLevel="1" customWidth="1"/>
    <col min="539" max="539" width="11.04" hidden="false" outlineLevel="1" customWidth="1"/>
    <col min="540" max="540" width="11.04" hidden="false" outlineLevel="1" customWidth="1"/>
    <col min="541" max="541" width="11.04" hidden="false" outlineLevel="1" customWidth="1"/>
    <col min="542" max="542" width="11.04" hidden="false" outlineLevel="1" customWidth="1"/>
    <col min="543" max="543" width="11.04" hidden="false" outlineLevel="1" customWidth="1"/>
    <col min="544" max="544" width="11.04" hidden="false" outlineLevel="1" customWidth="1"/>
    <col min="545" max="545" width="11.04" hidden="false" outlineLevel="1" customWidth="1"/>
    <col min="546" max="546" width="11.04" hidden="false" outlineLevel="1" customWidth="1"/>
    <col min="547" max="547" width="11.04" hidden="false" outlineLevel="1" customWidth="1"/>
    <col min="548" max="548" width="11.04" hidden="false" outlineLevel="1" customWidth="1"/>
    <col min="549" max="549" width="11.04" hidden="false" outlineLevel="1" customWidth="1"/>
    <col min="550" max="550" width="11.04" hidden="false" outlineLevel="1" customWidth="1"/>
    <col min="551" max="551" width="11.04" hidden="false" outlineLevel="1" customWidth="1"/>
    <col min="552" max="552" width="11.04" hidden="false" outlineLevel="1" customWidth="1"/>
    <col min="553" max="553" width="11.04" hidden="false" outlineLevel="1" customWidth="1"/>
    <col min="554" max="554" width="11.04" hidden="false" outlineLevel="1" customWidth="1"/>
    <col min="555" max="555" width="11.04" hidden="false" outlineLevel="1" customWidth="1"/>
    <col min="556" max="556" width="11.04" hidden="false" outlineLevel="1" customWidth="1"/>
    <col min="557" max="557" width="11.04" hidden="false" outlineLevel="1" customWidth="1"/>
    <col min="558" max="558" width="11.04" hidden="false" outlineLevel="1" customWidth="1"/>
    <col min="559" max="559" width="11.04" hidden="false" outlineLevel="1" customWidth="1"/>
    <col min="560" max="560" width="11.04" hidden="false" outlineLevel="1" customWidth="1"/>
    <col min="561" max="561" width="11.04" hidden="false" outlineLevel="1" customWidth="1"/>
    <col min="562" max="562" width="11.04" hidden="false" outlineLevel="1" customWidth="1"/>
    <col min="563" max="563" width="11.04" hidden="false" outlineLevel="1" customWidth="1"/>
    <col min="564" max="564" width="11.04" hidden="false" outlineLevel="1" customWidth="1"/>
    <col min="565" max="565" width="11.04" hidden="false" outlineLevel="1" customWidth="1"/>
    <col min="566" max="566" width="11.04" hidden="false" outlineLevel="1" customWidth="1"/>
    <col min="567" max="567" width="11.04" hidden="false" outlineLevel="1" customWidth="1"/>
    <col min="568" max="568" width="11.04" hidden="false" outlineLevel="1" customWidth="1"/>
    <col min="569" max="569" width="11.04" hidden="false" outlineLevel="1" customWidth="1"/>
    <col min="570" max="570" width="11.04" hidden="false" outlineLevel="1" customWidth="1"/>
    <col min="571" max="571" width="11.04" hidden="false" outlineLevel="1" customWidth="1"/>
    <col min="572" max="572" width="11.04" hidden="false" outlineLevel="1" customWidth="1"/>
    <col min="573" max="573" width="11.04" hidden="false" outlineLevel="1" customWidth="1"/>
    <col min="574" max="574" width="11.04" hidden="false" outlineLevel="1" customWidth="1"/>
    <col min="575" max="575" width="11.04" hidden="false" outlineLevel="1" customWidth="1"/>
    <col min="576" max="576" width="11.04" hidden="false" outlineLevel="1" customWidth="1"/>
    <col min="577" max="577" width="11.04" hidden="false" outlineLevel="1" customWidth="1"/>
    <col min="578" max="578" width="11.04" hidden="false" outlineLevel="1" customWidth="1"/>
    <col min="579" max="579" width="11.04" hidden="false" outlineLevel="1" customWidth="1"/>
    <col min="580" max="580" width="11.04" hidden="false" outlineLevel="1" customWidth="1"/>
    <col min="581" max="581" width="11.04" hidden="false" outlineLevel="1" customWidth="1"/>
    <col min="582" max="582" width="11.04" hidden="false" outlineLevel="1" customWidth="1"/>
    <col min="583" max="583" width="11.04" hidden="false" outlineLevel="1" customWidth="1"/>
    <col min="584" max="584" width="11.04" hidden="false" outlineLevel="1" customWidth="1"/>
    <col min="585" max="585" width="11.04" hidden="false" outlineLevel="1" customWidth="1"/>
    <col min="586" max="586" width="11.04" hidden="false" outlineLevel="1" customWidth="1"/>
    <col min="587" max="587" width="11.04" hidden="false" outlineLevel="1" customWidth="1"/>
    <col min="588" max="588" width="11.04" hidden="false" outlineLevel="1" customWidth="1"/>
    <col min="589" max="589" width="11.04" hidden="false" outlineLevel="1" customWidth="1"/>
    <col min="590" max="590" width="11.04" hidden="false" outlineLevel="1" customWidth="1"/>
    <col min="591" max="591" width="11.04" hidden="false" outlineLevel="1" customWidth="1"/>
    <col min="592" max="592" width="11.04" hidden="false" outlineLevel="1" customWidth="1"/>
    <col min="593" max="593" width="11.04" hidden="false" outlineLevel="1" customWidth="1"/>
    <col min="594" max="594" width="11.04" hidden="false" outlineLevel="1" customWidth="1"/>
    <col min="595" max="595" width="11.04" hidden="false" outlineLevel="1" customWidth="1"/>
    <col min="596" max="596" width="11.04" hidden="false" outlineLevel="1" customWidth="1"/>
    <col min="597" max="597" width="11.04" hidden="false" outlineLevel="1" customWidth="1"/>
    <col min="598" max="598" width="11.04" hidden="false" outlineLevel="1" customWidth="1"/>
    <col min="599" max="599" width="11.04" hidden="false" outlineLevel="1" customWidth="1"/>
    <col min="600" max="600" width="11.04" hidden="false" outlineLevel="1" customWidth="1"/>
    <col min="601" max="601" width="11.04" hidden="false" outlineLevel="1" customWidth="1"/>
    <col min="602" max="602" width="11.04" hidden="false" outlineLevel="1" customWidth="1"/>
    <col min="603" max="603" width="11.04" hidden="false" outlineLevel="1" customWidth="1"/>
    <col min="604" max="604" width="11.04" hidden="false" outlineLevel="1" customWidth="1"/>
    <col min="605" max="605" width="11.04" hidden="false" outlineLevel="1" customWidth="1"/>
    <col min="606" max="606" width="11.04" hidden="false" outlineLevel="1" customWidth="1"/>
    <col min="607" max="607" width="11.04" hidden="false" outlineLevel="1" customWidth="1"/>
    <col min="608" max="608" width="11.04" hidden="false" outlineLevel="1" customWidth="1"/>
    <col min="609" max="609" width="11.04" hidden="false" outlineLevel="1" customWidth="1"/>
    <col min="610" max="610" width="11.04" hidden="false" outlineLevel="1" customWidth="1"/>
    <col min="611" max="611" width="11.04" hidden="false" outlineLevel="1" customWidth="1"/>
    <col min="612" max="612" width="11.04" hidden="false" outlineLevel="1" customWidth="1"/>
    <col min="613" max="613" width="11.04" hidden="false" outlineLevel="1" customWidth="1"/>
    <col min="614" max="614" width="11.04" hidden="false" outlineLevel="1" customWidth="1"/>
    <col min="615" max="615" width="11.04" hidden="false" outlineLevel="1" customWidth="1"/>
    <col min="616" max="616" width="11.04" hidden="false" outlineLevel="1" customWidth="1"/>
    <col min="617" max="617" width="11.04" hidden="false" outlineLevel="1" customWidth="1"/>
    <col min="618" max="618" width="11.04" hidden="false" outlineLevel="1" customWidth="1"/>
    <col min="619" max="619" width="11.04" hidden="false" outlineLevel="1" customWidth="1"/>
    <col min="620" max="620" width="11.04" hidden="false" outlineLevel="1" customWidth="1"/>
    <col min="621" max="621" width="11.04" hidden="false" outlineLevel="1" customWidth="1"/>
    <col min="622" max="622" width="11.04" hidden="false" outlineLevel="1" customWidth="1"/>
    <col min="623" max="623" width="11.04" hidden="false" outlineLevel="1" customWidth="1"/>
    <col min="624" max="624" width="11.04" hidden="false" outlineLevel="1" customWidth="1"/>
    <col min="625" max="625" width="11.04" hidden="false" outlineLevel="1" customWidth="1"/>
    <col min="626" max="626" width="11.04" hidden="false" outlineLevel="1" customWidth="1"/>
    <col min="627" max="627" width="11.04" hidden="false" outlineLevel="1" customWidth="1"/>
    <col min="628" max="628" width="11.04" hidden="false" outlineLevel="1" customWidth="1"/>
    <col min="629" max="629" width="11.04" hidden="false" outlineLevel="1" customWidth="1"/>
    <col min="630" max="630" width="11.04" hidden="false" outlineLevel="1" customWidth="1"/>
    <col min="631" max="631" width="11.04" hidden="false" outlineLevel="1" customWidth="1"/>
    <col min="632" max="632" width="11.04" hidden="false" outlineLevel="1" customWidth="1"/>
    <col min="633" max="633" width="11.04" hidden="false" outlineLevel="1" customWidth="1"/>
    <col min="634" max="634" width="11.04" hidden="false" outlineLevel="1" customWidth="1"/>
    <col min="635" max="635" width="11.04" hidden="false" outlineLevel="1" customWidth="1"/>
    <col min="636" max="636" width="11.04" hidden="false" outlineLevel="1" customWidth="1"/>
    <col min="637" max="637" width="11.04" hidden="false" outlineLevel="1" customWidth="1"/>
    <col min="638" max="638" width="11.04" hidden="false" outlineLevel="1" customWidth="1"/>
    <col min="639" max="639" width="11.04" hidden="false" outlineLevel="1" customWidth="1"/>
    <col min="640" max="640" width="11.04" hidden="false" outlineLevel="1" customWidth="1"/>
    <col min="641" max="641" width="11.04" hidden="false" outlineLevel="1" customWidth="1"/>
    <col min="642" max="642" width="11.04" hidden="false" outlineLevel="1" customWidth="1"/>
    <col min="643" max="643" width="11.04" hidden="false" outlineLevel="1" customWidth="1"/>
    <col min="644" max="644" width="11.04" hidden="false" outlineLevel="1" customWidth="1"/>
    <col min="645" max="645" width="11.04" hidden="false" outlineLevel="1" customWidth="1"/>
    <col min="646" max="646" width="11.04" hidden="false" outlineLevel="1" customWidth="1"/>
    <col min="647" max="647" width="11.04" hidden="false" outlineLevel="1" customWidth="1"/>
    <col min="648" max="648" width="11.04" hidden="false" outlineLevel="1" customWidth="1"/>
    <col min="649" max="649" width="11.04" hidden="false" outlineLevel="1" customWidth="1"/>
    <col min="650" max="650" width="11.04" hidden="false" outlineLevel="1" customWidth="1"/>
    <col min="651" max="651" width="11.04" hidden="false" outlineLevel="1" customWidth="1"/>
    <col min="652" max="652" width="11.04" hidden="false" outlineLevel="1" customWidth="1"/>
    <col min="653" max="653" width="11.04" hidden="false" outlineLevel="1" customWidth="1"/>
    <col min="654" max="654" width="11.04" hidden="false" outlineLevel="1" customWidth="1"/>
    <col min="655" max="655" width="11.04" hidden="false" outlineLevel="1" customWidth="1"/>
    <col min="656" max="656" width="11.04" hidden="false" outlineLevel="1" customWidth="1"/>
    <col min="657" max="657" width="11.04" hidden="false" outlineLevel="1" customWidth="1"/>
    <col min="658" max="658" width="11.04" hidden="false" outlineLevel="1" customWidth="1"/>
    <col min="659" max="659" width="11.04" hidden="false" outlineLevel="1" customWidth="1"/>
    <col min="660" max="660" width="11.04" hidden="false" outlineLevel="1" customWidth="1"/>
    <col min="661" max="661" width="11.04" hidden="false" outlineLevel="1" customWidth="1"/>
    <col min="662" max="662" width="11.04" hidden="false" outlineLevel="1" customWidth="1"/>
    <col min="663" max="663" width="11.04" hidden="false" outlineLevel="1" customWidth="1"/>
    <col min="664" max="664" width="11.04" hidden="false" outlineLevel="1" customWidth="1"/>
    <col min="665" max="665" width="11.04" hidden="false" outlineLevel="1" customWidth="1"/>
    <col min="666" max="666" width="11.04" hidden="false" outlineLevel="1" customWidth="1"/>
    <col min="667" max="667" width="11.04" hidden="false" outlineLevel="1" customWidth="1"/>
    <col min="668" max="668" width="11.04" hidden="false" outlineLevel="1" customWidth="1"/>
    <col min="669" max="669" width="11.04" hidden="false" outlineLevel="1" customWidth="1"/>
    <col min="670" max="670" width="11.04" hidden="false" outlineLevel="1" customWidth="1"/>
    <col min="671" max="671" width="11.04" hidden="false" outlineLevel="1" customWidth="1"/>
    <col min="672" max="672" width="11.04" hidden="false" outlineLevel="1" customWidth="1"/>
    <col min="673" max="673" width="11.04" hidden="false" outlineLevel="1" customWidth="1"/>
    <col min="674" max="674" width="11.04" hidden="false" outlineLevel="1" customWidth="1"/>
    <col min="675" max="675" width="11.04" hidden="false" outlineLevel="1" customWidth="1"/>
    <col min="676" max="676" width="11.04" hidden="false" outlineLevel="1" customWidth="1"/>
    <col min="677" max="677" width="11.04" hidden="false" outlineLevel="1" customWidth="1"/>
    <col min="678" max="678" width="11.04" hidden="false" outlineLevel="1" customWidth="1"/>
    <col min="679" max="679" width="11.04" hidden="false" outlineLevel="1" customWidth="1"/>
    <col min="680" max="680" width="11.04" hidden="false" outlineLevel="1" customWidth="1"/>
    <col min="681" max="681" width="11.04" hidden="false" outlineLevel="1" customWidth="1"/>
    <col min="682" max="682" width="11.04" hidden="false" outlineLevel="1" customWidth="1"/>
    <col min="683" max="683" width="11.04" hidden="false" outlineLevel="1" customWidth="1"/>
    <col min="684" max="684" width="11.04" hidden="false" outlineLevel="1" customWidth="1"/>
    <col min="685" max="685" width="11.04" hidden="false" outlineLevel="1" customWidth="1"/>
    <col min="686" max="686" width="11.04" hidden="false" outlineLevel="1" customWidth="1"/>
    <col min="687" max="687" width="11.04" hidden="false" outlineLevel="1" customWidth="1"/>
    <col min="688" max="688" width="11.04" hidden="false" outlineLevel="1" customWidth="1"/>
    <col min="689" max="689" width="11.04" hidden="false" outlineLevel="1" customWidth="1"/>
    <col min="690" max="690" width="11.04" hidden="false" outlineLevel="1" customWidth="1"/>
    <col min="691" max="691" width="11.04" hidden="false" outlineLevel="1" customWidth="1"/>
    <col min="692" max="692" width="11.04" hidden="false" outlineLevel="1" customWidth="1"/>
    <col min="693" max="693" width="11.04" hidden="false" outlineLevel="1" customWidth="1"/>
    <col min="694" max="694" width="11.04" hidden="false" outlineLevel="1" customWidth="1"/>
    <col min="695" max="695" width="11.04" hidden="false" outlineLevel="1" customWidth="1"/>
    <col min="696" max="696" width="11.04" hidden="false" outlineLevel="1" customWidth="1"/>
    <col min="697" max="697" width="11.04" hidden="false" outlineLevel="1" customWidth="1"/>
    <col min="698" max="698" width="11.04" hidden="false" outlineLevel="1" customWidth="1"/>
    <col min="699" max="699" width="11.04" hidden="false" outlineLevel="1" customWidth="1"/>
    <col min="700" max="700" width="11.04" hidden="false" outlineLevel="1" customWidth="1"/>
    <col min="701" max="701" width="11.04" hidden="false" outlineLevel="1" customWidth="1"/>
    <col min="702" max="702" width="11.04" hidden="false" outlineLevel="1" customWidth="1"/>
    <col min="703" max="703" width="11.04" hidden="false" outlineLevel="1" customWidth="1"/>
    <col min="704" max="704" width="11.04" hidden="false" outlineLevel="1" customWidth="1"/>
    <col min="705" max="705" width="11.04" hidden="false" outlineLevel="1" customWidth="1"/>
    <col min="706" max="706" width="11.04" hidden="false" outlineLevel="1" customWidth="1"/>
    <col min="707" max="707" width="11.04" hidden="false" outlineLevel="1" customWidth="1"/>
    <col min="708" max="708" width="11.04" hidden="false" outlineLevel="1" customWidth="1"/>
    <col min="709" max="709" width="11.04" hidden="false" outlineLevel="1" customWidth="1"/>
    <col min="710" max="710" width="11.04" hidden="false" outlineLevel="1" customWidth="1"/>
    <col min="711" max="711" width="11.04" hidden="false" outlineLevel="1" customWidth="1"/>
    <col min="712" max="712" width="11.04" hidden="false" outlineLevel="1" customWidth="1"/>
    <col min="713" max="713" width="11.04" hidden="false" outlineLevel="1" customWidth="1"/>
    <col min="714" max="714" width="11.04" hidden="false" outlineLevel="1" customWidth="1"/>
    <col min="715" max="715" width="11.04" hidden="false" outlineLevel="1" customWidth="1"/>
    <col min="716" max="716" width="11.04" hidden="false" outlineLevel="1" customWidth="1"/>
    <col min="717" max="717" width="11.04" hidden="false" outlineLevel="1" customWidth="1"/>
    <col min="718" max="718" width="11.04" hidden="false" outlineLevel="1" customWidth="1"/>
    <col min="719" max="719" width="11.04" hidden="false" outlineLevel="1" customWidth="1"/>
    <col min="720" max="720" width="11.04" hidden="false" outlineLevel="1" customWidth="1"/>
    <col min="721" max="721" width="11.04" hidden="false" outlineLevel="1" customWidth="1"/>
    <col min="722" max="722" width="11.04" hidden="false" outlineLevel="1" customWidth="1"/>
    <col min="723" max="723" width="11.04" hidden="false" outlineLevel="1" customWidth="1"/>
    <col min="724" max="724" width="11.04" hidden="false" outlineLevel="1" customWidth="1"/>
    <col min="725" max="725" width="11.04" hidden="false" outlineLevel="1" customWidth="1"/>
    <col min="726" max="726" width="11.04" hidden="false" outlineLevel="1" customWidth="1"/>
    <col min="727" max="727" width="11.04" hidden="false" outlineLevel="1" customWidth="1"/>
    <col min="728" max="728" width="11.04" hidden="false" outlineLevel="1" customWidth="1"/>
    <col min="729" max="729" width="11.04" hidden="false" outlineLevel="1" customWidth="1"/>
    <col min="730" max="730" width="11.04" hidden="false" outlineLevel="1" customWidth="1"/>
    <col min="731" max="731" width="11.04" hidden="false" outlineLevel="1" customWidth="1"/>
    <col min="732" max="732" width="11.04" hidden="false" outlineLevel="1" customWidth="1"/>
    <col min="733" max="733" width="11.04" hidden="false" outlineLevel="1" customWidth="1"/>
    <col min="734" max="734" width="11.04" hidden="false" outlineLevel="1" customWidth="1"/>
    <col min="735" max="735" width="11.04" hidden="false" outlineLevel="1" customWidth="1"/>
    <col min="736" max="736" width="11.04" hidden="false" outlineLevel="1" customWidth="1"/>
    <col min="737" max="737" width="11.04" hidden="false" outlineLevel="1" customWidth="1"/>
    <col min="738" max="738" width="11.04" hidden="false" outlineLevel="1" customWidth="1"/>
    <col min="739" max="739" width="11.04" hidden="false" outlineLevel="1" customWidth="1"/>
    <col min="740" max="740" width="11.04" hidden="false" outlineLevel="1" customWidth="1"/>
    <col min="741" max="741" width="11.04" hidden="false" outlineLevel="1" customWidth="1"/>
    <col min="742" max="742" width="11.04" hidden="false" outlineLevel="1" customWidth="1"/>
    <col min="743" max="743" width="11.04" hidden="false" outlineLevel="1" customWidth="1"/>
    <col min="744" max="744" width="11.04" hidden="false" outlineLevel="1" customWidth="1"/>
    <col min="745" max="745" width="11.04" hidden="false" outlineLevel="1" customWidth="1"/>
    <col min="746" max="746" width="11.04" hidden="false" outlineLevel="1" customWidth="1"/>
    <col min="747" max="747" width="11.04" hidden="false" outlineLevel="1" customWidth="1"/>
    <col min="748" max="748" width="11.04" hidden="false" outlineLevel="1" customWidth="1"/>
    <col min="749" max="749" width="11.04" hidden="false" outlineLevel="1" customWidth="1"/>
    <col min="750" max="750" width="11.04" hidden="false" outlineLevel="1" customWidth="1"/>
    <col min="751" max="751" width="11.04" hidden="false" outlineLevel="1" customWidth="1"/>
    <col min="752" max="752" width="11.04" hidden="false" outlineLevel="1" customWidth="1"/>
    <col min="753" max="753" width="11.04" hidden="false" outlineLevel="1" customWidth="1"/>
    <col min="754" max="754" width="11.04" hidden="false" outlineLevel="1" customWidth="1"/>
    <col min="755" max="755" width="11.04" hidden="false" outlineLevel="1" customWidth="1"/>
    <col min="756" max="756" width="11.04" hidden="false" outlineLevel="1" customWidth="1"/>
    <col min="757" max="757" width="11.04" hidden="false" outlineLevel="1" customWidth="1"/>
    <col min="758" max="758" width="11.04" hidden="false" outlineLevel="1" customWidth="1"/>
    <col min="759" max="759" width="11.04" hidden="false" outlineLevel="1" customWidth="1"/>
    <col min="760" max="760" width="11.04" hidden="false" outlineLevel="1" customWidth="1"/>
    <col min="761" max="761" width="11.04" hidden="false" outlineLevel="1" customWidth="1"/>
    <col min="762" max="762" width="11.04" hidden="false" outlineLevel="1" customWidth="1"/>
    <col min="763" max="763" width="11.04" hidden="false" outlineLevel="1" customWidth="1"/>
    <col min="764" max="764" width="11.04" hidden="false" outlineLevel="1" customWidth="1"/>
    <col min="765" max="765" width="11.04" hidden="false" outlineLevel="1" customWidth="1"/>
    <col min="766" max="766" width="11.04" hidden="false" outlineLevel="1" customWidth="1"/>
    <col min="767" max="767" width="11.04" hidden="false" outlineLevel="1" customWidth="1"/>
    <col min="768" max="768" width="11.04" hidden="false" outlineLevel="1" customWidth="1"/>
    <col min="769" max="769" width="11.04" hidden="false" outlineLevel="1" customWidth="1"/>
    <col min="770" max="770" width="11.04" hidden="false" outlineLevel="1" customWidth="1"/>
    <col min="771" max="771" width="11.04" hidden="false" outlineLevel="1" customWidth="1"/>
    <col min="772" max="772" width="11.04" hidden="false" outlineLevel="1" customWidth="1"/>
    <col min="773" max="773" width="11.04" hidden="false" outlineLevel="1" customWidth="1"/>
    <col min="774" max="774" width="11.04" hidden="false" outlineLevel="1" customWidth="1"/>
    <col min="775" max="775" width="11.04" hidden="false" outlineLevel="1" customWidth="1"/>
    <col min="776" max="776" width="11.04" hidden="false" outlineLevel="1" customWidth="1"/>
    <col min="777" max="777" width="11.04" hidden="false" outlineLevel="1" customWidth="1"/>
    <col min="778" max="778" width="11.04" hidden="false" outlineLevel="1" customWidth="1"/>
    <col min="779" max="779" width="11.04" hidden="false" outlineLevel="1" customWidth="1"/>
    <col min="780" max="780" width="11.04" hidden="false" outlineLevel="1" customWidth="1"/>
    <col min="781" max="781" width="11.04" hidden="false" outlineLevel="1" customWidth="1"/>
    <col min="782" max="782" width="11.04" hidden="false" outlineLevel="1" customWidth="1"/>
    <col min="783" max="783" width="11.04" hidden="false" outlineLevel="1" customWidth="1"/>
    <col min="784" max="784" width="11.04" hidden="false" outlineLevel="1" customWidth="1"/>
    <col min="785" max="785" width="11.04" hidden="false" outlineLevel="1" customWidth="1"/>
    <col min="786" max="786" width="11.04" hidden="false" outlineLevel="1" customWidth="1"/>
    <col min="787" max="787" width="11.04" hidden="false" outlineLevel="1" customWidth="1"/>
    <col min="788" max="788" width="11.04" hidden="false" outlineLevel="1" customWidth="1"/>
    <col min="789" max="789" width="11.04" hidden="false" outlineLevel="1" customWidth="1"/>
    <col min="790" max="790" width="11.04" hidden="false" outlineLevel="1" customWidth="1"/>
    <col min="791" max="791" width="11.04" hidden="false" outlineLevel="1" customWidth="1"/>
    <col min="792" max="792" width="11.04" hidden="false" outlineLevel="1" customWidth="1"/>
    <col min="793" max="793" width="11.04" hidden="false" outlineLevel="1" customWidth="1"/>
    <col min="794" max="794" width="11.04" hidden="false" outlineLevel="1" customWidth="1"/>
    <col min="795" max="795" width="11.04" hidden="false" outlineLevel="1" customWidth="1"/>
    <col min="796" max="796" width="11.04" hidden="false" outlineLevel="1" customWidth="1"/>
    <col min="797" max="797" width="11.04" hidden="false" outlineLevel="1" customWidth="1"/>
    <col min="798" max="798" width="11.04" hidden="false" outlineLevel="1" customWidth="1"/>
    <col min="799" max="799" width="11.04" hidden="false" outlineLevel="1" customWidth="1"/>
    <col min="800" max="800" width="11.04" hidden="false" outlineLevel="1" customWidth="1"/>
    <col min="801" max="801" width="11.04" hidden="false" outlineLevel="1" customWidth="1"/>
    <col min="802" max="802" width="11.04" hidden="false" outlineLevel="1" customWidth="1"/>
    <col min="803" max="803" width="11.04" hidden="false" outlineLevel="1" customWidth="1"/>
    <col min="804" max="804" width="11.04" hidden="false" outlineLevel="1" customWidth="1"/>
    <col min="805" max="805" width="11.04" hidden="false" outlineLevel="1" customWidth="1"/>
    <col min="806" max="806" width="11.04" hidden="false" outlineLevel="1" customWidth="1"/>
    <col min="807" max="807" width="11.04" hidden="false" outlineLevel="1" customWidth="1"/>
    <col min="808" max="808" width="11.04" hidden="false" outlineLevel="1" customWidth="1"/>
    <col min="809" max="809" width="11.04" hidden="false" outlineLevel="1" customWidth="1"/>
    <col min="810" max="810" width="11.04" hidden="false" outlineLevel="1" customWidth="1"/>
    <col min="811" max="811" width="11.04" hidden="false" outlineLevel="1" customWidth="1"/>
    <col min="812" max="812" width="11.04" hidden="false" outlineLevel="1" customWidth="1"/>
    <col min="813" max="813" width="11.04" hidden="false" outlineLevel="1" customWidth="1"/>
    <col min="814" max="814" width="11.04" hidden="false" outlineLevel="1" customWidth="1"/>
    <col min="815" max="815" width="11.04" hidden="false" outlineLevel="1" customWidth="1"/>
    <col min="816" max="816" width="11.04" hidden="false" outlineLevel="1" customWidth="1"/>
    <col min="817" max="817" width="11.04" hidden="false" outlineLevel="1" customWidth="1"/>
    <col min="818" max="818" width="11.04" hidden="false" outlineLevel="1" customWidth="1"/>
    <col min="819" max="819" width="11.04" hidden="false" outlineLevel="1" customWidth="1"/>
    <col min="820" max="820" width="11.04" hidden="false" outlineLevel="1" customWidth="1"/>
    <col min="821" max="821" width="11.04" hidden="false" outlineLevel="1" customWidth="1"/>
    <col min="822" max="822" width="11.04" hidden="false" outlineLevel="1" customWidth="1"/>
    <col min="823" max="823" width="11.04" hidden="false" outlineLevel="1" customWidth="1"/>
    <col min="824" max="824" width="11.04" hidden="false" outlineLevel="1" customWidth="1"/>
    <col min="825" max="825" width="11.04" hidden="false" outlineLevel="1" customWidth="1"/>
    <col min="826" max="826" width="11.04" hidden="false" outlineLevel="1" customWidth="1"/>
    <col min="827" max="827" width="11.04" hidden="false" outlineLevel="1" customWidth="1"/>
    <col min="828" max="828" width="11.04" hidden="false" outlineLevel="1" customWidth="1"/>
    <col min="829" max="829" width="11.04" hidden="false" outlineLevel="1" customWidth="1"/>
    <col min="830" max="830" width="11.04" hidden="false" outlineLevel="1" customWidth="1"/>
    <col min="831" max="831" width="11.04" hidden="false" outlineLevel="1" customWidth="1"/>
    <col min="832" max="832" width="11.04" hidden="false" outlineLevel="1" customWidth="1"/>
    <col min="833" max="833" width="11.04" hidden="false" outlineLevel="1" customWidth="1"/>
    <col min="834" max="834" width="11.04" hidden="false" outlineLevel="1" customWidth="1"/>
    <col min="835" max="835" width="11.04" hidden="false" outlineLevel="1" customWidth="1"/>
    <col min="836" max="836" width="11.04" hidden="false" outlineLevel="1" customWidth="1"/>
    <col min="837" max="837" width="11.04" hidden="false" outlineLevel="1" customWidth="1"/>
    <col min="838" max="838" width="11.04" hidden="false" outlineLevel="1" customWidth="1"/>
    <col min="839" max="839" width="11.04" hidden="false" outlineLevel="1" customWidth="1"/>
    <col min="840" max="840" width="11.04" hidden="false" outlineLevel="1" customWidth="1"/>
    <col min="841" max="841" width="11.04" hidden="false" outlineLevel="1" customWidth="1"/>
    <col min="842" max="842" width="11.04" hidden="false" outlineLevel="1" customWidth="1"/>
    <col min="843" max="843" width="11.04" hidden="false" outlineLevel="1" customWidth="1"/>
    <col min="844" max="844" width="11.04" hidden="false" outlineLevel="1" customWidth="1"/>
    <col min="845" max="845" width="11.04" hidden="false" outlineLevel="1" customWidth="1"/>
    <col min="846" max="846" width="11.04" hidden="false" outlineLevel="1" customWidth="1"/>
    <col min="847" max="847" width="11.04" hidden="false" outlineLevel="1" customWidth="1"/>
    <col min="848" max="848" width="11.04" hidden="false" outlineLevel="1" customWidth="1"/>
    <col min="849" max="849" width="11.04" hidden="false" outlineLevel="1" customWidth="1"/>
    <col min="850" max="850" width="11.04" hidden="false" outlineLevel="1" customWidth="1"/>
    <col min="851" max="851" width="11.04" hidden="false" outlineLevel="1" customWidth="1"/>
    <col min="852" max="852" width="11.04" hidden="false" outlineLevel="1" customWidth="1"/>
    <col min="853" max="853" width="11.04" hidden="false" outlineLevel="1" customWidth="1"/>
    <col min="854" max="854" width="11.04" hidden="false" outlineLevel="1" customWidth="1"/>
    <col min="855" max="855" width="11.04" hidden="false" outlineLevel="1" customWidth="1"/>
    <col min="856" max="856" width="11.04" hidden="false" outlineLevel="1" customWidth="1"/>
    <col min="857" max="857" width="11.04" hidden="false" outlineLevel="1" customWidth="1"/>
    <col min="858" max="858" width="11.04" hidden="false" outlineLevel="1" customWidth="1"/>
    <col min="859" max="859" width="11.04" hidden="false" outlineLevel="1" customWidth="1"/>
    <col min="860" max="860" width="11.04" hidden="false" outlineLevel="1" customWidth="1"/>
    <col min="861" max="861" width="11.04" hidden="false" outlineLevel="1" customWidth="1"/>
    <col min="862" max="862" width="11.04" hidden="false" outlineLevel="1" customWidth="1"/>
    <col min="863" max="863" width="11.04" hidden="false" outlineLevel="1" customWidth="1"/>
    <col min="864" max="864" width="11.04" hidden="false" outlineLevel="1" customWidth="1"/>
    <col min="865" max="865" width="11.04" hidden="false" outlineLevel="1" customWidth="1"/>
    <col min="866" max="866" width="11.04" hidden="false" outlineLevel="1" customWidth="1"/>
    <col min="867" max="867" width="11.04" hidden="false" outlineLevel="1" customWidth="1"/>
    <col min="868" max="868" width="11.04" hidden="false" outlineLevel="1" customWidth="1"/>
    <col min="869" max="869" width="11.04" hidden="false" outlineLevel="1" customWidth="1"/>
    <col min="870" max="870" width="11.04" hidden="false" outlineLevel="1" customWidth="1"/>
    <col min="871" max="871" width="11.04" hidden="false" outlineLevel="1" customWidth="1"/>
    <col min="872" max="872" width="11.04" hidden="false" outlineLevel="1" customWidth="1"/>
    <col min="873" max="873" width="11.04" hidden="false" outlineLevel="1" customWidth="1"/>
    <col min="874" max="874" width="11.04" hidden="false" outlineLevel="1" customWidth="1"/>
    <col min="875" max="875" width="11.04" hidden="false" outlineLevel="1" customWidth="1"/>
    <col min="876" max="876" width="11.04" hidden="false" outlineLevel="1" customWidth="1"/>
    <col min="877" max="877" width="11.04" hidden="false" outlineLevel="1" customWidth="1"/>
    <col min="878" max="878" width="11.04" hidden="false" outlineLevel="1" customWidth="1"/>
    <col min="879" max="879" width="11.04" hidden="false" outlineLevel="1" customWidth="1"/>
    <col min="880" max="880" width="11.04" hidden="false" outlineLevel="1" customWidth="1"/>
    <col min="881" max="881" width="11.04" hidden="false" outlineLevel="1" customWidth="1"/>
    <col min="882" max="882" width="11.04" hidden="false" outlineLevel="1" customWidth="1"/>
    <col min="883" max="883" width="11.04" hidden="false" outlineLevel="1" customWidth="1"/>
    <col min="884" max="884" width="11.04" hidden="false" outlineLevel="1" customWidth="1"/>
    <col min="885" max="885" width="11.04" hidden="false" outlineLevel="1" customWidth="1"/>
    <col min="886" max="886" width="11.04" hidden="false" outlineLevel="1" customWidth="1"/>
    <col min="887" max="887" width="11.04" hidden="false" outlineLevel="1" customWidth="1"/>
    <col min="888" max="888" width="11.04" hidden="false" outlineLevel="1" customWidth="1"/>
    <col min="889" max="889" width="11.04" hidden="false" outlineLevel="1" customWidth="1"/>
    <col min="890" max="890" width="11.04" hidden="false" outlineLevel="1" customWidth="1"/>
    <col min="891" max="891" width="11.04" hidden="false" outlineLevel="1" customWidth="1"/>
    <col min="892" max="892" width="11.04" hidden="false" outlineLevel="1" customWidth="1"/>
    <col min="893" max="893" width="11.04" hidden="false" outlineLevel="1" customWidth="1"/>
    <col min="894" max="894" width="11.04" hidden="false" outlineLevel="1" customWidth="1"/>
    <col min="895" max="895" width="11.04" hidden="false" outlineLevel="1" customWidth="1"/>
    <col min="896" max="896" width="11.04" hidden="false" outlineLevel="1" customWidth="1"/>
    <col min="897" max="897" width="11.04" hidden="false" outlineLevel="1" customWidth="1"/>
    <col min="898" max="898" width="11.04" hidden="false" outlineLevel="1" customWidth="1"/>
    <col min="899" max="899" width="11.04" hidden="false" outlineLevel="1" customWidth="1"/>
    <col min="900" max="900" width="11.04" hidden="false" outlineLevel="1" customWidth="1"/>
    <col min="901" max="901" width="11.04" hidden="false" outlineLevel="1" customWidth="1"/>
    <col min="902" max="902" width="11.04" hidden="false" outlineLevel="1" customWidth="1"/>
    <col min="903" max="903" width="11.04" hidden="false" outlineLevel="1" customWidth="1"/>
    <col min="904" max="904" width="11.04" hidden="false" outlineLevel="1" customWidth="1"/>
    <col min="905" max="905" width="11.04" hidden="false" outlineLevel="1" customWidth="1"/>
    <col min="906" max="906" width="11.04" hidden="false" outlineLevel="1" customWidth="1"/>
    <col min="907" max="907" width="11.04" hidden="false" outlineLevel="1" customWidth="1"/>
    <col min="908" max="908" width="11.04" hidden="false" outlineLevel="1" customWidth="1"/>
    <col min="909" max="909" width="11.04" hidden="false" outlineLevel="1" customWidth="1"/>
    <col min="910" max="910" width="11.04" hidden="false" outlineLevel="1" customWidth="1"/>
    <col min="911" max="911" width="11.04" hidden="false" outlineLevel="1" customWidth="1"/>
    <col min="912" max="912" width="11.04" hidden="false" outlineLevel="1" customWidth="1"/>
    <col min="913" max="913" width="11.04" hidden="false" outlineLevel="1" customWidth="1"/>
    <col min="914" max="914" width="11.04" hidden="false" outlineLevel="1" customWidth="1"/>
    <col min="915" max="915" width="11.04" hidden="false" outlineLevel="1" customWidth="1"/>
    <col min="916" max="916" width="11.04" hidden="false" outlineLevel="1" customWidth="1"/>
    <col min="917" max="917" width="11.04" hidden="false" outlineLevel="1" customWidth="1"/>
    <col min="918" max="918" width="11.04" hidden="false" outlineLevel="1" customWidth="1"/>
    <col min="919" max="919" width="11.04" hidden="false" outlineLevel="1" customWidth="1"/>
    <col min="920" max="920" width="11.04" hidden="false" outlineLevel="1" customWidth="1"/>
    <col min="921" max="921" width="11.04" hidden="false" outlineLevel="1" customWidth="1"/>
    <col min="922" max="922" width="11.04" hidden="false" outlineLevel="1" customWidth="1"/>
    <col min="923" max="923" width="11.04" hidden="false" outlineLevel="1" customWidth="1"/>
    <col min="924" max="924" width="11.04" hidden="false" outlineLevel="1" customWidth="1"/>
    <col min="925" max="925" width="11.04" hidden="false" outlineLevel="1" customWidth="1"/>
    <col min="926" max="926" width="11.04" hidden="false" outlineLevel="1" customWidth="1"/>
    <col min="927" max="927" width="11.04" hidden="false" outlineLevel="1" customWidth="1"/>
    <col min="928" max="928" width="11.04" hidden="false" outlineLevel="1" customWidth="1"/>
    <col min="929" max="929" width="11.04" hidden="false" outlineLevel="1" customWidth="1"/>
    <col min="930" max="930" width="11.04" hidden="false" outlineLevel="1" customWidth="1"/>
    <col min="931" max="931" width="11.04" hidden="false" outlineLevel="1" customWidth="1"/>
    <col min="932" max="932" width="11.04" hidden="false" outlineLevel="1" customWidth="1"/>
    <col min="933" max="933" width="11.04" hidden="false" outlineLevel="1" customWidth="1"/>
    <col min="934" max="934" width="11.04" hidden="false" outlineLevel="1" customWidth="1"/>
    <col min="935" max="935" width="11.04" hidden="false" outlineLevel="1" customWidth="1"/>
    <col min="936" max="936" width="11.04" hidden="false" outlineLevel="1" customWidth="1"/>
    <col min="937" max="937" width="11.04" hidden="false" outlineLevel="1" customWidth="1"/>
    <col min="938" max="938" width="11.04" hidden="false" outlineLevel="1" customWidth="1"/>
    <col min="939" max="939" width="11.04" hidden="false" outlineLevel="1" customWidth="1"/>
    <col min="940" max="940" width="11.04" hidden="false" outlineLevel="1" customWidth="1"/>
    <col min="941" max="941" width="11.04" hidden="false" outlineLevel="1" customWidth="1"/>
    <col min="942" max="942" width="11.04" hidden="false" outlineLevel="1" customWidth="1"/>
    <col min="943" max="943" width="11.04" hidden="false" outlineLevel="1" customWidth="1"/>
    <col min="944" max="944" width="11.04" hidden="false" outlineLevel="1" customWidth="1"/>
    <col min="945" max="945" width="11.04" hidden="false" outlineLevel="1" customWidth="1"/>
    <col min="946" max="946" width="11.04" hidden="false" outlineLevel="1" customWidth="1"/>
    <col min="947" max="947" width="11.04" hidden="false" outlineLevel="1" customWidth="1"/>
    <col min="948" max="948" width="11.04" hidden="false" outlineLevel="1" customWidth="1"/>
    <col min="949" max="949" width="11.04" hidden="false" outlineLevel="1" customWidth="1"/>
    <col min="950" max="950" width="11.04" hidden="false" outlineLevel="1" customWidth="1"/>
    <col min="951" max="951" width="11.04" hidden="false" outlineLevel="1" customWidth="1"/>
    <col min="952" max="952" width="11.04" hidden="false" outlineLevel="1" customWidth="1"/>
    <col min="953" max="953" width="11.04" hidden="false" outlineLevel="1" customWidth="1"/>
    <col min="954" max="954" width="11.04" hidden="false" outlineLevel="1" customWidth="1"/>
    <col min="955" max="955" width="11.04" hidden="false" outlineLevel="1" customWidth="1"/>
    <col min="956" max="956" width="11.04" hidden="false" outlineLevel="1" customWidth="1"/>
    <col min="957" max="957" width="11.04" hidden="false" outlineLevel="1" customWidth="1"/>
    <col min="958" max="958" width="11.04" hidden="false" outlineLevel="1" customWidth="1"/>
    <col min="959" max="959" width="11.04" hidden="false" outlineLevel="1" customWidth="1"/>
    <col min="960" max="960" width="11.04" hidden="false" outlineLevel="1" customWidth="1"/>
    <col min="961" max="961" width="11.04" hidden="false" outlineLevel="1" customWidth="1"/>
    <col min="962" max="962" width="11.04" hidden="false" outlineLevel="1" customWidth="1"/>
    <col min="963" max="963" width="11.04" hidden="false" outlineLevel="1" customWidth="1"/>
    <col min="964" max="964" width="11.04" hidden="false" outlineLevel="1" customWidth="1"/>
    <col min="965" max="965" width="11.04" hidden="false" outlineLevel="1" customWidth="1"/>
    <col min="966" max="966" width="11.04" hidden="false" outlineLevel="1" customWidth="1"/>
    <col min="967" max="967" width="11.04" hidden="false" outlineLevel="1" customWidth="1"/>
    <col min="968" max="968" width="11.04" hidden="false" outlineLevel="1" customWidth="1"/>
    <col min="969" max="969" width="11.04" hidden="false" outlineLevel="1" customWidth="1"/>
    <col min="970" max="970" width="11.04" hidden="false" outlineLevel="1" customWidth="1"/>
    <col min="971" max="971" width="11.04" hidden="false" outlineLevel="1" customWidth="1"/>
    <col min="972" max="972" width="11.04" hidden="false" outlineLevel="1" customWidth="1"/>
    <col min="973" max="973" width="11.04" hidden="false" outlineLevel="1" customWidth="1"/>
    <col min="974" max="974" width="11.04" hidden="false" outlineLevel="1" customWidth="1"/>
    <col min="975" max="975" width="11.04" hidden="false" outlineLevel="1" customWidth="1"/>
    <col min="976" max="976" width="11.04" hidden="false" outlineLevel="1" customWidth="1"/>
    <col min="977" max="977" width="11.04" hidden="false" outlineLevel="1" customWidth="1"/>
    <col min="978" max="978" width="11.04" hidden="false" outlineLevel="1" customWidth="1"/>
    <col min="979" max="979" width="11.04" hidden="false" outlineLevel="1" customWidth="1"/>
    <col min="980" max="980" width="11.04" hidden="false" outlineLevel="1" customWidth="1"/>
    <col min="981" max="981" width="11.04" hidden="false" outlineLevel="1" customWidth="1"/>
    <col min="982" max="982" width="11.04" hidden="false" outlineLevel="1" customWidth="1"/>
    <col min="983" max="983" width="11.04" hidden="false" outlineLevel="1" customWidth="1"/>
    <col min="984" max="984" width="11.04" hidden="false" outlineLevel="1" customWidth="1"/>
    <col min="985" max="985" width="11.04" hidden="false" outlineLevel="1" customWidth="1"/>
    <col min="986" max="986" width="11.04" hidden="false" outlineLevel="1" customWidth="1"/>
    <col min="987" max="987" width="11.04" hidden="false" outlineLevel="1" customWidth="1"/>
    <col min="988" max="988" width="11.04" hidden="false" outlineLevel="1" customWidth="1"/>
    <col min="989" max="989" width="11.04" hidden="false" outlineLevel="1" customWidth="1"/>
    <col min="990" max="990" width="11.04" hidden="false" outlineLevel="1" customWidth="1"/>
    <col min="991" max="991" width="11.04" hidden="false" outlineLevel="1" customWidth="1"/>
    <col min="992" max="992" width="11.04" hidden="false" outlineLevel="1" customWidth="1"/>
    <col min="993" max="993" width="11.04" hidden="false" outlineLevel="1" customWidth="1"/>
    <col min="994" max="994" width="11.04" hidden="false" outlineLevel="1" customWidth="1"/>
    <col min="995" max="995" width="11.04" hidden="false" outlineLevel="1" customWidth="1"/>
    <col min="996" max="996" width="11.04" hidden="false" outlineLevel="1" customWidth="1"/>
    <col min="997" max="997" width="11.04" hidden="false" outlineLevel="1" customWidth="1"/>
    <col min="998" max="998" width="11.04" hidden="false" outlineLevel="1" customWidth="1"/>
    <col min="999" max="999" width="11.04" hidden="false" outlineLevel="1" customWidth="1"/>
    <col min="1000" max="1000" width="11.04" hidden="false" outlineLevel="1" customWidth="1"/>
    <col min="1001" max="1001" width="11.04" hidden="false" outlineLevel="1" customWidth="1"/>
    <col min="1002" max="1002" width="11.04" hidden="false" outlineLevel="1" customWidth="1"/>
    <col min="1003" max="1003" width="11.04" hidden="false" outlineLevel="1" customWidth="1"/>
    <col min="1004" max="1004" width="11.04" hidden="false" outlineLevel="1" customWidth="1"/>
    <col min="1005" max="1005" width="11.04" hidden="false" outlineLevel="1" customWidth="1"/>
    <col min="1006" max="1006" width="11.04" hidden="false" outlineLevel="1" customWidth="1"/>
    <col min="1007" max="1007" width="11.04" hidden="false" outlineLevel="1" customWidth="1"/>
    <col min="1008" max="1008" width="11.04" hidden="false" outlineLevel="1" customWidth="1"/>
    <col min="1009" max="1009" width="11.04" hidden="false" outlineLevel="1" customWidth="1"/>
    <col min="1010" max="1010" width="11.04" hidden="false" outlineLevel="1" customWidth="1"/>
    <col min="1011" max="1011" width="11.04" hidden="false" outlineLevel="1" customWidth="1"/>
    <col min="1012" max="1012" width="11.04" hidden="false" outlineLevel="1" customWidth="1"/>
    <col min="1013" max="1013" width="11.04" hidden="false" outlineLevel="1" customWidth="1"/>
    <col min="1014" max="1014" width="11.04" hidden="false" outlineLevel="1" customWidth="1"/>
    <col min="1015" max="1015" width="11.04" hidden="false" outlineLevel="1" customWidth="1"/>
    <col min="1016" max="1016" width="11.04" hidden="false" outlineLevel="1" customWidth="1"/>
    <col min="1017" max="1017" width="11.04" hidden="false" outlineLevel="1" customWidth="1"/>
    <col min="1018" max="1018" width="11.04" hidden="false" outlineLevel="1" customWidth="1"/>
    <col min="1019" max="1019" width="11.04" hidden="false" outlineLevel="1" customWidth="1"/>
    <col min="1020" max="1020" width="11.04" hidden="false" outlineLevel="1" customWidth="1"/>
    <col min="1021" max="1021" width="11.04" hidden="false" outlineLevel="1" customWidth="1"/>
    <col min="1022" max="1022" width="11.04" hidden="false" outlineLevel="1" customWidth="1"/>
    <col min="1023" max="1023" width="11.04" hidden="false" outlineLevel="1" customWidth="1"/>
    <col min="1024" max="1024" width="11.04" hidden="false" outlineLevel="1" customWidth="1"/>
    <col min="1025" max="1025" width="11.04" hidden="false" outlineLevel="1" customWidth="1"/>
  </cols>
  <sheetData>
    <row r="1" ht="15.4" customHeight="1">
      <c r="A1" s="338" t="s">
        <v>75</v>
      </c>
      <c r="B1" s="338"/>
      <c r="C1" s="338"/>
      <c r="D1" s="338"/>
      <c r="E1" s="338"/>
      <c r="F1" s="338"/>
      <c r="G1" s="338"/>
      <c r="H1" s="338"/>
      <c r="I1" s="338"/>
    </row>
    <row r="2" ht="15.4" customHeight="1">
      <c r="A2" s="339"/>
      <c r="B2" s="339"/>
      <c r="C2" s="340"/>
      <c r="D2" s="340"/>
      <c r="E2" s="340"/>
      <c r="F2" s="340"/>
      <c r="G2" s="340"/>
      <c r="H2" s="315"/>
      <c r="I2" s="341"/>
    </row>
    <row r="3" ht="15.4" customHeight="1">
      <c r="A3" s="189" t="s">
        <v>76</v>
      </c>
      <c r="B3" s="189"/>
      <c r="C3" s="342"/>
      <c r="D3" s="342"/>
      <c r="E3" s="342"/>
      <c r="F3" s="343" t="s">
        <v>77</v>
      </c>
      <c r="G3" s="342"/>
      <c r="H3" s="342"/>
      <c r="I3" s="344"/>
    </row>
    <row r="4" ht="15.4" customHeight="1">
      <c r="A4" s="345"/>
      <c r="B4" s="346"/>
      <c r="C4" s="346"/>
      <c r="D4" s="346"/>
      <c r="E4" s="346"/>
      <c r="F4" s="346"/>
      <c r="G4" s="346"/>
      <c r="H4" s="346"/>
      <c r="I4" s="347"/>
    </row>
    <row r="5" ht="15.4" customHeight="1">
      <c r="A5" s="348" t="s">
        <v>78</v>
      </c>
      <c r="B5" s="348"/>
      <c r="C5" s="349"/>
      <c r="D5" s="349"/>
      <c r="E5" s="350"/>
      <c r="F5" s="351" t="s">
        <v>79</v>
      </c>
      <c r="G5" s="349"/>
      <c r="H5" s="349"/>
      <c r="I5" s="352"/>
    </row>
    <row r="6" ht="15.4" customHeight="1">
      <c r="A6" s="353"/>
      <c r="B6" s="353"/>
      <c r="C6" s="353"/>
      <c r="D6" s="353"/>
      <c r="E6" s="353"/>
    </row>
    <row r="7" ht="15.4" customHeight="1">
      <c r="A7" s="354" t="s">
        <v>80</v>
      </c>
      <c r="B7" s="354"/>
      <c r="C7" s="149"/>
      <c r="D7" s="355"/>
      <c r="E7" s="355"/>
      <c r="F7" s="346" t="s">
        <v>81</v>
      </c>
      <c r="G7" s="346"/>
      <c r="H7" s="356"/>
      <c r="I7" s="356"/>
    </row>
    <row r="8" ht="15.4" customHeight="1">
      <c r="A8" s="357" t="s">
        <v>82</v>
      </c>
      <c r="B8" s="355"/>
      <c r="C8" s="355"/>
      <c r="D8" s="355"/>
      <c r="E8" s="355"/>
      <c r="F8" s="346" t="s">
        <v>83</v>
      </c>
      <c r="G8" s="356"/>
      <c r="H8" s="356"/>
      <c r="I8" s="356"/>
    </row>
    <row r="9" ht="15.4" customHeight="1">
      <c r="A9" s="358" t="s">
        <v>84</v>
      </c>
      <c r="B9" s="355"/>
      <c r="C9" s="355"/>
      <c r="D9" s="355"/>
      <c r="E9" s="355"/>
      <c r="F9" s="346" t="s">
        <v>85</v>
      </c>
      <c r="G9" s="356"/>
      <c r="H9" s="356"/>
      <c r="I9" s="356"/>
    </row>
    <row r="10" ht="15.4" customHeight="1">
      <c r="A10" s="353"/>
      <c r="B10" s="353"/>
      <c r="C10" s="353"/>
      <c r="D10" s="353"/>
      <c r="E10" s="353"/>
      <c r="F10" s="353"/>
      <c r="G10" s="353"/>
      <c r="H10" s="353"/>
      <c r="I10" s="353"/>
    </row>
    <row r="12" ht="15.4" customHeight="1">
      <c r="A12" s="359" t="s">
        <v>86</v>
      </c>
    </row>
    <row r="13" ht="15.4" customHeight="1">
      <c r="A13" s="346" t="s">
        <v>87</v>
      </c>
      <c r="B13" s="346"/>
      <c r="C13" s="346"/>
      <c r="D13" s="360"/>
      <c r="E13" s="361"/>
      <c r="F13" s="361"/>
      <c r="G13" s="357" t="s">
        <v>88</v>
      </c>
      <c r="H13" s="356"/>
    </row>
    <row r="14" ht="15.4" customHeight="1">
      <c r="A14" s="346" t="s">
        <v>89</v>
      </c>
      <c r="B14" s="346"/>
      <c r="C14" s="346"/>
      <c r="D14" s="346"/>
      <c r="E14" s="361"/>
      <c r="F14" s="361"/>
      <c r="G14" s="353"/>
      <c r="H14" s="353"/>
      <c r="I14" s="353"/>
    </row>
    <row r="15" ht="15.4" customHeight="1">
      <c r="A15" s="346" t="s">
        <v>90</v>
      </c>
      <c r="B15" s="346"/>
      <c r="C15" s="346"/>
      <c r="D15" s="346"/>
      <c r="E15" s="361"/>
      <c r="F15" s="361"/>
      <c r="G15" s="353"/>
      <c r="H15" s="353"/>
      <c r="I15" s="353"/>
    </row>
    <row r="16" ht="15.4" customHeight="1">
      <c r="A16" s="346" t="s">
        <v>91</v>
      </c>
      <c r="B16" s="346"/>
      <c r="C16" s="346"/>
      <c r="D16" s="346"/>
      <c r="E16" s="361"/>
      <c r="F16" s="361"/>
      <c r="G16" s="353"/>
      <c r="H16" s="353"/>
      <c r="I16" s="353"/>
    </row>
    <row r="17" ht="15.4" customHeight="1">
      <c r="A17" s="353"/>
      <c r="B17" s="353"/>
      <c r="C17" s="353"/>
      <c r="D17" s="353"/>
      <c r="E17" s="353"/>
      <c r="F17" s="353"/>
      <c r="G17" s="353"/>
      <c r="H17" s="353"/>
      <c r="I17" s="353"/>
    </row>
    <row r="18" ht="15.4" customHeight="1">
      <c r="A18" s="353"/>
      <c r="B18" s="353"/>
      <c r="C18" s="353"/>
      <c r="D18" s="353"/>
      <c r="E18" s="353"/>
      <c r="F18" s="353"/>
      <c r="G18" s="353"/>
      <c r="H18" s="353"/>
      <c r="I18" s="353"/>
    </row>
    <row r="19" ht="15.4" customHeight="1">
      <c r="A19" s="359" t="s">
        <v>92</v>
      </c>
      <c r="B19" s="353"/>
      <c r="C19" s="353"/>
      <c r="D19" s="353"/>
      <c r="E19" s="353"/>
      <c r="F19" s="353"/>
      <c r="G19" s="353"/>
      <c r="H19" s="353"/>
      <c r="I19" s="353"/>
    </row>
    <row r="20" ht="15.4" customHeight="1">
      <c r="A20" s="357"/>
      <c r="B20" s="357" t="s">
        <v>93</v>
      </c>
      <c r="C20" s="353"/>
      <c r="D20" s="356"/>
      <c r="E20" s="341" t="s">
        <v>94</v>
      </c>
      <c r="F20" s="353"/>
    </row>
    <row r="21" ht="15.4" customHeight="1">
      <c r="A21" s="362" t="s">
        <v>95</v>
      </c>
      <c r="B21" s="363" t="s">
        <v>96</v>
      </c>
      <c r="C21" s="363"/>
      <c r="D21" s="364"/>
      <c r="E21" s="233" t="s">
        <v>94</v>
      </c>
      <c r="F21" s="365" t="s">
        <v>97</v>
      </c>
      <c r="G21" s="365"/>
      <c r="H21" s="356"/>
      <c r="I21" s="341" t="s">
        <v>94</v>
      </c>
    </row>
    <row r="22" ht="15.4" customHeight="1">
      <c r="A22" s="357"/>
      <c r="B22" s="363"/>
      <c r="C22" s="363"/>
      <c r="D22" s="364"/>
      <c r="E22" s="233"/>
      <c r="F22" s="365" t="s">
        <v>98</v>
      </c>
      <c r="G22" s="365"/>
      <c r="H22" s="356"/>
      <c r="I22" s="341" t="s">
        <v>94</v>
      </c>
    </row>
    <row r="23" ht="15.4" customHeight="1">
      <c r="A23" s="353"/>
      <c r="B23" s="365" t="s">
        <v>99</v>
      </c>
      <c r="C23" s="365"/>
      <c r="D23" s="356"/>
      <c r="E23" s="341" t="s">
        <v>94</v>
      </c>
      <c r="F23" s="365" t="s">
        <v>100</v>
      </c>
      <c r="G23" s="365"/>
      <c r="H23" s="356"/>
      <c r="I23" s="341" t="s">
        <v>94</v>
      </c>
    </row>
    <row r="24" ht="15.4" customHeight="1">
      <c r="A24" s="353"/>
      <c r="B24" s="365" t="s">
        <v>101</v>
      </c>
      <c r="C24" s="365"/>
      <c r="D24" s="356"/>
      <c r="E24" s="341" t="s">
        <v>94</v>
      </c>
      <c r="F24" s="353"/>
      <c r="G24" s="353"/>
      <c r="H24" s="353"/>
      <c r="I24" s="341"/>
    </row>
    <row r="25" ht="15.4" customHeight="1">
      <c r="B25" s="365" t="s">
        <v>102</v>
      </c>
      <c r="C25" s="365"/>
      <c r="D25" s="356"/>
      <c r="E25" s="341" t="s">
        <v>94</v>
      </c>
      <c r="F25" s="363" t="s">
        <v>103</v>
      </c>
      <c r="G25" s="363"/>
      <c r="H25" s="364"/>
      <c r="I25" s="233" t="s">
        <v>94</v>
      </c>
    </row>
    <row r="26" ht="15.4" customHeight="1">
      <c r="F26" s="363"/>
      <c r="G26" s="363"/>
      <c r="H26" s="364"/>
      <c r="I26" s="233"/>
    </row>
    <row r="27" ht="15.4" customHeight="1">
      <c r="A27" s="353"/>
      <c r="C27" s="357" t="s">
        <v>104</v>
      </c>
      <c r="D27" s="356"/>
      <c r="E27" s="353" t="s">
        <v>94</v>
      </c>
      <c r="F27" s="353"/>
      <c r="G27" s="353"/>
      <c r="H27" s="353"/>
      <c r="I27" s="353"/>
    </row>
    <row r="28" ht="15.4" customHeight="1">
      <c r="B28" s="353"/>
      <c r="C28" s="353"/>
      <c r="D28" s="353"/>
      <c r="E28" s="353"/>
      <c r="F28" s="353"/>
      <c r="G28" s="353"/>
      <c r="H28" s="353"/>
      <c r="I28" s="353"/>
    </row>
    <row r="29" ht="15.4" customHeight="1">
      <c r="A29" s="353"/>
      <c r="B29" s="353"/>
      <c r="C29" s="353"/>
      <c r="D29" s="353"/>
      <c r="E29" s="353"/>
      <c r="F29" s="353"/>
      <c r="G29" s="353"/>
      <c r="H29" s="353"/>
      <c r="I29" s="353"/>
    </row>
    <row r="30" ht="15.4" customHeight="1">
      <c r="A30" s="359" t="s">
        <v>105</v>
      </c>
      <c r="B30" s="341"/>
      <c r="C30" s="353"/>
      <c r="D30" s="353"/>
      <c r="E30" s="353"/>
      <c r="F30" s="353"/>
      <c r="G30" s="353"/>
      <c r="H30" s="353"/>
      <c r="I30" s="353"/>
    </row>
    <row r="31" ht="15.4" customHeight="1">
      <c r="A31" s="360"/>
      <c r="B31" s="360"/>
      <c r="C31" s="360"/>
      <c r="D31" s="360"/>
      <c r="E31" s="360"/>
      <c r="F31" s="360"/>
      <c r="G31" s="360"/>
      <c r="H31" s="360"/>
      <c r="I31" s="360"/>
    </row>
    <row r="32" ht="15.4" customHeight="1">
      <c r="A32" s="360"/>
      <c r="B32" s="360"/>
      <c r="C32" s="360"/>
      <c r="D32" s="360"/>
      <c r="E32" s="360"/>
      <c r="F32" s="360"/>
      <c r="G32" s="360"/>
      <c r="H32" s="360"/>
      <c r="I32" s="360"/>
    </row>
    <row r="33" ht="15.4" customHeight="1">
      <c r="A33" s="360"/>
      <c r="B33" s="360"/>
      <c r="C33" s="360"/>
      <c r="D33" s="360"/>
      <c r="E33" s="360"/>
      <c r="F33" s="360"/>
      <c r="G33" s="360"/>
      <c r="H33" s="360"/>
      <c r="I33" s="360"/>
    </row>
    <row r="34" ht="15.4" customHeight="1">
      <c r="A34" s="360"/>
      <c r="B34" s="360"/>
      <c r="C34" s="360"/>
      <c r="D34" s="360"/>
      <c r="E34" s="360"/>
      <c r="F34" s="360"/>
      <c r="G34" s="360"/>
      <c r="H34" s="360"/>
      <c r="I34" s="360"/>
    </row>
    <row r="35" ht="15.4" customHeight="1">
      <c r="A35" s="360"/>
      <c r="B35" s="360"/>
      <c r="C35" s="360"/>
      <c r="D35" s="360"/>
      <c r="E35" s="360"/>
      <c r="F35" s="360"/>
      <c r="G35" s="360"/>
      <c r="H35" s="360"/>
      <c r="I35" s="360"/>
    </row>
    <row r="36" ht="15.4" customHeight="1">
      <c r="A36" s="360"/>
      <c r="B36" s="360"/>
      <c r="C36" s="360"/>
      <c r="D36" s="360"/>
      <c r="E36" s="360"/>
      <c r="F36" s="360"/>
      <c r="G36" s="360"/>
      <c r="H36" s="360"/>
      <c r="I36" s="360"/>
    </row>
    <row r="37" ht="15.4" customHeight="1">
      <c r="A37" s="360"/>
      <c r="B37" s="360"/>
      <c r="C37" s="360"/>
      <c r="D37" s="360"/>
      <c r="E37" s="360"/>
      <c r="F37" s="360"/>
      <c r="G37" s="360"/>
      <c r="H37" s="360"/>
      <c r="I37" s="360"/>
    </row>
    <row r="38" ht="15.4" customHeight="1">
      <c r="A38" s="360"/>
      <c r="B38" s="360"/>
      <c r="C38" s="360"/>
      <c r="D38" s="360"/>
      <c r="E38" s="360"/>
      <c r="F38" s="360"/>
      <c r="G38" s="360"/>
      <c r="H38" s="360"/>
      <c r="I38" s="360"/>
    </row>
    <row r="39" ht="15.4" customHeight="1">
      <c r="A39" s="353"/>
      <c r="B39" s="353"/>
      <c r="C39" s="353"/>
      <c r="D39" s="353"/>
      <c r="E39" s="353"/>
      <c r="F39" s="353"/>
      <c r="G39" s="353"/>
      <c r="H39" s="366"/>
      <c r="I39" s="366"/>
    </row>
    <row r="40" ht="15.4" customHeight="1">
      <c r="A40" s="359" t="s">
        <v>106</v>
      </c>
      <c r="B40" s="353"/>
      <c r="C40" s="353"/>
      <c r="D40" s="353"/>
      <c r="H40" s="353"/>
      <c r="I40" s="353"/>
    </row>
    <row r="41" ht="15.4" customHeight="1">
      <c r="A41" s="357" t="s">
        <v>107</v>
      </c>
      <c r="B41" s="360"/>
      <c r="C41" s="360"/>
      <c r="G41" s="367" t="s">
        <v>108</v>
      </c>
      <c r="H41" s="367"/>
      <c r="I41" s="367"/>
    </row>
    <row r="42" ht="15.4" customHeight="1">
      <c r="A42" s="346" t="s">
        <v>109</v>
      </c>
      <c r="B42" s="346"/>
      <c r="C42" s="346"/>
      <c r="D42" s="360"/>
      <c r="E42" s="360"/>
      <c r="G42" s="368"/>
      <c r="H42" s="365" t="s">
        <v>110</v>
      </c>
      <c r="I42" s="369"/>
    </row>
    <row r="43" ht="15.4" customHeight="1">
      <c r="A43" s="346" t="s">
        <v>111</v>
      </c>
      <c r="B43" s="346"/>
      <c r="C43" s="346"/>
      <c r="D43" s="360"/>
      <c r="E43" s="360"/>
      <c r="G43" s="368"/>
      <c r="H43" s="365" t="s">
        <v>112</v>
      </c>
      <c r="I43" s="369"/>
    </row>
    <row r="44" ht="15.4" customHeight="1">
      <c r="A44" s="346" t="s">
        <v>113</v>
      </c>
      <c r="B44" s="346"/>
      <c r="C44" s="346"/>
      <c r="D44" s="360"/>
      <c r="E44" s="360"/>
      <c r="G44" s="368"/>
      <c r="H44" s="365" t="s">
        <v>114</v>
      </c>
      <c r="I44" s="369"/>
    </row>
    <row r="45" ht="15.4" customHeight="1">
      <c r="A45" s="346"/>
      <c r="B45" s="346"/>
      <c r="C45" s="346"/>
      <c r="D45" s="346"/>
      <c r="E45" s="340"/>
      <c r="F45" s="340"/>
      <c r="G45" s="368"/>
      <c r="H45" s="365" t="s">
        <v>115</v>
      </c>
      <c r="I45" s="369"/>
    </row>
    <row r="46" ht="15.4" customHeight="1">
      <c r="A46" s="357" t="s">
        <v>116</v>
      </c>
      <c r="B46" s="357"/>
      <c r="C46" s="357"/>
      <c r="D46" s="360"/>
      <c r="E46" s="360"/>
      <c r="G46" s="368"/>
      <c r="H46" s="365" t="s">
        <v>117</v>
      </c>
      <c r="I46" s="369"/>
    </row>
    <row r="47" ht="15.4" customHeight="1">
      <c r="A47" s="370" t="s">
        <v>118</v>
      </c>
      <c r="B47" s="360"/>
      <c r="C47" s="360"/>
      <c r="D47" s="360"/>
      <c r="E47" s="360"/>
      <c r="F47" s="360"/>
      <c r="G47" s="340"/>
      <c r="H47" s="365" t="s">
        <v>119</v>
      </c>
      <c r="I47" s="369"/>
    </row>
    <row r="48" ht="15.4" customHeight="1">
      <c r="A48" s="341"/>
      <c r="B48" s="360"/>
      <c r="C48" s="360"/>
      <c r="D48" s="360"/>
      <c r="E48" s="360"/>
      <c r="F48" s="360"/>
      <c r="G48" s="371"/>
      <c r="H48" s="371"/>
      <c r="I48" s="371"/>
    </row>
    <row r="49" ht="14.1" customHeight="1">
      <c r="A49" s="372" t="s">
        <v>120</v>
      </c>
      <c r="B49" s="372"/>
      <c r="C49" s="372"/>
      <c r="D49" s="372"/>
      <c r="E49" s="372"/>
      <c r="F49" s="372"/>
      <c r="G49" s="372"/>
      <c r="H49" s="372"/>
      <c r="I49" s="372"/>
    </row>
    <row r="50" ht="14.1" customHeight="1">
      <c r="A50" s="341"/>
      <c r="B50" s="371"/>
      <c r="C50" s="371"/>
      <c r="D50" s="371"/>
      <c r="E50" s="371"/>
      <c r="F50" s="371"/>
      <c r="G50" s="371"/>
      <c r="H50" s="371"/>
      <c r="I50" s="371"/>
    </row>
    <row r="51" ht="14.1" customHeight="1">
      <c r="A51" s="373" t="s">
        <v>121</v>
      </c>
      <c r="B51" s="47"/>
      <c r="C51" s="48"/>
      <c r="D51" s="49" t="s">
        <v>122</v>
      </c>
      <c r="E51" s="50" t="s">
        <v>123</v>
      </c>
      <c r="F51" s="51" t="s">
        <v>124</v>
      </c>
      <c r="G51" s="51"/>
      <c r="H51" s="50" t="s">
        <v>125</v>
      </c>
      <c r="I51" s="371"/>
    </row>
    <row r="52" ht="14.1" customHeight="1">
      <c r="A52" s="373"/>
      <c r="B52" s="52"/>
      <c r="C52" s="53"/>
      <c r="D52" s="49"/>
      <c r="E52" s="50"/>
      <c r="F52" s="51"/>
      <c r="G52" s="51"/>
      <c r="H52" s="50"/>
      <c r="I52" s="371"/>
    </row>
    <row r="53" ht="14.1" customHeight="1">
      <c r="A53" s="373"/>
      <c r="B53" s="54"/>
      <c r="C53" s="55"/>
      <c r="D53" s="49"/>
      <c r="E53" s="50"/>
      <c r="F53" s="51"/>
      <c r="G53" s="51"/>
      <c r="H53" s="50"/>
      <c r="I53" s="371"/>
    </row>
    <row r="54" ht="14.1" customHeight="1">
      <c r="A54" s="56" t="s">
        <v>126</v>
      </c>
      <c r="B54" s="56"/>
      <c r="C54" s="56"/>
      <c r="D54" s="57"/>
      <c r="E54" s="58"/>
      <c r="F54" s="371"/>
      <c r="G54" s="59"/>
      <c r="H54" s="58"/>
      <c r="I54" s="371"/>
    </row>
    <row r="55" ht="14.1" customHeight="1">
      <c r="A55" s="60"/>
      <c r="B55" s="61" t="s">
        <v>4</v>
      </c>
      <c r="C55" s="61"/>
      <c r="D55" s="62"/>
      <c r="E55" s="63"/>
      <c r="F55" s="64"/>
      <c r="G55" s="64"/>
      <c r="H55" s="63"/>
      <c r="I55" s="371"/>
    </row>
    <row r="56" ht="14.1" customHeight="1">
      <c r="A56" s="65"/>
      <c r="B56" s="66" t="s">
        <v>6</v>
      </c>
      <c r="C56" s="67"/>
      <c r="D56" s="62"/>
      <c r="E56" s="63"/>
      <c r="F56" s="64"/>
      <c r="G56" s="64"/>
      <c r="H56" s="63"/>
      <c r="I56" s="371"/>
    </row>
    <row r="57" ht="14.1" customHeight="1">
      <c r="A57" s="65"/>
      <c r="B57" s="66" t="s">
        <v>127</v>
      </c>
      <c r="C57" s="67"/>
      <c r="D57" s="62"/>
      <c r="E57" s="68"/>
      <c r="F57" s="64"/>
      <c r="G57" s="64"/>
      <c r="H57" s="63"/>
      <c r="I57" s="371"/>
    </row>
    <row r="58" ht="14.1" customHeight="1">
      <c r="A58" s="65"/>
      <c r="B58" s="66" t="s">
        <v>128</v>
      </c>
      <c r="C58" s="67"/>
      <c r="D58" s="62"/>
      <c r="E58" s="68"/>
      <c r="F58" s="64"/>
      <c r="G58" s="64"/>
      <c r="H58" s="63"/>
      <c r="I58" s="371"/>
    </row>
    <row r="59" ht="14.1" customHeight="1">
      <c r="A59" s="65"/>
      <c r="B59" s="66" t="s">
        <v>129</v>
      </c>
      <c r="C59" s="67"/>
      <c r="D59" s="62"/>
      <c r="E59" s="68"/>
      <c r="F59" s="64"/>
      <c r="G59" s="64"/>
      <c r="H59" s="63"/>
      <c r="I59" s="371"/>
    </row>
    <row r="60" ht="14.1" customHeight="1">
      <c r="A60" s="65"/>
      <c r="B60" s="66" t="s">
        <v>130</v>
      </c>
      <c r="C60" s="67"/>
      <c r="D60" s="62"/>
      <c r="E60" s="68"/>
      <c r="F60" s="64"/>
      <c r="G60" s="64"/>
      <c r="H60" s="63"/>
      <c r="I60" s="371"/>
    </row>
    <row r="61" ht="14.1" customHeight="1">
      <c r="A61" s="65"/>
      <c r="B61" s="66" t="s">
        <v>131</v>
      </c>
      <c r="C61" s="67"/>
      <c r="D61" s="62"/>
      <c r="E61" s="68"/>
      <c r="F61" s="64"/>
      <c r="G61" s="64"/>
      <c r="H61" s="63"/>
      <c r="I61" s="371"/>
    </row>
    <row r="62" ht="14.1" customHeight="1">
      <c r="A62" s="65"/>
      <c r="B62" s="66" t="s">
        <v>132</v>
      </c>
      <c r="C62" s="67"/>
      <c r="D62" s="62"/>
      <c r="E62" s="68"/>
      <c r="F62" s="64"/>
      <c r="G62" s="64"/>
      <c r="H62" s="63"/>
      <c r="I62" s="371"/>
    </row>
    <row r="63" ht="14.1" customHeight="1">
      <c r="A63" s="65"/>
      <c r="B63" s="66" t="s">
        <v>133</v>
      </c>
      <c r="C63" s="67"/>
      <c r="D63" s="62"/>
      <c r="E63" s="68"/>
      <c r="F63" s="64"/>
      <c r="G63" s="64"/>
      <c r="H63" s="63"/>
      <c r="I63" s="371"/>
    </row>
    <row r="64" ht="14.1" customHeight="1">
      <c r="A64" s="69"/>
      <c r="B64" s="66" t="s">
        <v>134</v>
      </c>
      <c r="C64" s="67"/>
      <c r="D64" s="62"/>
      <c r="E64" s="68"/>
      <c r="F64" s="64"/>
      <c r="G64" s="64"/>
      <c r="H64" s="63"/>
      <c r="I64" s="371"/>
    </row>
    <row r="65" ht="14.1" customHeight="1">
      <c r="A65" s="70" t="s">
        <v>135</v>
      </c>
      <c r="B65" s="70"/>
      <c r="C65" s="70"/>
      <c r="D65" s="71"/>
      <c r="E65" s="58"/>
      <c r="F65" s="72"/>
      <c r="G65" s="72"/>
      <c r="H65" s="58"/>
      <c r="I65" s="371"/>
    </row>
    <row r="66" ht="14.1" customHeight="1">
      <c r="A66" s="65"/>
      <c r="B66" s="66" t="s">
        <v>136</v>
      </c>
      <c r="C66" s="73"/>
      <c r="D66" s="62"/>
      <c r="E66" s="63"/>
      <c r="F66" s="64"/>
      <c r="G66" s="64"/>
      <c r="H66" s="63"/>
      <c r="I66" s="371"/>
    </row>
    <row r="67" ht="14.1" customHeight="1">
      <c r="A67" s="65"/>
      <c r="B67" s="66" t="s">
        <v>137</v>
      </c>
      <c r="C67" s="74"/>
      <c r="D67" s="62"/>
      <c r="E67" s="63"/>
      <c r="F67" s="64"/>
      <c r="G67" s="64"/>
      <c r="H67" s="63"/>
      <c r="I67" s="371"/>
    </row>
    <row r="68" ht="14.1" customHeight="1">
      <c r="A68" s="65"/>
      <c r="B68" s="66" t="s">
        <v>138</v>
      </c>
      <c r="C68" s="67"/>
      <c r="D68" s="62"/>
      <c r="E68" s="68"/>
      <c r="F68" s="64"/>
      <c r="G68" s="64"/>
      <c r="H68" s="63"/>
      <c r="I68" s="371"/>
    </row>
    <row r="69" ht="14.1" customHeight="1">
      <c r="A69" s="65"/>
      <c r="B69" s="66" t="s">
        <v>139</v>
      </c>
      <c r="C69" s="67"/>
      <c r="D69" s="62"/>
      <c r="E69" s="68"/>
      <c r="F69" s="64"/>
      <c r="G69" s="64"/>
      <c r="H69" s="63"/>
      <c r="I69" s="371"/>
    </row>
    <row r="70" ht="14.1" customHeight="1">
      <c r="A70" s="65"/>
      <c r="B70" s="75" t="s">
        <v>140</v>
      </c>
      <c r="C70" s="67"/>
      <c r="D70" s="62"/>
      <c r="E70" s="68"/>
      <c r="F70" s="64"/>
      <c r="G70" s="64"/>
      <c r="H70" s="63"/>
      <c r="I70" s="371"/>
    </row>
    <row r="71" ht="14.1" customHeight="1">
      <c r="A71" s="70" t="s">
        <v>141</v>
      </c>
      <c r="B71" s="70"/>
      <c r="C71" s="70"/>
      <c r="D71" s="71"/>
      <c r="E71" s="58"/>
      <c r="F71" s="72"/>
      <c r="G71" s="72"/>
      <c r="H71" s="58"/>
      <c r="I71" s="371"/>
    </row>
    <row r="72" ht="14.1" customHeight="1">
      <c r="A72" s="65"/>
      <c r="B72" s="66" t="s">
        <v>142</v>
      </c>
      <c r="C72" s="67"/>
      <c r="D72" s="62"/>
      <c r="E72" s="63"/>
      <c r="F72" s="64"/>
      <c r="G72" s="64"/>
      <c r="H72" s="63"/>
      <c r="I72" s="371"/>
    </row>
    <row r="73" ht="14.1" customHeight="1">
      <c r="A73" s="65"/>
      <c r="B73" s="66" t="s">
        <v>143</v>
      </c>
      <c r="C73" s="74"/>
      <c r="D73" s="62"/>
      <c r="E73" s="68"/>
      <c r="F73" s="64"/>
      <c r="G73" s="64"/>
      <c r="H73" s="63"/>
      <c r="I73" s="371"/>
    </row>
    <row r="74" ht="14.1" customHeight="1">
      <c r="A74" s="65"/>
      <c r="B74" s="66" t="s">
        <v>144</v>
      </c>
      <c r="C74" s="67"/>
      <c r="D74" s="62"/>
      <c r="E74" s="68"/>
      <c r="F74" s="64"/>
      <c r="G74" s="64"/>
      <c r="H74" s="63"/>
      <c r="I74" s="371"/>
    </row>
    <row r="75" ht="14.1" customHeight="1">
      <c r="A75" s="65"/>
      <c r="B75" s="66" t="s">
        <v>145</v>
      </c>
      <c r="C75" s="67"/>
      <c r="D75" s="62"/>
      <c r="E75" s="68"/>
      <c r="F75" s="64"/>
      <c r="G75" s="64"/>
      <c r="H75" s="63"/>
      <c r="I75" s="371"/>
    </row>
    <row r="76" ht="14.1" customHeight="1">
      <c r="A76" s="65"/>
      <c r="B76" s="75" t="s">
        <v>146</v>
      </c>
      <c r="C76" s="67"/>
      <c r="D76" s="62"/>
      <c r="E76" s="68"/>
      <c r="F76" s="64"/>
      <c r="G76" s="64"/>
      <c r="H76" s="63"/>
      <c r="I76" s="371"/>
    </row>
    <row r="77" ht="14.1" customHeight="1">
      <c r="A77" s="76" t="s">
        <v>147</v>
      </c>
      <c r="B77" s="76"/>
      <c r="C77" s="76"/>
      <c r="D77" s="71"/>
      <c r="E77" s="58"/>
      <c r="F77" s="72"/>
      <c r="G77" s="72"/>
      <c r="H77" s="58"/>
      <c r="I77" s="371"/>
    </row>
    <row r="78" ht="14.1" customHeight="1">
      <c r="A78" s="60"/>
      <c r="B78" s="66" t="s">
        <v>148</v>
      </c>
      <c r="C78" s="67"/>
      <c r="D78" s="62"/>
      <c r="E78" s="63"/>
      <c r="F78" s="64"/>
      <c r="G78" s="64"/>
      <c r="H78" s="63"/>
      <c r="I78" s="371"/>
    </row>
    <row r="79" ht="14.1" customHeight="1">
      <c r="A79" s="65"/>
      <c r="B79" s="66" t="s">
        <v>149</v>
      </c>
      <c r="C79" s="74"/>
      <c r="D79" s="62"/>
      <c r="E79" s="68"/>
      <c r="F79" s="64"/>
      <c r="G79" s="64"/>
      <c r="H79" s="63"/>
      <c r="I79" s="371"/>
    </row>
    <row r="80" ht="14.1" customHeight="1">
      <c r="A80" s="65"/>
      <c r="B80" s="66" t="s">
        <v>150</v>
      </c>
      <c r="C80" s="67"/>
      <c r="D80" s="62"/>
      <c r="E80" s="68"/>
      <c r="F80" s="64"/>
      <c r="G80" s="64"/>
      <c r="H80" s="63"/>
      <c r="I80" s="371"/>
    </row>
    <row r="81" ht="14.1" customHeight="1">
      <c r="A81" s="65"/>
      <c r="B81" s="66" t="s">
        <v>151</v>
      </c>
      <c r="C81" s="67"/>
      <c r="D81" s="62"/>
      <c r="E81" s="68"/>
      <c r="F81" s="64"/>
      <c r="G81" s="64"/>
      <c r="H81" s="63"/>
      <c r="I81" s="371"/>
    </row>
    <row r="82" ht="14.1" customHeight="1">
      <c r="A82" s="65"/>
      <c r="B82" s="66" t="s">
        <v>152</v>
      </c>
      <c r="C82" s="67"/>
      <c r="D82" s="62"/>
      <c r="E82" s="68"/>
      <c r="F82" s="64"/>
      <c r="G82" s="64"/>
      <c r="H82" s="63"/>
      <c r="I82" s="371"/>
    </row>
    <row r="83" ht="14.1" customHeight="1">
      <c r="A83" s="65"/>
      <c r="B83" s="66" t="s">
        <v>153</v>
      </c>
      <c r="C83" s="67"/>
      <c r="D83" s="62"/>
      <c r="E83" s="63"/>
      <c r="F83" s="64"/>
      <c r="G83" s="64"/>
      <c r="H83" s="63"/>
      <c r="I83" s="371"/>
    </row>
    <row r="84" ht="14.1" customHeight="1">
      <c r="A84" s="65"/>
      <c r="B84" s="66" t="s">
        <v>154</v>
      </c>
      <c r="C84" s="67"/>
      <c r="D84" s="62"/>
      <c r="E84" s="68"/>
      <c r="F84" s="64"/>
      <c r="G84" s="64"/>
      <c r="H84" s="63"/>
      <c r="I84" s="371"/>
    </row>
    <row r="85" ht="14.1" customHeight="1">
      <c r="A85" s="65"/>
      <c r="B85" s="66" t="s">
        <v>155</v>
      </c>
      <c r="C85" s="67"/>
      <c r="D85" s="62"/>
      <c r="E85" s="68"/>
      <c r="F85" s="64"/>
      <c r="G85" s="64"/>
      <c r="H85" s="63"/>
      <c r="I85" s="371"/>
    </row>
    <row r="86" ht="14.1" customHeight="1">
      <c r="A86" s="65"/>
      <c r="B86" s="66" t="s">
        <v>156</v>
      </c>
      <c r="C86" s="67"/>
      <c r="D86" s="62"/>
      <c r="E86" s="68"/>
      <c r="F86" s="64"/>
      <c r="G86" s="64"/>
      <c r="H86" s="63"/>
      <c r="I86" s="371"/>
    </row>
    <row r="87" ht="14.1" customHeight="1">
      <c r="A87" s="65"/>
      <c r="B87" s="66" t="s">
        <v>157</v>
      </c>
      <c r="C87" s="67"/>
      <c r="D87" s="62"/>
      <c r="E87" s="68"/>
      <c r="F87" s="64"/>
      <c r="G87" s="64"/>
      <c r="H87" s="63"/>
      <c r="I87" s="371"/>
    </row>
    <row r="88" ht="14.1" customHeight="1">
      <c r="A88" s="65"/>
      <c r="B88" s="66" t="s">
        <v>158</v>
      </c>
      <c r="C88" s="67"/>
      <c r="D88" s="62"/>
      <c r="E88" s="63"/>
      <c r="F88" s="64"/>
      <c r="G88" s="64"/>
      <c r="H88" s="63"/>
      <c r="I88" s="371"/>
    </row>
    <row r="89" ht="14.1" customHeight="1">
      <c r="A89" s="65"/>
      <c r="B89" s="66" t="s">
        <v>159</v>
      </c>
      <c r="C89" s="67"/>
      <c r="D89" s="62"/>
      <c r="E89" s="63"/>
      <c r="F89" s="64"/>
      <c r="G89" s="64"/>
      <c r="H89" s="63"/>
      <c r="I89" s="371"/>
    </row>
    <row r="90" ht="14.1" customHeight="1">
      <c r="A90" s="65"/>
      <c r="B90" s="66" t="s">
        <v>160</v>
      </c>
      <c r="C90" s="67"/>
      <c r="D90" s="62"/>
      <c r="E90" s="63"/>
      <c r="F90" s="64"/>
      <c r="G90" s="64"/>
      <c r="H90" s="63"/>
      <c r="I90" s="371"/>
    </row>
    <row r="91" ht="14.1" customHeight="1">
      <c r="A91" s="69"/>
      <c r="B91" s="66" t="s">
        <v>161</v>
      </c>
      <c r="C91" s="67"/>
      <c r="D91" s="62"/>
      <c r="E91" s="63"/>
      <c r="F91" s="64"/>
      <c r="G91" s="64"/>
      <c r="H91" s="63"/>
      <c r="I91" s="371"/>
    </row>
    <row r="92" ht="14.1" customHeight="1">
      <c r="A92" s="70" t="s">
        <v>162</v>
      </c>
      <c r="B92" s="70"/>
      <c r="C92" s="70"/>
      <c r="D92" s="71"/>
      <c r="E92" s="58"/>
      <c r="F92" s="72"/>
      <c r="G92" s="72"/>
      <c r="H92" s="58"/>
      <c r="I92" s="371"/>
    </row>
    <row r="93" ht="14.1" customHeight="1">
      <c r="A93" s="65"/>
      <c r="B93" s="66" t="s">
        <v>163</v>
      </c>
      <c r="C93" s="67"/>
      <c r="D93" s="62"/>
      <c r="E93" s="68"/>
      <c r="F93" s="64"/>
      <c r="G93" s="64"/>
      <c r="H93" s="63"/>
      <c r="I93" s="371"/>
    </row>
    <row r="94" ht="14.1" customHeight="1">
      <c r="A94" s="65"/>
      <c r="B94" s="66" t="s">
        <v>164</v>
      </c>
      <c r="C94" s="67"/>
      <c r="D94" s="62"/>
      <c r="E94" s="63"/>
      <c r="F94" s="77"/>
      <c r="G94" s="64"/>
      <c r="H94" s="63"/>
      <c r="I94" s="371"/>
    </row>
    <row r="95" ht="14.1" customHeight="1">
      <c r="A95" s="65"/>
      <c r="B95" s="66" t="s">
        <v>165</v>
      </c>
      <c r="C95" s="67"/>
      <c r="D95" s="62"/>
      <c r="E95" s="68"/>
      <c r="F95" s="64"/>
      <c r="G95" s="64"/>
      <c r="H95" s="63"/>
      <c r="I95" s="371"/>
    </row>
    <row r="96" ht="14.1" customHeight="1">
      <c r="A96" s="65"/>
      <c r="B96" s="66" t="s">
        <v>166</v>
      </c>
      <c r="C96" s="67"/>
      <c r="D96" s="62"/>
      <c r="E96" s="63"/>
      <c r="F96" s="77"/>
      <c r="G96" s="64"/>
      <c r="H96" s="63"/>
      <c r="I96" s="371"/>
    </row>
    <row r="97" ht="14.1" customHeight="1">
      <c r="A97" s="65"/>
      <c r="B97" s="75" t="s">
        <v>167</v>
      </c>
      <c r="C97" s="78"/>
      <c r="D97" s="79"/>
      <c r="E97" s="80"/>
      <c r="F97" s="81"/>
      <c r="G97" s="81"/>
      <c r="H97" s="82"/>
      <c r="I97" s="371"/>
    </row>
    <row r="98" ht="15.4" customHeight="1">
      <c r="A98" s="83"/>
      <c r="B98" s="78"/>
      <c r="C98" s="78"/>
      <c r="D98" s="84"/>
      <c r="E98" s="84"/>
      <c r="F98" s="85"/>
      <c r="G98" s="85"/>
      <c r="H98" s="84"/>
      <c r="I98" s="371"/>
    </row>
    <row r="99" ht="14.45" customHeight="1">
      <c r="A99" s="341"/>
      <c r="B99" s="371"/>
      <c r="C99" s="86" t="s">
        <v>168</v>
      </c>
      <c r="D99" s="86"/>
      <c r="E99" s="87" t="s">
        <v>169</v>
      </c>
      <c r="F99" s="87"/>
      <c r="G99" s="86" t="s">
        <v>170</v>
      </c>
      <c r="H99" s="86"/>
      <c r="I99" s="86"/>
    </row>
    <row r="100" ht="14.45" customHeight="1">
      <c r="A100" s="341"/>
      <c r="B100" s="371"/>
      <c r="C100" s="88" t="s">
        <v>171</v>
      </c>
      <c r="D100" s="89" t="s">
        <v>172</v>
      </c>
      <c r="E100" s="88" t="s">
        <v>173</v>
      </c>
      <c r="F100" s="90" t="s">
        <v>174</v>
      </c>
      <c r="G100" s="86"/>
      <c r="H100" s="86"/>
      <c r="I100" s="86"/>
    </row>
    <row r="101" ht="14.45" customHeight="1">
      <c r="A101" s="91" t="s">
        <v>126</v>
      </c>
      <c r="B101" s="92"/>
      <c r="C101" s="88"/>
      <c r="D101" s="89"/>
      <c r="E101" s="88"/>
      <c r="F101" s="90"/>
      <c r="G101" s="86"/>
      <c r="H101" s="86"/>
      <c r="I101" s="86"/>
    </row>
    <row r="102" ht="14.45" customHeight="1">
      <c r="A102" s="93" t="s">
        <v>4</v>
      </c>
      <c r="B102" s="93"/>
      <c r="C102" s="94"/>
      <c r="D102" s="95"/>
      <c r="E102" s="96"/>
      <c r="F102" s="97"/>
      <c r="G102" s="98"/>
      <c r="H102" s="98"/>
      <c r="I102" s="98"/>
    </row>
    <row r="103" ht="14.45" customHeight="1">
      <c r="A103" s="66" t="s">
        <v>6</v>
      </c>
      <c r="B103" s="67"/>
      <c r="C103" s="99"/>
      <c r="D103" s="63"/>
      <c r="E103" s="100"/>
      <c r="F103" s="77"/>
      <c r="G103" s="101"/>
      <c r="H103" s="101"/>
      <c r="I103" s="101"/>
    </row>
    <row r="104" ht="14.45" customHeight="1">
      <c r="A104" s="66" t="s">
        <v>127</v>
      </c>
      <c r="B104" s="67"/>
      <c r="C104" s="99"/>
      <c r="D104" s="63"/>
      <c r="E104" s="100"/>
      <c r="F104" s="77"/>
      <c r="G104" s="101"/>
      <c r="H104" s="101"/>
      <c r="I104" s="101"/>
    </row>
    <row r="105" ht="14.45" customHeight="1">
      <c r="A105" s="66" t="s">
        <v>128</v>
      </c>
      <c r="B105" s="67"/>
      <c r="C105" s="99"/>
      <c r="D105" s="63"/>
      <c r="E105" s="100"/>
      <c r="F105" s="77"/>
      <c r="G105" s="101"/>
      <c r="H105" s="101"/>
      <c r="I105" s="101"/>
    </row>
    <row r="106" ht="14.45" customHeight="1">
      <c r="A106" s="66" t="s">
        <v>129</v>
      </c>
      <c r="B106" s="67"/>
      <c r="C106" s="99"/>
      <c r="D106" s="63"/>
      <c r="E106" s="100"/>
      <c r="F106" s="77"/>
      <c r="G106" s="101"/>
      <c r="H106" s="101"/>
      <c r="I106" s="101"/>
    </row>
    <row r="107" ht="14.45" customHeight="1">
      <c r="A107" s="66" t="s">
        <v>130</v>
      </c>
      <c r="B107" s="67"/>
      <c r="C107" s="99"/>
      <c r="D107" s="63"/>
      <c r="E107" s="100"/>
      <c r="F107" s="77"/>
      <c r="G107" s="101"/>
      <c r="H107" s="101"/>
      <c r="I107" s="101"/>
    </row>
    <row r="108" ht="14.45" customHeight="1">
      <c r="A108" s="66" t="s">
        <v>131</v>
      </c>
      <c r="B108" s="67"/>
      <c r="C108" s="99"/>
      <c r="D108" s="63"/>
      <c r="E108" s="100"/>
      <c r="F108" s="77"/>
      <c r="G108" s="101"/>
      <c r="H108" s="101"/>
      <c r="I108" s="101"/>
    </row>
    <row r="109" ht="14.45" customHeight="1">
      <c r="A109" s="66" t="s">
        <v>132</v>
      </c>
      <c r="B109" s="67"/>
      <c r="C109" s="99"/>
      <c r="D109" s="63"/>
      <c r="E109" s="100"/>
      <c r="F109" s="77"/>
      <c r="G109" s="101"/>
      <c r="H109" s="101"/>
      <c r="I109" s="101"/>
    </row>
    <row r="110" ht="14.45" customHeight="1">
      <c r="A110" s="66" t="s">
        <v>133</v>
      </c>
      <c r="B110" s="67"/>
      <c r="C110" s="99"/>
      <c r="D110" s="63"/>
      <c r="E110" s="100"/>
      <c r="F110" s="77"/>
      <c r="G110" s="101"/>
      <c r="H110" s="101"/>
      <c r="I110" s="101"/>
    </row>
    <row r="111" ht="14.45" customHeight="1">
      <c r="A111" s="66" t="s">
        <v>134</v>
      </c>
      <c r="B111" s="67"/>
      <c r="C111" s="99"/>
      <c r="D111" s="63"/>
      <c r="E111" s="100"/>
      <c r="F111" s="77"/>
      <c r="G111" s="101"/>
      <c r="H111" s="101"/>
      <c r="I111" s="101"/>
    </row>
    <row r="112" ht="14.45" customHeight="1">
      <c r="A112" s="91" t="s">
        <v>135</v>
      </c>
      <c r="B112" s="92"/>
      <c r="C112" s="102"/>
      <c r="D112" s="58"/>
      <c r="E112" s="103"/>
      <c r="F112" s="104"/>
      <c r="G112" s="101"/>
      <c r="H112" s="101"/>
      <c r="I112" s="101"/>
    </row>
    <row r="113" ht="14.45" customHeight="1">
      <c r="A113" s="105" t="s">
        <v>136</v>
      </c>
      <c r="B113" s="106"/>
      <c r="C113" s="94"/>
      <c r="D113" s="95"/>
      <c r="E113" s="96"/>
      <c r="F113" s="97"/>
      <c r="G113" s="101"/>
      <c r="H113" s="101"/>
      <c r="I113" s="101"/>
    </row>
    <row r="114" ht="14.45" customHeight="1">
      <c r="A114" s="66" t="s">
        <v>137</v>
      </c>
      <c r="B114" s="74"/>
      <c r="C114" s="99"/>
      <c r="D114" s="63"/>
      <c r="E114" s="100"/>
      <c r="F114" s="77"/>
      <c r="G114" s="101"/>
      <c r="H114" s="101"/>
      <c r="I114" s="101"/>
    </row>
    <row r="115" ht="14.45" customHeight="1">
      <c r="A115" s="66" t="s">
        <v>138</v>
      </c>
      <c r="B115" s="67"/>
      <c r="C115" s="99"/>
      <c r="D115" s="63"/>
      <c r="E115" s="100"/>
      <c r="F115" s="77"/>
      <c r="G115" s="101"/>
      <c r="H115" s="101"/>
      <c r="I115" s="101"/>
    </row>
    <row r="116" ht="14.45" customHeight="1">
      <c r="A116" s="66" t="s">
        <v>139</v>
      </c>
      <c r="B116" s="67"/>
      <c r="C116" s="99"/>
      <c r="D116" s="63"/>
      <c r="E116" s="100"/>
      <c r="F116" s="77"/>
      <c r="G116" s="101"/>
      <c r="H116" s="101"/>
      <c r="I116" s="101"/>
    </row>
    <row r="117" ht="14.45" customHeight="1">
      <c r="A117" s="75" t="s">
        <v>140</v>
      </c>
      <c r="B117" s="78"/>
      <c r="C117" s="94"/>
      <c r="D117" s="95"/>
      <c r="E117" s="96"/>
      <c r="F117" s="97"/>
      <c r="G117" s="101"/>
      <c r="H117" s="101"/>
      <c r="I117" s="101"/>
    </row>
    <row r="118" ht="14.45" customHeight="1">
      <c r="A118" s="91" t="s">
        <v>141</v>
      </c>
      <c r="B118" s="92"/>
      <c r="C118" s="102"/>
      <c r="D118" s="58"/>
      <c r="E118" s="103"/>
      <c r="F118" s="104"/>
      <c r="G118" s="101"/>
      <c r="H118" s="101"/>
      <c r="I118" s="101"/>
    </row>
    <row r="119" ht="14.45" customHeight="1">
      <c r="A119" s="105" t="s">
        <v>142</v>
      </c>
      <c r="B119" s="107"/>
      <c r="C119" s="94"/>
      <c r="D119" s="95"/>
      <c r="E119" s="96"/>
      <c r="F119" s="97"/>
      <c r="G119" s="101"/>
      <c r="H119" s="101"/>
      <c r="I119" s="101"/>
    </row>
    <row r="120" ht="14.45" customHeight="1">
      <c r="A120" s="66" t="s">
        <v>143</v>
      </c>
      <c r="B120" s="74"/>
      <c r="C120" s="99"/>
      <c r="D120" s="95"/>
      <c r="E120" s="100"/>
      <c r="F120" s="77"/>
      <c r="G120" s="101"/>
      <c r="H120" s="101"/>
      <c r="I120" s="101"/>
    </row>
    <row r="121" ht="14.45" customHeight="1">
      <c r="A121" s="66" t="s">
        <v>144</v>
      </c>
      <c r="B121" s="67"/>
      <c r="C121" s="99"/>
      <c r="D121" s="95"/>
      <c r="E121" s="100"/>
      <c r="F121" s="77"/>
      <c r="G121" s="101"/>
      <c r="H121" s="101"/>
      <c r="I121" s="101"/>
    </row>
    <row r="122" ht="14.45" customHeight="1">
      <c r="A122" s="66" t="s">
        <v>175</v>
      </c>
      <c r="B122" s="67"/>
      <c r="C122" s="99"/>
      <c r="D122" s="95"/>
      <c r="E122" s="100"/>
      <c r="F122" s="77"/>
      <c r="G122" s="101"/>
      <c r="H122" s="101"/>
      <c r="I122" s="101"/>
    </row>
    <row r="123" ht="14.45" customHeight="1">
      <c r="A123" s="75" t="s">
        <v>146</v>
      </c>
      <c r="B123" s="78"/>
      <c r="C123" s="94"/>
      <c r="D123" s="95"/>
      <c r="E123" s="96"/>
      <c r="F123" s="97"/>
      <c r="G123" s="101"/>
      <c r="H123" s="101"/>
      <c r="I123" s="101"/>
    </row>
    <row r="124" ht="14.45" customHeight="1">
      <c r="A124" s="91" t="s">
        <v>147</v>
      </c>
      <c r="B124" s="92"/>
      <c r="C124" s="102"/>
      <c r="D124" s="58"/>
      <c r="E124" s="108" t="s">
        <v>176</v>
      </c>
      <c r="F124" s="108"/>
      <c r="G124" s="101"/>
      <c r="H124" s="101"/>
      <c r="I124" s="101"/>
    </row>
    <row r="125" ht="14.45" customHeight="1">
      <c r="A125" s="105" t="s">
        <v>148</v>
      </c>
      <c r="B125" s="107"/>
      <c r="C125" s="94"/>
      <c r="D125" s="95"/>
      <c r="E125" s="96"/>
      <c r="F125" s="97"/>
      <c r="G125" s="101"/>
      <c r="H125" s="101"/>
      <c r="I125" s="101"/>
    </row>
    <row r="126" ht="14.45" customHeight="1">
      <c r="A126" s="66" t="s">
        <v>149</v>
      </c>
      <c r="B126" s="74"/>
      <c r="C126" s="99"/>
      <c r="D126" s="63"/>
      <c r="E126" s="100"/>
      <c r="F126" s="77"/>
      <c r="G126" s="101"/>
      <c r="H126" s="101"/>
      <c r="I126" s="101"/>
    </row>
    <row r="127" ht="14.45" customHeight="1">
      <c r="A127" s="66" t="s">
        <v>150</v>
      </c>
      <c r="B127" s="67"/>
      <c r="C127" s="99"/>
      <c r="D127" s="63"/>
      <c r="E127" s="100"/>
      <c r="F127" s="77"/>
      <c r="G127" s="101"/>
      <c r="H127" s="101"/>
      <c r="I127" s="101"/>
    </row>
    <row r="128" ht="14.45" customHeight="1">
      <c r="A128" s="66" t="s">
        <v>151</v>
      </c>
      <c r="B128" s="67"/>
      <c r="C128" s="99"/>
      <c r="D128" s="63"/>
      <c r="E128" s="100"/>
      <c r="F128" s="77"/>
      <c r="G128" s="101"/>
      <c r="H128" s="101"/>
      <c r="I128" s="101"/>
    </row>
    <row r="129" ht="14.45" customHeight="1">
      <c r="A129" s="66" t="s">
        <v>152</v>
      </c>
      <c r="B129" s="67"/>
      <c r="C129" s="99"/>
      <c r="D129" s="63"/>
      <c r="E129" s="100"/>
      <c r="F129" s="77"/>
      <c r="G129" s="101"/>
      <c r="H129" s="101"/>
      <c r="I129" s="101"/>
    </row>
    <row r="130" ht="14.45" customHeight="1">
      <c r="A130" s="66" t="s">
        <v>153</v>
      </c>
      <c r="B130" s="67"/>
      <c r="C130" s="99"/>
      <c r="D130" s="63"/>
      <c r="E130" s="100"/>
      <c r="F130" s="77"/>
      <c r="G130" s="101"/>
      <c r="H130" s="101"/>
      <c r="I130" s="101"/>
    </row>
    <row r="131" ht="14.45" customHeight="1">
      <c r="A131" s="66" t="s">
        <v>154</v>
      </c>
      <c r="B131" s="67"/>
      <c r="C131" s="99"/>
      <c r="D131" s="63"/>
      <c r="E131" s="100"/>
      <c r="F131" s="77"/>
      <c r="G131" s="101"/>
      <c r="H131" s="101"/>
      <c r="I131" s="101"/>
    </row>
    <row r="132" ht="14.45" customHeight="1">
      <c r="A132" s="66" t="s">
        <v>155</v>
      </c>
      <c r="B132" s="67"/>
      <c r="C132" s="99"/>
      <c r="D132" s="63"/>
      <c r="E132" s="100"/>
      <c r="F132" s="77"/>
      <c r="G132" s="101"/>
      <c r="H132" s="101"/>
      <c r="I132" s="101"/>
    </row>
    <row r="133" ht="14.45" customHeight="1">
      <c r="A133" s="66" t="s">
        <v>156</v>
      </c>
      <c r="B133" s="67"/>
      <c r="C133" s="99"/>
      <c r="D133" s="63"/>
      <c r="E133" s="100"/>
      <c r="F133" s="77"/>
      <c r="G133" s="101"/>
      <c r="H133" s="101"/>
      <c r="I133" s="101"/>
    </row>
    <row r="134" ht="14.45" customHeight="1">
      <c r="A134" s="66" t="s">
        <v>157</v>
      </c>
      <c r="B134" s="67"/>
      <c r="C134" s="99"/>
      <c r="D134" s="63"/>
      <c r="E134" s="100"/>
      <c r="F134" s="77"/>
      <c r="G134" s="101"/>
      <c r="H134" s="101"/>
      <c r="I134" s="101"/>
    </row>
    <row r="135" ht="14.45" customHeight="1">
      <c r="A135" s="66" t="s">
        <v>158</v>
      </c>
      <c r="B135" s="67"/>
      <c r="C135" s="99"/>
      <c r="D135" s="63"/>
      <c r="E135" s="100"/>
      <c r="F135" s="77"/>
      <c r="G135" s="101"/>
      <c r="H135" s="101"/>
      <c r="I135" s="101"/>
    </row>
    <row r="136" ht="14.45" customHeight="1">
      <c r="A136" s="66" t="s">
        <v>159</v>
      </c>
      <c r="B136" s="67"/>
      <c r="C136" s="99"/>
      <c r="D136" s="63"/>
      <c r="E136" s="100"/>
      <c r="F136" s="77"/>
      <c r="G136" s="101"/>
      <c r="H136" s="101"/>
      <c r="I136" s="101"/>
    </row>
    <row r="137" ht="14.45" customHeight="1">
      <c r="A137" s="66" t="s">
        <v>160</v>
      </c>
      <c r="B137" s="67"/>
      <c r="C137" s="99"/>
      <c r="D137" s="63"/>
      <c r="E137" s="100"/>
      <c r="F137" s="77"/>
      <c r="G137" s="101"/>
      <c r="H137" s="101"/>
      <c r="I137" s="101"/>
    </row>
    <row r="138" ht="14.45" customHeight="1">
      <c r="A138" s="75" t="s">
        <v>161</v>
      </c>
      <c r="B138" s="78"/>
      <c r="C138" s="94"/>
      <c r="D138" s="95"/>
      <c r="E138" s="96"/>
      <c r="F138" s="97"/>
      <c r="G138" s="101"/>
      <c r="H138" s="101"/>
      <c r="I138" s="101"/>
    </row>
    <row r="139" ht="14.45" customHeight="1">
      <c r="A139" s="91" t="s">
        <v>162</v>
      </c>
      <c r="B139" s="92"/>
      <c r="C139" s="102"/>
      <c r="D139" s="58"/>
      <c r="E139" s="103"/>
      <c r="F139" s="104"/>
      <c r="G139" s="101"/>
      <c r="H139" s="101"/>
      <c r="I139" s="101"/>
    </row>
    <row r="140" ht="14.45" customHeight="1">
      <c r="A140" s="105" t="s">
        <v>177</v>
      </c>
      <c r="B140" s="107"/>
      <c r="C140" s="99"/>
      <c r="D140" s="63"/>
      <c r="E140" s="100"/>
      <c r="F140" s="109"/>
      <c r="G140" s="101"/>
      <c r="H140" s="101"/>
      <c r="I140" s="101"/>
    </row>
    <row r="141" ht="14.45" customHeight="1">
      <c r="A141" s="66" t="s">
        <v>178</v>
      </c>
      <c r="B141" s="67"/>
      <c r="C141" s="99"/>
      <c r="D141" s="63"/>
      <c r="E141" s="100"/>
      <c r="F141" s="77"/>
      <c r="G141" s="101"/>
      <c r="H141" s="101"/>
      <c r="I141" s="101"/>
    </row>
    <row r="142" ht="14.45" customHeight="1">
      <c r="A142" s="66" t="s">
        <v>167</v>
      </c>
      <c r="B142" s="67"/>
      <c r="C142" s="99"/>
      <c r="D142" s="63"/>
      <c r="E142" s="100"/>
      <c r="F142" s="77"/>
      <c r="G142" s="101"/>
      <c r="H142" s="101"/>
      <c r="I142" s="101"/>
    </row>
    <row r="143" ht="14.45" customHeight="1">
      <c r="A143" s="66"/>
      <c r="B143" s="67"/>
      <c r="C143" s="99"/>
      <c r="D143" s="63"/>
      <c r="E143" s="110"/>
      <c r="F143" s="110"/>
      <c r="G143" s="110"/>
      <c r="H143" s="110"/>
      <c r="I143" s="110"/>
    </row>
    <row r="144" ht="14.45" customHeight="1">
      <c r="A144" s="341"/>
      <c r="B144" s="371"/>
      <c r="C144" s="371"/>
      <c r="D144" s="371"/>
      <c r="E144" s="371"/>
      <c r="F144" s="371"/>
      <c r="G144" s="371"/>
      <c r="H144" s="371"/>
      <c r="I144" s="371"/>
    </row>
    <row r="145" ht="14.45" customHeight="1">
      <c r="A145" s="111"/>
      <c r="B145" s="112"/>
      <c r="C145" s="111"/>
      <c r="D145" s="113" t="s">
        <v>179</v>
      </c>
      <c r="E145" s="113"/>
      <c r="F145" s="111"/>
      <c r="G145" s="113" t="s">
        <v>180</v>
      </c>
      <c r="H145" s="113"/>
      <c r="I145" s="371"/>
    </row>
    <row r="146" ht="14.45" customHeight="1">
      <c r="A146" s="114" t="s">
        <v>181</v>
      </c>
      <c r="B146" s="114"/>
      <c r="C146" s="115" t="s">
        <v>182</v>
      </c>
      <c r="D146" s="116"/>
      <c r="E146" s="117" t="s">
        <v>183</v>
      </c>
      <c r="F146" s="115" t="s">
        <v>182</v>
      </c>
      <c r="G146" s="116"/>
      <c r="H146" s="117" t="s">
        <v>184</v>
      </c>
      <c r="I146" s="371"/>
    </row>
    <row r="147" ht="14.45" customHeight="1">
      <c r="A147" s="114"/>
      <c r="B147" s="114"/>
      <c r="C147" s="115" t="s">
        <v>185</v>
      </c>
      <c r="D147" s="116"/>
      <c r="E147" s="117" t="s">
        <v>183</v>
      </c>
      <c r="F147" s="115" t="s">
        <v>185</v>
      </c>
      <c r="G147" s="116"/>
      <c r="H147" s="117" t="s">
        <v>184</v>
      </c>
      <c r="I147" s="371"/>
    </row>
    <row r="148" ht="14.45" customHeight="1">
      <c r="A148" s="114"/>
      <c r="B148" s="114"/>
      <c r="C148" s="115" t="s">
        <v>186</v>
      </c>
      <c r="D148" s="116"/>
      <c r="E148" s="117" t="s">
        <v>183</v>
      </c>
      <c r="F148" s="115" t="s">
        <v>186</v>
      </c>
      <c r="G148" s="116"/>
      <c r="H148" s="117" t="s">
        <v>184</v>
      </c>
      <c r="I148" s="371"/>
    </row>
    <row r="149" ht="14.45" customHeight="1">
      <c r="A149" s="114"/>
      <c r="B149" s="114"/>
      <c r="C149" s="118"/>
      <c r="D149" s="116"/>
      <c r="E149" s="117"/>
      <c r="F149" s="119"/>
      <c r="G149" s="116"/>
      <c r="H149" s="117"/>
      <c r="I149" s="371"/>
    </row>
    <row r="150" ht="15.4" customHeight="1">
      <c r="A150" s="341"/>
      <c r="B150" s="371"/>
      <c r="C150" s="120" t="s">
        <v>187</v>
      </c>
      <c r="D150" s="120"/>
      <c r="E150" s="371"/>
      <c r="F150" s="371"/>
      <c r="G150" s="120" t="s">
        <v>188</v>
      </c>
      <c r="H150" s="120"/>
      <c r="I150" s="371"/>
    </row>
    <row r="151" ht="15.4" customHeight="1">
      <c r="A151" s="341"/>
      <c r="B151" s="371"/>
      <c r="C151" s="121" t="s">
        <v>189</v>
      </c>
      <c r="D151" s="122" t="s">
        <v>190</v>
      </c>
      <c r="E151" s="371"/>
      <c r="F151" s="371"/>
      <c r="G151" s="121" t="s">
        <v>189</v>
      </c>
      <c r="H151" s="122" t="s">
        <v>190</v>
      </c>
      <c r="I151" s="371"/>
    </row>
    <row r="152" ht="8.25" customHeight="1">
      <c r="A152" s="341"/>
      <c r="B152" s="371"/>
      <c r="C152" s="121"/>
      <c r="D152" s="122"/>
      <c r="E152" s="371"/>
      <c r="F152" s="371"/>
      <c r="G152" s="121"/>
      <c r="H152" s="122"/>
      <c r="I152" s="371"/>
    </row>
    <row r="153" ht="15.4" customHeight="1">
      <c r="A153" s="123" t="s">
        <v>191</v>
      </c>
      <c r="B153" s="68"/>
      <c r="C153" s="99"/>
      <c r="D153" s="63"/>
      <c r="E153" s="124" t="s">
        <v>192</v>
      </c>
      <c r="F153" s="124"/>
      <c r="G153" s="99"/>
      <c r="H153" s="63"/>
      <c r="I153" s="371"/>
    </row>
    <row r="154" ht="15.4" customHeight="1">
      <c r="A154" s="125" t="s">
        <v>95</v>
      </c>
      <c r="B154" s="126" t="s">
        <v>193</v>
      </c>
      <c r="C154" s="99"/>
      <c r="D154" s="63"/>
      <c r="E154" s="124" t="s">
        <v>194</v>
      </c>
      <c r="F154" s="124"/>
      <c r="G154" s="99"/>
      <c r="H154" s="63"/>
      <c r="I154" s="371"/>
    </row>
    <row r="155" ht="15.4" customHeight="1">
      <c r="A155" s="125"/>
      <c r="B155" s="126" t="s">
        <v>195</v>
      </c>
      <c r="C155" s="99"/>
      <c r="D155" s="63"/>
      <c r="E155" s="124" t="s">
        <v>196</v>
      </c>
      <c r="F155" s="124"/>
      <c r="G155" s="99"/>
      <c r="H155" s="63"/>
      <c r="I155" s="371"/>
    </row>
    <row r="156" ht="15.4" customHeight="1">
      <c r="A156" s="125"/>
      <c r="B156" s="126" t="s">
        <v>197</v>
      </c>
      <c r="C156" s="99"/>
      <c r="D156" s="63"/>
      <c r="E156" s="124" t="s">
        <v>198</v>
      </c>
      <c r="F156" s="124"/>
      <c r="G156" s="99"/>
      <c r="H156" s="63"/>
      <c r="I156" s="371"/>
    </row>
    <row r="157" ht="15.4" customHeight="1">
      <c r="A157" s="123" t="s">
        <v>199</v>
      </c>
      <c r="B157" s="127"/>
      <c r="C157" s="99"/>
      <c r="D157" s="63"/>
      <c r="E157" s="124" t="s">
        <v>200</v>
      </c>
      <c r="F157" s="124"/>
      <c r="G157" s="99"/>
      <c r="H157" s="63"/>
      <c r="I157" s="371"/>
    </row>
    <row r="158" ht="15.4" customHeight="1">
      <c r="A158" s="123" t="s">
        <v>201</v>
      </c>
      <c r="B158" s="68"/>
      <c r="C158" s="99"/>
      <c r="D158" s="63"/>
      <c r="E158" s="124" t="s">
        <v>202</v>
      </c>
      <c r="F158" s="124"/>
      <c r="G158" s="99"/>
      <c r="H158" s="63"/>
      <c r="I158" s="371"/>
    </row>
    <row r="159" ht="15.4" customHeight="1">
      <c r="A159" s="125" t="s">
        <v>95</v>
      </c>
      <c r="B159" s="126" t="s">
        <v>203</v>
      </c>
      <c r="C159" s="99"/>
      <c r="D159" s="63"/>
      <c r="E159" s="124" t="s">
        <v>204</v>
      </c>
      <c r="F159" s="124"/>
      <c r="G159" s="99"/>
      <c r="H159" s="63"/>
      <c r="I159" s="371"/>
    </row>
    <row r="160" ht="15.4" customHeight="1">
      <c r="A160" s="128"/>
      <c r="B160" s="126" t="s">
        <v>205</v>
      </c>
      <c r="C160" s="99"/>
      <c r="D160" s="63"/>
      <c r="E160" s="124" t="s">
        <v>206</v>
      </c>
      <c r="F160" s="124"/>
      <c r="G160" s="99"/>
      <c r="H160" s="63"/>
      <c r="I160" s="371"/>
    </row>
    <row r="161" ht="15.4" customHeight="1">
      <c r="A161" s="128"/>
      <c r="B161" s="126" t="s">
        <v>207</v>
      </c>
      <c r="C161" s="99"/>
      <c r="D161" s="63"/>
      <c r="E161" s="124" t="s">
        <v>208</v>
      </c>
      <c r="F161" s="124"/>
      <c r="G161" s="99"/>
      <c r="H161" s="63"/>
      <c r="I161" s="371"/>
    </row>
    <row r="162" ht="15.4" customHeight="1">
      <c r="A162" s="128"/>
      <c r="B162" s="126" t="s">
        <v>209</v>
      </c>
      <c r="C162" s="99"/>
      <c r="D162" s="63"/>
      <c r="E162" s="124" t="s">
        <v>210</v>
      </c>
      <c r="F162" s="124"/>
      <c r="G162" s="99"/>
      <c r="H162" s="63"/>
      <c r="I162" s="371"/>
    </row>
    <row r="163" ht="15.4" customHeight="1">
      <c r="A163" s="128"/>
      <c r="B163" s="126" t="s">
        <v>211</v>
      </c>
      <c r="C163" s="99"/>
      <c r="D163" s="63"/>
      <c r="E163" s="124" t="s">
        <v>212</v>
      </c>
      <c r="F163" s="124"/>
      <c r="G163" s="99"/>
      <c r="H163" s="63"/>
      <c r="I163" s="371"/>
    </row>
    <row r="164" ht="15.4" customHeight="1">
      <c r="A164" s="128"/>
      <c r="B164" s="126" t="s">
        <v>213</v>
      </c>
      <c r="C164" s="99"/>
      <c r="D164" s="63"/>
      <c r="E164" s="124" t="s">
        <v>214</v>
      </c>
      <c r="F164" s="124"/>
      <c r="G164" s="99"/>
      <c r="H164" s="63"/>
      <c r="I164" s="371"/>
    </row>
    <row r="165" ht="15.4" customHeight="1">
      <c r="A165" s="128"/>
      <c r="B165" s="129" t="s">
        <v>215</v>
      </c>
      <c r="C165" s="99"/>
      <c r="D165" s="63"/>
      <c r="E165" s="124" t="s">
        <v>216</v>
      </c>
      <c r="F165" s="124"/>
      <c r="G165" s="99"/>
      <c r="H165" s="63"/>
      <c r="I165" s="371"/>
    </row>
    <row r="166" ht="15.4" customHeight="1">
      <c r="A166" s="123" t="s">
        <v>217</v>
      </c>
      <c r="B166" s="127"/>
      <c r="C166" s="99"/>
      <c r="D166" s="63"/>
      <c r="E166" s="124" t="s">
        <v>218</v>
      </c>
      <c r="F166" s="124"/>
      <c r="G166" s="99"/>
      <c r="H166" s="63"/>
      <c r="I166" s="371"/>
    </row>
    <row r="167" ht="15.4" customHeight="1">
      <c r="A167" s="123" t="s">
        <v>219</v>
      </c>
      <c r="B167" s="130" t="s">
        <v>95</v>
      </c>
      <c r="C167" s="99"/>
      <c r="D167" s="63"/>
      <c r="E167" s="74"/>
      <c r="F167" s="68"/>
      <c r="G167" s="99"/>
      <c r="H167" s="63"/>
      <c r="I167" s="371"/>
    </row>
    <row r="168" ht="15.4" customHeight="1">
      <c r="A168" s="131" t="s">
        <v>220</v>
      </c>
      <c r="B168" s="131"/>
      <c r="C168" s="99"/>
      <c r="D168" s="63"/>
      <c r="E168" s="74"/>
      <c r="F168" s="68"/>
      <c r="G168" s="99"/>
      <c r="H168" s="63"/>
      <c r="I168" s="371"/>
    </row>
    <row r="169" ht="15.4" customHeight="1">
      <c r="A169" s="131" t="s">
        <v>221</v>
      </c>
      <c r="B169" s="131"/>
      <c r="C169" s="99"/>
      <c r="D169" s="63"/>
      <c r="E169" s="74"/>
      <c r="F169" s="68"/>
      <c r="G169" s="99"/>
      <c r="H169" s="63"/>
      <c r="I169" s="371"/>
    </row>
    <row r="170" ht="15.4" customHeight="1">
      <c r="A170" s="131" t="s">
        <v>222</v>
      </c>
      <c r="B170" s="131"/>
      <c r="C170" s="99"/>
      <c r="D170" s="63"/>
      <c r="E170" s="74"/>
      <c r="F170" s="68"/>
      <c r="G170" s="99"/>
      <c r="H170" s="63"/>
      <c r="I170" s="371"/>
    </row>
    <row r="171" ht="15.4" customHeight="1">
      <c r="A171" s="132" t="s">
        <v>223</v>
      </c>
      <c r="B171" s="132"/>
      <c r="C171" s="99"/>
      <c r="D171" s="63"/>
      <c r="E171" s="371"/>
      <c r="F171" s="371"/>
      <c r="G171" s="371"/>
      <c r="H171" s="371"/>
      <c r="I171" s="371"/>
    </row>
    <row r="172" ht="15.4" customHeight="1">
      <c r="A172" s="131" t="s">
        <v>224</v>
      </c>
      <c r="B172" s="131"/>
      <c r="C172" s="99"/>
      <c r="D172" s="63"/>
      <c r="E172" s="371"/>
      <c r="F172" s="371"/>
      <c r="G172" s="371"/>
      <c r="H172" s="371"/>
      <c r="I172" s="371"/>
    </row>
    <row r="173" ht="15.4" customHeight="1">
      <c r="A173" s="131" t="s">
        <v>225</v>
      </c>
      <c r="B173" s="131"/>
      <c r="C173" s="99"/>
      <c r="D173" s="63"/>
      <c r="E173" s="371"/>
      <c r="F173" s="133" t="s">
        <v>226</v>
      </c>
      <c r="G173" s="133"/>
      <c r="H173" s="133"/>
      <c r="I173" s="371" t="s">
        <v>227</v>
      </c>
    </row>
    <row r="174" ht="15.4" customHeight="1">
      <c r="A174" s="131" t="s">
        <v>228</v>
      </c>
      <c r="B174" s="131"/>
      <c r="C174" s="99"/>
      <c r="D174" s="63"/>
      <c r="E174" s="371"/>
      <c r="F174" s="134" t="s">
        <v>229</v>
      </c>
      <c r="G174" s="134"/>
      <c r="H174" s="134"/>
      <c r="I174" s="371" t="s">
        <v>230</v>
      </c>
    </row>
    <row r="175" ht="15.4" customHeight="1">
      <c r="A175" s="131" t="s">
        <v>231</v>
      </c>
      <c r="B175" s="131"/>
      <c r="C175" s="99"/>
      <c r="D175" s="63"/>
      <c r="E175" s="371"/>
      <c r="F175" s="134"/>
      <c r="G175" s="134"/>
      <c r="H175" s="134"/>
      <c r="I175" s="371"/>
    </row>
    <row r="176" ht="15.4" customHeight="1">
      <c r="A176" s="131" t="s">
        <v>232</v>
      </c>
      <c r="B176" s="131"/>
      <c r="C176" s="99"/>
      <c r="D176" s="63"/>
      <c r="E176" s="371"/>
      <c r="F176" s="134"/>
      <c r="G176" s="134"/>
      <c r="H176" s="134"/>
      <c r="I176" s="371"/>
    </row>
    <row r="177" ht="15.4" customHeight="1">
      <c r="A177" s="131" t="s">
        <v>233</v>
      </c>
      <c r="B177" s="131"/>
      <c r="C177" s="99"/>
      <c r="D177" s="63"/>
      <c r="E177" s="371"/>
      <c r="F177" s="371"/>
      <c r="G177" s="371"/>
      <c r="H177" s="371"/>
      <c r="I177" s="371"/>
    </row>
    <row r="178" ht="15.4" customHeight="1">
      <c r="A178" s="123" t="s">
        <v>234</v>
      </c>
      <c r="B178" s="135"/>
      <c r="C178" s="99"/>
      <c r="D178" s="63"/>
      <c r="E178" s="371"/>
      <c r="F178" s="371"/>
      <c r="G178" s="371"/>
      <c r="H178" s="371"/>
      <c r="I178" s="371"/>
    </row>
    <row r="179" ht="15.4" customHeight="1">
      <c r="A179" s="123" t="s">
        <v>235</v>
      </c>
      <c r="B179" s="127"/>
      <c r="C179" s="99"/>
      <c r="D179" s="63"/>
      <c r="E179" s="371"/>
      <c r="F179" s="371"/>
      <c r="G179" s="371"/>
      <c r="H179" s="371"/>
      <c r="I179" s="371"/>
    </row>
    <row r="180" ht="15.4" customHeight="1">
      <c r="A180" s="123" t="s">
        <v>236</v>
      </c>
      <c r="B180" s="127"/>
      <c r="C180" s="99"/>
      <c r="D180" s="63"/>
      <c r="E180" s="371"/>
      <c r="F180" s="371"/>
      <c r="G180" s="371"/>
      <c r="H180" s="371"/>
      <c r="I180" s="371"/>
    </row>
    <row r="181" ht="15.4" customHeight="1">
      <c r="A181" s="123" t="s">
        <v>237</v>
      </c>
      <c r="B181" s="127"/>
      <c r="C181" s="99"/>
      <c r="D181" s="63"/>
      <c r="E181" s="371"/>
      <c r="F181" s="371"/>
      <c r="G181" s="371"/>
      <c r="H181" s="371"/>
      <c r="I181" s="371"/>
    </row>
    <row r="182" ht="15.4" customHeight="1">
      <c r="A182" s="123" t="s">
        <v>238</v>
      </c>
      <c r="B182" s="127"/>
      <c r="C182" s="99"/>
      <c r="D182" s="63"/>
      <c r="E182" s="371"/>
      <c r="F182" s="371"/>
      <c r="G182" s="371"/>
      <c r="H182" s="371"/>
      <c r="I182" s="371"/>
    </row>
    <row r="183" ht="15.4" customHeight="1">
      <c r="A183" s="123" t="s">
        <v>239</v>
      </c>
      <c r="B183" s="68"/>
      <c r="C183" s="99"/>
      <c r="D183" s="63"/>
      <c r="E183" s="371"/>
      <c r="F183" s="371"/>
      <c r="G183" s="371"/>
      <c r="H183" s="371"/>
      <c r="I183" s="371"/>
    </row>
    <row r="184" ht="15.4" customHeight="1">
      <c r="A184" s="125" t="s">
        <v>95</v>
      </c>
      <c r="B184" s="126" t="s">
        <v>240</v>
      </c>
      <c r="C184" s="99"/>
      <c r="D184" s="63"/>
      <c r="E184" s="371"/>
      <c r="F184" s="371"/>
      <c r="G184" s="371"/>
      <c r="H184" s="371"/>
      <c r="I184" s="371"/>
    </row>
    <row r="185" ht="15.4" customHeight="1">
      <c r="A185" s="128"/>
      <c r="B185" s="126" t="s">
        <v>241</v>
      </c>
      <c r="C185" s="99"/>
      <c r="D185" s="63"/>
      <c r="E185" s="371"/>
      <c r="L185" s="136"/>
      <c r="M185" s="136"/>
      <c r="N185" s="136"/>
      <c r="O185" s="136"/>
      <c r="P185" s="136"/>
    </row>
    <row r="186" ht="15.4" customHeight="1">
      <c r="A186" s="128"/>
      <c r="B186" s="126" t="s">
        <v>242</v>
      </c>
      <c r="C186" s="99"/>
      <c r="D186" s="63"/>
      <c r="E186" s="371"/>
      <c r="L186" s="136"/>
      <c r="M186" s="136"/>
      <c r="N186" s="136"/>
      <c r="O186" s="136"/>
      <c r="P186" s="136"/>
    </row>
    <row r="187" ht="15.4" customHeight="1">
      <c r="A187" s="128"/>
      <c r="B187" s="126" t="s">
        <v>243</v>
      </c>
      <c r="C187" s="99"/>
      <c r="D187" s="63"/>
      <c r="E187" s="371"/>
      <c r="L187" s="136"/>
      <c r="M187" s="136"/>
      <c r="N187" s="136"/>
      <c r="O187" s="136"/>
      <c r="P187" s="136"/>
    </row>
    <row r="188" ht="15.4" customHeight="1">
      <c r="A188" s="123" t="s">
        <v>244</v>
      </c>
      <c r="B188" s="127"/>
      <c r="C188" s="99"/>
      <c r="D188" s="63"/>
      <c r="E188" s="371"/>
      <c r="F188" s="371"/>
      <c r="G188" s="371"/>
      <c r="H188" s="371"/>
      <c r="I188" s="371"/>
    </row>
    <row r="189" ht="15.4" customHeight="1">
      <c r="A189" s="123"/>
      <c r="B189" s="127"/>
      <c r="C189" s="99"/>
      <c r="D189" s="63"/>
      <c r="E189" s="371"/>
      <c r="F189" s="371"/>
      <c r="G189" s="371"/>
      <c r="H189" s="371"/>
      <c r="I189" s="371"/>
    </row>
    <row r="190" ht="15.4" customHeight="1">
      <c r="A190" s="115"/>
      <c r="B190" s="127"/>
      <c r="C190" s="99"/>
      <c r="D190" s="63"/>
    </row>
    <row r="191" ht="9.75" customHeight="1">
      <c r="A191" s="341"/>
      <c r="B191" s="137"/>
      <c r="C191" s="371"/>
      <c r="D191" s="371"/>
    </row>
    <row r="192" ht="15.4" customHeight="1">
      <c r="A192" s="138" t="s">
        <v>245</v>
      </c>
      <c r="B192" s="138"/>
      <c r="C192" s="138"/>
      <c r="D192" s="371"/>
      <c r="E192" s="371"/>
      <c r="F192" s="371"/>
      <c r="G192" s="371"/>
      <c r="H192" s="371"/>
      <c r="I192" s="371"/>
    </row>
    <row r="193" ht="15.4" customHeight="1">
      <c r="A193" s="341" t="s">
        <v>246</v>
      </c>
      <c r="B193" s="353" t="s">
        <v>247</v>
      </c>
      <c r="C193" s="139"/>
      <c r="D193" s="371"/>
      <c r="E193" s="371"/>
      <c r="F193" s="371"/>
      <c r="G193" s="371"/>
      <c r="H193" s="361"/>
      <c r="I193" s="361"/>
    </row>
    <row r="194" ht="15.4" customHeight="1">
      <c r="A194" s="341"/>
      <c r="B194" s="371"/>
      <c r="C194" s="371"/>
      <c r="D194" s="371"/>
      <c r="E194" s="371"/>
      <c r="F194" s="371"/>
      <c r="G194" s="371"/>
      <c r="H194" s="371"/>
      <c r="I194" s="371"/>
    </row>
    <row r="195" ht="15.4" customHeight="1">
      <c r="A195" s="341" t="s">
        <v>248</v>
      </c>
      <c r="B195" s="353" t="s">
        <v>249</v>
      </c>
      <c r="C195" s="371"/>
      <c r="D195" s="371"/>
      <c r="E195" s="371"/>
      <c r="F195" s="371"/>
      <c r="G195" s="371"/>
      <c r="H195" s="361"/>
      <c r="I195" s="361"/>
    </row>
    <row r="196" ht="15.4" customHeight="1">
      <c r="A196" s="341"/>
      <c r="B196" s="353"/>
      <c r="C196" s="371"/>
      <c r="D196" s="371"/>
      <c r="E196" s="371"/>
      <c r="F196" s="371"/>
      <c r="G196" s="371"/>
      <c r="H196" s="353"/>
      <c r="I196" s="353"/>
    </row>
    <row r="197" ht="15.4" customHeight="1">
      <c r="A197" s="138" t="s">
        <v>250</v>
      </c>
      <c r="B197" s="138"/>
      <c r="C197" s="138"/>
      <c r="D197" s="371"/>
      <c r="E197" s="371"/>
      <c r="F197" s="371"/>
      <c r="G197" s="371"/>
      <c r="H197" s="371"/>
      <c r="I197" s="371"/>
    </row>
    <row r="198" ht="15.4" customHeight="1">
      <c r="A198" s="341" t="s">
        <v>251</v>
      </c>
      <c r="B198" s="140" t="s">
        <v>252</v>
      </c>
      <c r="C198" s="140"/>
      <c r="D198" s="140"/>
      <c r="E198" s="140"/>
      <c r="F198" s="140"/>
      <c r="G198" s="141" t="s">
        <v>253</v>
      </c>
      <c r="H198" s="141" t="s">
        <v>254</v>
      </c>
      <c r="I198" s="371"/>
    </row>
    <row r="199" ht="15.4" customHeight="1">
      <c r="A199" s="341"/>
      <c r="B199" s="140"/>
      <c r="C199" s="140"/>
      <c r="D199" s="140"/>
      <c r="E199" s="140"/>
      <c r="F199" s="140"/>
      <c r="G199" s="142"/>
      <c r="H199" s="142"/>
      <c r="I199" s="371"/>
    </row>
    <row r="200" ht="15.4" customHeight="1">
      <c r="A200" s="341" t="s">
        <v>251</v>
      </c>
      <c r="B200" s="143" t="s">
        <v>255</v>
      </c>
      <c r="C200" s="143"/>
      <c r="D200" s="143"/>
      <c r="E200" s="143"/>
      <c r="F200" s="143"/>
      <c r="G200" s="141" t="s">
        <v>253</v>
      </c>
      <c r="H200" s="141" t="s">
        <v>254</v>
      </c>
      <c r="I200" s="371"/>
    </row>
    <row r="201" ht="15.4" customHeight="1">
      <c r="B201" s="143"/>
      <c r="C201" s="143"/>
      <c r="D201" s="143"/>
      <c r="E201" s="143"/>
      <c r="F201" s="143"/>
      <c r="G201" s="142"/>
      <c r="H201" s="142"/>
      <c r="I201" s="371"/>
    </row>
    <row r="202" ht="15.4" customHeight="1">
      <c r="A202" s="341"/>
      <c r="B202" s="144" t="s">
        <v>256</v>
      </c>
      <c r="C202" s="144"/>
      <c r="D202" s="144"/>
      <c r="E202" s="144"/>
      <c r="F202" s="144"/>
      <c r="G202" s="144"/>
      <c r="H202" s="144"/>
      <c r="I202" s="371"/>
    </row>
    <row r="203" ht="15.4" customHeight="1">
      <c r="A203" s="341"/>
      <c r="B203" s="140"/>
      <c r="C203" s="140"/>
      <c r="D203" s="140"/>
      <c r="E203" s="140"/>
      <c r="F203" s="140"/>
      <c r="G203" s="371"/>
      <c r="H203" s="371"/>
      <c r="I203" s="371"/>
    </row>
    <row r="204" ht="15.4" customHeight="1">
      <c r="A204" s="341" t="s">
        <v>257</v>
      </c>
      <c r="B204" s="143" t="s">
        <v>258</v>
      </c>
      <c r="C204" s="143"/>
      <c r="D204" s="143"/>
      <c r="E204" s="143"/>
      <c r="F204" s="143"/>
      <c r="G204" s="141" t="s">
        <v>253</v>
      </c>
      <c r="H204" s="141" t="s">
        <v>254</v>
      </c>
      <c r="I204" s="371"/>
    </row>
    <row r="205" ht="15.4" customHeight="1">
      <c r="A205" s="341"/>
      <c r="B205" s="143"/>
      <c r="C205" s="143"/>
      <c r="D205" s="143"/>
      <c r="E205" s="143"/>
      <c r="F205" s="143"/>
      <c r="G205" s="142"/>
      <c r="H205" s="142"/>
      <c r="I205" s="371"/>
    </row>
    <row r="206" ht="15.4" customHeight="1">
      <c r="A206" s="341"/>
      <c r="B206" s="371"/>
      <c r="C206" s="371"/>
      <c r="D206" s="371"/>
      <c r="E206" s="371"/>
      <c r="F206" s="371"/>
      <c r="G206" s="371"/>
      <c r="H206" s="371"/>
      <c r="I206" s="371"/>
    </row>
    <row r="207" ht="15.4" customHeight="1">
      <c r="A207" s="138" t="s">
        <v>259</v>
      </c>
      <c r="B207" s="138"/>
      <c r="C207" s="138"/>
      <c r="D207" s="371"/>
      <c r="E207" s="371"/>
      <c r="F207" s="371"/>
      <c r="G207" s="371"/>
      <c r="H207" s="371"/>
      <c r="I207" s="371"/>
    </row>
    <row r="208" ht="15.4" customHeight="1">
      <c r="A208" s="341" t="s">
        <v>260</v>
      </c>
      <c r="B208" s="140" t="s">
        <v>261</v>
      </c>
      <c r="C208" s="140"/>
      <c r="D208" s="140"/>
      <c r="E208" s="140"/>
      <c r="F208" s="140"/>
      <c r="G208" s="140"/>
      <c r="H208" s="361"/>
      <c r="I208" s="371"/>
    </row>
    <row r="209" ht="15.4" customHeight="1">
      <c r="A209" s="341"/>
      <c r="B209" s="371"/>
      <c r="C209" s="371"/>
      <c r="D209" s="371"/>
      <c r="E209" s="371"/>
      <c r="F209" s="371"/>
      <c r="G209" s="371"/>
      <c r="H209" s="371"/>
      <c r="I209" s="371"/>
    </row>
    <row r="210" ht="15.4" customHeight="1">
      <c r="A210" s="341"/>
      <c r="G210" s="141" t="s">
        <v>253</v>
      </c>
      <c r="H210" s="141" t="s">
        <v>254</v>
      </c>
      <c r="I210" s="371"/>
    </row>
    <row r="211" ht="15.4" customHeight="1">
      <c r="A211" s="341"/>
      <c r="B211" s="140" t="s">
        <v>262</v>
      </c>
      <c r="C211" s="140"/>
      <c r="D211" s="140"/>
      <c r="E211" s="140"/>
      <c r="F211" s="140"/>
      <c r="G211" s="110"/>
      <c r="H211" s="110"/>
    </row>
    <row r="212" ht="15.4" customHeight="1">
      <c r="A212" s="341"/>
      <c r="B212" s="140"/>
      <c r="C212" s="140"/>
      <c r="D212" s="140"/>
      <c r="E212" s="140"/>
      <c r="F212" s="140"/>
      <c r="G212" s="110"/>
      <c r="H212" s="110"/>
    </row>
    <row r="213" ht="15.4" customHeight="1">
      <c r="A213" s="341"/>
      <c r="B213" s="140" t="s">
        <v>263</v>
      </c>
      <c r="C213" s="140"/>
      <c r="D213" s="140"/>
      <c r="E213" s="140"/>
      <c r="F213" s="140"/>
      <c r="G213" s="110"/>
      <c r="H213" s="110"/>
      <c r="I213" s="371"/>
    </row>
    <row r="214" ht="15.4" customHeight="1">
      <c r="A214" s="341"/>
      <c r="B214" s="140"/>
      <c r="C214" s="140"/>
      <c r="D214" s="140"/>
      <c r="E214" s="140"/>
      <c r="F214" s="140"/>
      <c r="G214" s="110"/>
      <c r="H214" s="110"/>
    </row>
    <row r="215" ht="15" customHeight="1">
      <c r="A215" s="341"/>
      <c r="B215" s="140" t="s">
        <v>264</v>
      </c>
      <c r="C215" s="140"/>
      <c r="D215" s="140"/>
      <c r="E215" s="140"/>
      <c r="F215" s="140"/>
      <c r="G215" s="110"/>
      <c r="H215" s="110"/>
    </row>
    <row r="216" ht="15.4" customHeight="1">
      <c r="A216" s="341"/>
      <c r="B216" s="140"/>
      <c r="C216" s="140"/>
      <c r="D216" s="140"/>
      <c r="E216" s="140"/>
      <c r="F216" s="140"/>
      <c r="G216" s="110"/>
      <c r="H216" s="110"/>
      <c r="I216" s="371"/>
    </row>
    <row r="217" ht="15.4" customHeight="1">
      <c r="A217" s="341"/>
      <c r="B217" s="145" t="s">
        <v>265</v>
      </c>
      <c r="C217" s="145"/>
      <c r="D217" s="145"/>
      <c r="E217" s="145"/>
      <c r="F217" s="145"/>
      <c r="G217" s="142"/>
      <c r="H217" s="142"/>
      <c r="I217" s="371"/>
    </row>
    <row r="218" ht="11.25" customHeight="1">
      <c r="A218" s="341"/>
      <c r="B218" s="371"/>
      <c r="C218" s="371"/>
      <c r="D218" s="371"/>
      <c r="E218" s="371"/>
      <c r="F218" s="371"/>
      <c r="G218" s="371"/>
      <c r="H218" s="371"/>
      <c r="I218" s="371"/>
    </row>
    <row r="219" ht="15.4" customHeight="1">
      <c r="A219" s="341"/>
      <c r="B219" s="145" t="s">
        <v>266</v>
      </c>
      <c r="C219" s="145"/>
      <c r="D219" s="145"/>
      <c r="E219" s="145"/>
      <c r="F219" s="145"/>
      <c r="G219" s="141" t="s">
        <v>253</v>
      </c>
      <c r="H219" s="141" t="s">
        <v>254</v>
      </c>
      <c r="I219" s="371"/>
    </row>
    <row r="220" ht="15.4" customHeight="1">
      <c r="A220" s="341" t="s">
        <v>267</v>
      </c>
      <c r="B220" s="145"/>
      <c r="C220" s="145"/>
      <c r="D220" s="145"/>
      <c r="E220" s="145"/>
      <c r="F220" s="145"/>
      <c r="G220" s="142"/>
      <c r="H220" s="142"/>
      <c r="I220" s="371"/>
    </row>
    <row r="221" ht="15.4" customHeight="1">
      <c r="A221" s="341"/>
      <c r="B221" s="371"/>
      <c r="C221" s="371"/>
      <c r="D221" s="371"/>
      <c r="E221" s="371"/>
      <c r="F221" s="371"/>
      <c r="G221" s="371"/>
      <c r="H221" s="371"/>
      <c r="I221" s="371"/>
    </row>
    <row r="222" ht="15.4" customHeight="1">
      <c r="A222" s="341"/>
      <c r="B222" s="145" t="s">
        <v>268</v>
      </c>
      <c r="C222" s="145"/>
      <c r="D222" s="145"/>
      <c r="E222" s="145"/>
      <c r="F222" s="145"/>
      <c r="G222" s="371"/>
      <c r="H222" s="371"/>
      <c r="I222" s="371"/>
    </row>
    <row r="223" ht="15.4" customHeight="1">
      <c r="A223" s="341"/>
      <c r="B223" s="341"/>
      <c r="C223" s="341"/>
      <c r="D223" s="341"/>
      <c r="E223" s="133" t="s">
        <v>269</v>
      </c>
      <c r="F223" s="133"/>
      <c r="G223" s="142"/>
      <c r="H223" s="371"/>
      <c r="I223" s="371"/>
    </row>
    <row r="224" ht="15.4" customHeight="1">
      <c r="A224" s="341"/>
      <c r="B224" s="371"/>
      <c r="C224" s="371"/>
      <c r="D224" s="371"/>
      <c r="E224" s="133" t="s">
        <v>270</v>
      </c>
      <c r="F224" s="133"/>
      <c r="G224" s="142"/>
      <c r="H224" s="371"/>
      <c r="I224" s="371"/>
    </row>
    <row r="225" ht="15.4" customHeight="1">
      <c r="A225" s="341"/>
      <c r="B225" s="371"/>
      <c r="C225" s="371"/>
      <c r="D225" s="371"/>
      <c r="E225" s="341"/>
      <c r="F225" s="371"/>
      <c r="G225" s="371"/>
      <c r="H225" s="371"/>
      <c r="I225" s="371"/>
    </row>
    <row r="226" ht="15.4" customHeight="1">
      <c r="A226" s="341" t="s">
        <v>271</v>
      </c>
      <c r="B226" s="140" t="s">
        <v>272</v>
      </c>
      <c r="C226" s="140"/>
      <c r="D226" s="140"/>
      <c r="E226" s="140"/>
      <c r="F226" s="140"/>
      <c r="G226" s="361"/>
      <c r="H226" s="361"/>
      <c r="I226" s="371"/>
    </row>
    <row r="227" ht="15.4" customHeight="1">
      <c r="A227" s="341"/>
      <c r="B227" s="140"/>
      <c r="C227" s="140"/>
      <c r="D227" s="140"/>
      <c r="E227" s="140"/>
      <c r="F227" s="140"/>
      <c r="G227" s="353"/>
      <c r="H227" s="353"/>
      <c r="I227" s="371"/>
    </row>
    <row r="228" ht="15.4" customHeight="1">
      <c r="A228" s="138" t="s">
        <v>273</v>
      </c>
      <c r="B228" s="138"/>
      <c r="C228" s="138"/>
      <c r="D228" s="138"/>
      <c r="E228" s="353"/>
      <c r="F228" s="353"/>
      <c r="G228" s="353"/>
      <c r="H228" s="353"/>
      <c r="I228" s="371"/>
    </row>
    <row r="229" ht="15.4" customHeight="1">
      <c r="A229" s="357" t="s">
        <v>274</v>
      </c>
      <c r="B229" s="353"/>
      <c r="C229" s="353"/>
      <c r="D229" s="371"/>
      <c r="E229" s="353"/>
      <c r="F229" s="371"/>
      <c r="G229" s="141" t="s">
        <v>253</v>
      </c>
      <c r="H229" s="141" t="s">
        <v>254</v>
      </c>
      <c r="I229" s="371"/>
    </row>
    <row r="230" ht="15.4" customHeight="1">
      <c r="A230" s="146" t="s">
        <v>275</v>
      </c>
      <c r="B230" s="353"/>
      <c r="C230" s="147"/>
      <c r="D230" s="353"/>
      <c r="E230" s="353"/>
      <c r="F230" s="371"/>
      <c r="G230" s="142"/>
      <c r="H230" s="142"/>
      <c r="I230" s="371"/>
    </row>
    <row r="231" ht="15.4" customHeight="1">
      <c r="A231" s="146" t="s">
        <v>276</v>
      </c>
      <c r="B231" s="353"/>
      <c r="C231" s="147"/>
      <c r="D231" s="353"/>
      <c r="E231" s="353"/>
      <c r="F231" s="371"/>
      <c r="G231" s="142"/>
      <c r="H231" s="142"/>
      <c r="I231" s="371"/>
    </row>
    <row r="232" ht="15.4" customHeight="1">
      <c r="A232" s="146" t="s">
        <v>277</v>
      </c>
      <c r="B232" s="353"/>
      <c r="C232" s="147"/>
      <c r="D232" s="353"/>
      <c r="E232" s="353"/>
      <c r="F232" s="371"/>
      <c r="G232" s="142"/>
      <c r="H232" s="142"/>
      <c r="I232" s="371"/>
    </row>
    <row r="233" ht="15.4" customHeight="1">
      <c r="A233" s="146" t="s">
        <v>278</v>
      </c>
      <c r="B233" s="353"/>
      <c r="C233" s="147"/>
      <c r="D233" s="353"/>
      <c r="E233" s="353"/>
      <c r="F233" s="371"/>
      <c r="G233" s="142"/>
      <c r="H233" s="142"/>
      <c r="I233" s="371"/>
    </row>
    <row r="234" ht="15" customHeight="1">
      <c r="A234" s="341"/>
      <c r="B234" s="371"/>
      <c r="C234" s="371"/>
      <c r="D234" s="371"/>
      <c r="E234" s="371"/>
      <c r="F234" s="371"/>
      <c r="G234" s="371"/>
      <c r="H234" s="371"/>
      <c r="I234" s="371"/>
    </row>
    <row r="235" ht="15.4" customHeight="1">
      <c r="A235" s="357" t="s">
        <v>279</v>
      </c>
      <c r="B235" s="353"/>
      <c r="C235" s="353"/>
      <c r="D235" s="353"/>
      <c r="E235" s="371"/>
      <c r="F235" s="371"/>
      <c r="G235" s="141" t="s">
        <v>253</v>
      </c>
      <c r="H235" s="141" t="s">
        <v>254</v>
      </c>
      <c r="I235" s="371"/>
    </row>
    <row r="236" ht="15.4" customHeight="1">
      <c r="A236" s="148" t="s">
        <v>280</v>
      </c>
      <c r="B236" s="353"/>
      <c r="C236" s="353"/>
      <c r="D236" s="353"/>
      <c r="E236" s="353"/>
      <c r="F236" s="353"/>
      <c r="G236" s="142"/>
      <c r="H236" s="142"/>
      <c r="I236" s="371"/>
    </row>
    <row r="237" ht="15.4" customHeight="1">
      <c r="A237" s="148" t="s">
        <v>281</v>
      </c>
      <c r="B237" s="353"/>
      <c r="C237" s="371"/>
      <c r="D237" s="371"/>
      <c r="E237" s="371"/>
      <c r="F237" s="371"/>
      <c r="G237" s="142"/>
      <c r="H237" s="142"/>
      <c r="I237" s="371"/>
    </row>
    <row r="238" ht="15.4" customHeight="1">
      <c r="A238" s="146" t="s">
        <v>282</v>
      </c>
      <c r="B238" s="353"/>
      <c r="C238" s="371"/>
      <c r="D238" s="371"/>
      <c r="E238" s="371"/>
      <c r="F238" s="371"/>
      <c r="G238" s="142"/>
      <c r="H238" s="142"/>
      <c r="I238" s="371"/>
    </row>
    <row r="239" ht="15.4" customHeight="1">
      <c r="A239" s="146" t="s">
        <v>283</v>
      </c>
      <c r="B239" s="353"/>
      <c r="C239" s="371"/>
      <c r="D239" s="371"/>
      <c r="E239" s="371"/>
      <c r="F239" s="371"/>
      <c r="G239" s="142"/>
      <c r="H239" s="142"/>
      <c r="I239" s="371"/>
    </row>
    <row r="240" ht="15.4" customHeight="1">
      <c r="A240" s="146" t="s">
        <v>284</v>
      </c>
      <c r="B240" s="353"/>
      <c r="C240" s="371"/>
      <c r="D240" s="371"/>
      <c r="E240" s="371"/>
      <c r="F240" s="371"/>
      <c r="G240" s="142"/>
      <c r="H240" s="142"/>
      <c r="I240" s="371"/>
    </row>
    <row r="241" ht="15.4" customHeight="1">
      <c r="A241" s="146" t="s">
        <v>285</v>
      </c>
      <c r="G241" s="142"/>
      <c r="H241" s="142"/>
      <c r="I241" s="371"/>
    </row>
    <row r="242" ht="13.5" customHeight="1">
      <c r="A242" s="146" t="s">
        <v>286</v>
      </c>
      <c r="B242" s="371"/>
      <c r="C242" s="371"/>
      <c r="D242" s="371"/>
      <c r="E242" s="371"/>
      <c r="F242" s="371"/>
      <c r="G242" s="142"/>
      <c r="H242" s="142"/>
      <c r="I242" s="371"/>
    </row>
    <row r="243" ht="15.4" customHeight="1">
      <c r="A243" s="146" t="s">
        <v>287</v>
      </c>
      <c r="B243" s="371"/>
      <c r="C243" s="371"/>
      <c r="F243" s="371"/>
      <c r="G243" s="142"/>
      <c r="H243" s="142"/>
    </row>
    <row r="244" ht="15.4" customHeight="1">
      <c r="A244" s="146" t="s">
        <v>288</v>
      </c>
      <c r="B244" s="353"/>
      <c r="C244" s="371"/>
      <c r="D244" s="353"/>
      <c r="E244" s="365" t="s">
        <v>289</v>
      </c>
      <c r="F244" s="149"/>
      <c r="G244" s="149"/>
      <c r="H244" s="149"/>
    </row>
    <row r="245" ht="15.4" customHeight="1">
      <c r="A245" s="146"/>
      <c r="B245" s="371"/>
      <c r="C245" s="371"/>
    </row>
    <row r="246" ht="15.4" customHeight="1">
      <c r="A246" s="357" t="s">
        <v>290</v>
      </c>
      <c r="B246" s="371"/>
      <c r="C246" s="371"/>
      <c r="D246" s="141" t="s">
        <v>253</v>
      </c>
      <c r="E246" s="141" t="s">
        <v>254</v>
      </c>
      <c r="F246" s="146"/>
      <c r="H246" s="141" t="s">
        <v>253</v>
      </c>
      <c r="I246" s="141" t="s">
        <v>254</v>
      </c>
    </row>
    <row r="247" ht="15.4" customHeight="1">
      <c r="A247" s="146" t="s">
        <v>291</v>
      </c>
      <c r="B247" s="371"/>
      <c r="C247" s="371"/>
      <c r="D247" s="142"/>
      <c r="E247" s="142"/>
      <c r="F247" s="146" t="s">
        <v>292</v>
      </c>
      <c r="H247" s="142"/>
      <c r="I247" s="142"/>
    </row>
    <row r="248" ht="15.4" customHeight="1">
      <c r="A248" s="146" t="s">
        <v>293</v>
      </c>
      <c r="B248" s="371"/>
      <c r="C248" s="371"/>
      <c r="D248" s="142"/>
      <c r="E248" s="142"/>
      <c r="F248" s="146" t="s">
        <v>294</v>
      </c>
      <c r="H248" s="142"/>
      <c r="I248" s="142"/>
    </row>
    <row r="249" ht="15.4" customHeight="1">
      <c r="A249" s="372" t="s">
        <v>295</v>
      </c>
      <c r="B249" s="372"/>
      <c r="C249" s="372"/>
      <c r="D249" s="372"/>
      <c r="E249" s="372"/>
      <c r="F249" s="372"/>
      <c r="G249" s="372"/>
      <c r="H249" s="372"/>
      <c r="I249" s="372"/>
    </row>
    <row r="250" ht="15.4" customHeight="1">
      <c r="A250" s="341"/>
      <c r="B250" s="371"/>
      <c r="C250" s="371"/>
      <c r="D250" s="371"/>
      <c r="E250" s="371"/>
      <c r="F250" s="371"/>
      <c r="G250" s="371"/>
      <c r="H250" s="371"/>
      <c r="I250" s="371"/>
    </row>
    <row r="251" ht="15.4" customHeight="1">
      <c r="A251" s="138" t="s">
        <v>296</v>
      </c>
      <c r="B251" s="138"/>
      <c r="C251" s="138"/>
      <c r="D251" s="371"/>
      <c r="E251" s="371"/>
      <c r="F251" s="371"/>
      <c r="G251" s="371"/>
      <c r="H251" s="371"/>
      <c r="I251" s="371"/>
    </row>
    <row r="252" ht="15.4" customHeight="1">
      <c r="A252" s="341"/>
      <c r="B252" s="371"/>
      <c r="C252" s="371"/>
      <c r="D252" s="371"/>
      <c r="E252" s="371"/>
      <c r="F252" s="371"/>
      <c r="G252" s="371"/>
      <c r="H252" s="371"/>
      <c r="I252" s="371"/>
    </row>
    <row r="253" ht="15.4" customHeight="1">
      <c r="A253" s="341"/>
      <c r="B253" s="371"/>
      <c r="C253" s="150" t="s">
        <v>297</v>
      </c>
      <c r="D253" s="150" t="s">
        <v>298</v>
      </c>
      <c r="E253" s="150" t="s">
        <v>299</v>
      </c>
      <c r="F253" s="150" t="s">
        <v>300</v>
      </c>
      <c r="G253" s="150" t="s">
        <v>301</v>
      </c>
      <c r="H253" s="150"/>
      <c r="I253" s="150"/>
    </row>
    <row r="254" ht="36" customHeight="1">
      <c r="A254" s="341"/>
      <c r="B254" s="371"/>
      <c r="C254" s="151" t="s">
        <v>302</v>
      </c>
      <c r="D254" s="151" t="s">
        <v>303</v>
      </c>
      <c r="E254" s="151" t="s">
        <v>304</v>
      </c>
      <c r="F254" s="151" t="s">
        <v>305</v>
      </c>
      <c r="G254" s="151" t="s">
        <v>306</v>
      </c>
      <c r="H254" s="151" t="s">
        <v>307</v>
      </c>
      <c r="I254" s="151"/>
    </row>
    <row r="255" ht="15.4" customHeight="1">
      <c r="A255" s="70" t="s">
        <v>308</v>
      </c>
      <c r="B255" s="70"/>
      <c r="C255" s="152"/>
      <c r="D255" s="152"/>
      <c r="E255" s="152"/>
      <c r="F255" s="152"/>
      <c r="G255" s="153"/>
      <c r="H255" s="74"/>
      <c r="I255" s="68"/>
    </row>
    <row r="256" ht="15.4" customHeight="1">
      <c r="A256" s="115" t="s">
        <v>309</v>
      </c>
      <c r="B256" s="68"/>
      <c r="C256" s="154"/>
      <c r="D256" s="154"/>
      <c r="E256" s="154"/>
      <c r="F256" s="155"/>
      <c r="G256" s="156"/>
      <c r="H256" s="157"/>
      <c r="I256" s="157"/>
    </row>
    <row r="257" ht="15.4" customHeight="1">
      <c r="A257" s="115" t="s">
        <v>202</v>
      </c>
      <c r="B257" s="68"/>
      <c r="C257" s="154"/>
      <c r="D257" s="154"/>
      <c r="E257" s="154"/>
      <c r="F257" s="155"/>
      <c r="G257" s="156"/>
      <c r="H257" s="157"/>
      <c r="I257" s="157"/>
    </row>
    <row r="258" ht="15.4" customHeight="1">
      <c r="A258" s="115" t="s">
        <v>206</v>
      </c>
      <c r="B258" s="68"/>
      <c r="C258" s="154"/>
      <c r="D258" s="154"/>
      <c r="E258" s="154"/>
      <c r="F258" s="155"/>
      <c r="G258" s="156"/>
      <c r="H258" s="157"/>
      <c r="I258" s="157"/>
    </row>
    <row r="259" ht="15.4" customHeight="1">
      <c r="A259" s="115" t="s">
        <v>310</v>
      </c>
      <c r="B259" s="68"/>
      <c r="C259" s="154"/>
      <c r="D259" s="154"/>
      <c r="E259" s="154"/>
      <c r="F259" s="155"/>
      <c r="G259" s="156"/>
      <c r="H259" s="157"/>
      <c r="I259" s="157"/>
    </row>
    <row r="260" ht="15.4" customHeight="1">
      <c r="A260" s="115" t="s">
        <v>204</v>
      </c>
      <c r="B260" s="68"/>
      <c r="C260" s="154"/>
      <c r="D260" s="154"/>
      <c r="E260" s="154"/>
      <c r="F260" s="155"/>
      <c r="G260" s="156"/>
      <c r="H260" s="157"/>
      <c r="I260" s="157"/>
    </row>
    <row r="261" ht="15.4" customHeight="1">
      <c r="A261" s="115" t="s">
        <v>311</v>
      </c>
      <c r="B261" s="68"/>
      <c r="C261" s="154"/>
      <c r="D261" s="154"/>
      <c r="E261" s="154"/>
      <c r="F261" s="154"/>
      <c r="G261" s="156"/>
      <c r="H261" s="157"/>
      <c r="I261" s="157"/>
    </row>
    <row r="262" ht="15.4" customHeight="1">
      <c r="A262" s="115" t="s">
        <v>312</v>
      </c>
      <c r="B262" s="68"/>
      <c r="C262" s="154"/>
      <c r="D262" s="154"/>
      <c r="E262" s="154"/>
      <c r="F262" s="154"/>
      <c r="G262" s="156"/>
      <c r="H262" s="157"/>
      <c r="I262" s="157"/>
    </row>
    <row r="263" ht="15.4" customHeight="1">
      <c r="A263" s="115" t="s">
        <v>313</v>
      </c>
      <c r="B263" s="68"/>
      <c r="C263" s="154"/>
      <c r="D263" s="154"/>
      <c r="E263" s="154"/>
      <c r="F263" s="154"/>
      <c r="G263" s="156"/>
      <c r="H263" s="157"/>
      <c r="I263" s="157"/>
    </row>
    <row r="264" ht="15.4" customHeight="1">
      <c r="A264" s="115" t="s">
        <v>314</v>
      </c>
      <c r="B264" s="68"/>
      <c r="C264" s="154"/>
      <c r="D264" s="154"/>
      <c r="E264" s="154"/>
      <c r="F264" s="154"/>
      <c r="G264" s="156"/>
      <c r="H264" s="157"/>
      <c r="I264" s="157"/>
    </row>
    <row r="265" ht="15.4" customHeight="1">
      <c r="A265" s="115"/>
      <c r="B265" s="68"/>
      <c r="C265" s="154"/>
      <c r="D265" s="154"/>
      <c r="E265" s="154"/>
      <c r="F265" s="154"/>
      <c r="G265" s="156"/>
      <c r="H265" s="157"/>
      <c r="I265" s="157"/>
    </row>
    <row r="266" ht="15.4" customHeight="1">
      <c r="A266" s="115" t="s">
        <v>315</v>
      </c>
      <c r="B266" s="68"/>
      <c r="C266" s="155"/>
      <c r="D266" s="154"/>
      <c r="E266" s="154"/>
      <c r="F266" s="155"/>
      <c r="G266" s="156"/>
      <c r="H266" s="157"/>
      <c r="I266" s="157"/>
    </row>
    <row r="267" ht="15.4" customHeight="1">
      <c r="A267" s="115" t="s">
        <v>316</v>
      </c>
      <c r="B267" s="68"/>
      <c r="C267" s="155"/>
      <c r="D267" s="154"/>
      <c r="E267" s="154"/>
      <c r="F267" s="155"/>
      <c r="G267" s="156"/>
      <c r="H267" s="157"/>
      <c r="I267" s="157"/>
    </row>
    <row r="268" ht="29.45" customHeight="1">
      <c r="A268" s="158" t="s">
        <v>317</v>
      </c>
      <c r="B268" s="158"/>
      <c r="C268" s="152"/>
      <c r="D268" s="152"/>
      <c r="E268" s="152"/>
      <c r="F268" s="152"/>
      <c r="G268" s="153"/>
      <c r="H268" s="159"/>
      <c r="I268" s="159"/>
    </row>
    <row r="269" ht="15.4" customHeight="1">
      <c r="A269" s="115" t="s">
        <v>318</v>
      </c>
      <c r="B269" s="68"/>
      <c r="C269" s="154"/>
      <c r="D269" s="154"/>
      <c r="E269" s="154"/>
      <c r="F269" s="154"/>
      <c r="G269" s="156"/>
      <c r="H269" s="157"/>
      <c r="I269" s="157"/>
    </row>
    <row r="270" ht="15.4" customHeight="1">
      <c r="A270" s="115" t="s">
        <v>319</v>
      </c>
      <c r="B270" s="68"/>
      <c r="C270" s="154"/>
      <c r="D270" s="154"/>
      <c r="E270" s="154"/>
      <c r="F270" s="154"/>
      <c r="G270" s="156"/>
      <c r="H270" s="157"/>
      <c r="I270" s="157"/>
    </row>
    <row r="271" ht="15.4" customHeight="1">
      <c r="A271" s="115" t="s">
        <v>320</v>
      </c>
      <c r="B271" s="68"/>
      <c r="C271" s="154"/>
      <c r="D271" s="154"/>
      <c r="E271" s="154"/>
      <c r="F271" s="154"/>
      <c r="G271" s="156"/>
      <c r="H271" s="157"/>
      <c r="I271" s="157"/>
    </row>
    <row r="272" ht="15.4" customHeight="1">
      <c r="A272" s="115" t="s">
        <v>321</v>
      </c>
      <c r="B272" s="68"/>
      <c r="C272" s="154"/>
      <c r="D272" s="154"/>
      <c r="E272" s="154"/>
      <c r="F272" s="154"/>
      <c r="G272" s="156"/>
      <c r="H272" s="157"/>
      <c r="I272" s="157"/>
    </row>
    <row r="273" ht="15.4" customHeight="1">
      <c r="A273" s="115" t="s">
        <v>322</v>
      </c>
      <c r="B273" s="68"/>
      <c r="C273" s="154"/>
      <c r="D273" s="154"/>
      <c r="E273" s="154"/>
      <c r="F273" s="154"/>
      <c r="G273" s="156"/>
      <c r="H273" s="157"/>
      <c r="I273" s="157"/>
    </row>
    <row r="274" ht="15.4" customHeight="1">
      <c r="A274" s="115" t="s">
        <v>323</v>
      </c>
      <c r="B274" s="68"/>
      <c r="C274" s="154"/>
      <c r="D274" s="154"/>
      <c r="E274" s="154"/>
      <c r="F274" s="154"/>
      <c r="G274" s="156"/>
      <c r="H274" s="157"/>
      <c r="I274" s="157"/>
    </row>
    <row r="275" ht="15.4" customHeight="1">
      <c r="A275" s="158" t="s">
        <v>324</v>
      </c>
      <c r="B275" s="158"/>
      <c r="C275" s="152"/>
      <c r="D275" s="152"/>
      <c r="E275" s="152"/>
      <c r="F275" s="152"/>
      <c r="G275" s="153"/>
      <c r="H275" s="159"/>
      <c r="I275" s="159"/>
    </row>
    <row r="276" ht="15.4" customHeight="1">
      <c r="A276" s="115" t="s">
        <v>325</v>
      </c>
      <c r="B276" s="68"/>
      <c r="C276" s="154"/>
      <c r="D276" s="154"/>
      <c r="E276" s="154"/>
      <c r="F276" s="155"/>
      <c r="G276" s="156"/>
      <c r="H276" s="157"/>
      <c r="I276" s="157"/>
    </row>
    <row r="277" ht="15.4" customHeight="1">
      <c r="A277" s="115" t="s">
        <v>326</v>
      </c>
      <c r="B277" s="68"/>
      <c r="C277" s="154"/>
      <c r="D277" s="154"/>
      <c r="E277" s="154"/>
      <c r="F277" s="155"/>
      <c r="G277" s="156"/>
      <c r="H277" s="157"/>
      <c r="I277" s="157"/>
    </row>
    <row r="278" ht="15.4" customHeight="1">
      <c r="A278" s="115" t="s">
        <v>327</v>
      </c>
      <c r="B278" s="68"/>
      <c r="C278" s="154"/>
      <c r="D278" s="154"/>
      <c r="E278" s="154"/>
      <c r="F278" s="155"/>
      <c r="G278" s="156"/>
      <c r="H278" s="157"/>
      <c r="I278" s="157"/>
    </row>
    <row r="279" ht="15.4" customHeight="1">
      <c r="A279" s="115" t="s">
        <v>328</v>
      </c>
      <c r="B279" s="68"/>
      <c r="C279" s="154"/>
      <c r="D279" s="154"/>
      <c r="E279" s="154"/>
      <c r="F279" s="154"/>
      <c r="G279" s="156"/>
      <c r="H279" s="157"/>
      <c r="I279" s="157"/>
    </row>
    <row r="280" ht="15.4" customHeight="1">
      <c r="A280" s="115" t="s">
        <v>329</v>
      </c>
      <c r="B280" s="68"/>
      <c r="C280" s="154"/>
      <c r="D280" s="154"/>
      <c r="E280" s="154"/>
      <c r="F280" s="154"/>
      <c r="G280" s="156"/>
      <c r="H280" s="157"/>
      <c r="I280" s="157"/>
    </row>
    <row r="281" ht="15.4" customHeight="1">
      <c r="A281" s="115"/>
      <c r="B281" s="68"/>
      <c r="C281" s="154"/>
      <c r="D281" s="154"/>
      <c r="E281" s="154"/>
      <c r="F281" s="154"/>
      <c r="G281" s="156"/>
      <c r="H281" s="157"/>
      <c r="I281" s="157"/>
    </row>
    <row r="282" ht="15.4" customHeight="1">
      <c r="A282" s="115"/>
      <c r="B282" s="68"/>
      <c r="C282" s="154"/>
      <c r="D282" s="154"/>
      <c r="E282" s="154"/>
      <c r="F282" s="154"/>
      <c r="G282" s="156"/>
      <c r="H282" s="157"/>
      <c r="I282" s="157"/>
    </row>
    <row r="283" ht="28.15" customHeight="1">
      <c r="A283" s="158" t="s">
        <v>330</v>
      </c>
      <c r="B283" s="158"/>
      <c r="C283" s="152"/>
      <c r="D283" s="152"/>
      <c r="E283" s="152"/>
      <c r="F283" s="152"/>
      <c r="G283" s="153"/>
      <c r="H283" s="159"/>
      <c r="I283" s="159"/>
    </row>
    <row r="284" ht="15.4" customHeight="1">
      <c r="A284" s="115" t="s">
        <v>331</v>
      </c>
      <c r="B284" s="68"/>
      <c r="C284" s="155"/>
      <c r="D284" s="154"/>
      <c r="E284" s="154"/>
      <c r="F284" s="154"/>
      <c r="G284" s="156"/>
      <c r="H284" s="157"/>
      <c r="I284" s="157"/>
    </row>
    <row r="285" ht="15.4" customHeight="1">
      <c r="A285" s="115" t="s">
        <v>332</v>
      </c>
      <c r="B285" s="68"/>
      <c r="C285" s="155"/>
      <c r="D285" s="154"/>
      <c r="E285" s="154"/>
      <c r="F285" s="154"/>
      <c r="G285" s="156"/>
      <c r="H285" s="157"/>
      <c r="I285" s="157"/>
    </row>
    <row r="286" ht="15.4" customHeight="1">
      <c r="A286" s="115" t="s">
        <v>333</v>
      </c>
      <c r="B286" s="68"/>
      <c r="C286" s="155"/>
      <c r="D286" s="154"/>
      <c r="E286" s="154"/>
      <c r="F286" s="154"/>
      <c r="G286" s="156"/>
      <c r="H286" s="157"/>
      <c r="I286" s="157"/>
    </row>
    <row r="287" ht="15.4" customHeight="1">
      <c r="A287" s="115" t="s">
        <v>334</v>
      </c>
      <c r="B287" s="68"/>
      <c r="C287" s="155"/>
      <c r="D287" s="154"/>
      <c r="E287" s="154"/>
      <c r="F287" s="154"/>
      <c r="G287" s="156"/>
      <c r="H287" s="157"/>
      <c r="I287" s="157"/>
    </row>
    <row r="288" ht="15.4" customHeight="1">
      <c r="A288" s="158" t="s">
        <v>196</v>
      </c>
      <c r="B288" s="158"/>
      <c r="C288" s="154"/>
      <c r="D288" s="154"/>
      <c r="E288" s="154"/>
      <c r="F288" s="154"/>
      <c r="G288" s="156"/>
      <c r="H288" s="157"/>
      <c r="I288" s="157"/>
    </row>
    <row r="289" ht="15.4" customHeight="1">
      <c r="A289" s="158" t="s">
        <v>198</v>
      </c>
      <c r="B289" s="158"/>
      <c r="C289" s="154"/>
      <c r="D289" s="154"/>
      <c r="E289" s="154"/>
      <c r="F289" s="154"/>
      <c r="G289" s="156"/>
      <c r="H289" s="157"/>
      <c r="I289" s="157"/>
    </row>
    <row r="290" ht="15.4" customHeight="1">
      <c r="A290" s="341"/>
      <c r="B290" s="371"/>
      <c r="C290" s="371"/>
      <c r="D290" s="371"/>
      <c r="E290" s="371"/>
      <c r="F290" s="371"/>
      <c r="G290" s="371"/>
      <c r="H290" s="371"/>
      <c r="I290" s="371"/>
    </row>
    <row r="291" ht="15.4" customHeight="1">
      <c r="A291" s="341"/>
      <c r="B291" s="371"/>
      <c r="C291" s="371"/>
      <c r="D291" s="371"/>
      <c r="E291" s="371"/>
      <c r="F291" s="371"/>
      <c r="G291" s="371"/>
      <c r="H291" s="371"/>
      <c r="I291" s="371"/>
    </row>
    <row r="292" ht="15.4" customHeight="1">
      <c r="A292" s="341"/>
      <c r="B292" s="371"/>
      <c r="C292" s="371"/>
      <c r="D292" s="371"/>
      <c r="E292" s="371"/>
      <c r="F292" s="371"/>
      <c r="G292" s="371"/>
      <c r="H292" s="371"/>
      <c r="I292" s="371"/>
    </row>
    <row r="293" ht="15.4" customHeight="1">
      <c r="A293" s="341"/>
      <c r="B293" s="371"/>
      <c r="C293" s="371"/>
      <c r="D293" s="371"/>
      <c r="E293" s="371"/>
      <c r="F293" s="371"/>
      <c r="G293" s="371"/>
      <c r="H293" s="371"/>
      <c r="I293" s="371"/>
    </row>
    <row r="294" ht="15.4" customHeight="1">
      <c r="A294" s="341"/>
      <c r="B294" s="371"/>
      <c r="C294" s="371"/>
      <c r="D294" s="371"/>
      <c r="E294" s="371"/>
      <c r="F294" s="371"/>
      <c r="G294" s="371"/>
      <c r="H294" s="371"/>
      <c r="I294" s="371"/>
    </row>
    <row r="295" ht="15.4" customHeight="1">
      <c r="A295" s="160" t="s">
        <v>335</v>
      </c>
      <c r="B295" s="160"/>
      <c r="C295" s="160"/>
      <c r="D295" s="371"/>
      <c r="E295" s="371"/>
      <c r="F295" s="371"/>
      <c r="G295" s="371"/>
      <c r="H295" s="371"/>
      <c r="I295" s="371"/>
    </row>
    <row r="296" ht="15.4" customHeight="1">
      <c r="A296" s="160"/>
      <c r="B296" s="160"/>
      <c r="C296" s="160"/>
      <c r="D296" s="371"/>
      <c r="E296" s="371"/>
      <c r="F296" s="371"/>
      <c r="G296" s="371"/>
      <c r="H296" s="371"/>
      <c r="I296" s="371"/>
    </row>
    <row r="297" ht="15.4" customHeight="1">
      <c r="A297" s="341"/>
      <c r="B297" s="371"/>
      <c r="C297" s="371"/>
      <c r="D297" s="371"/>
      <c r="E297" s="371"/>
      <c r="F297" s="371"/>
      <c r="G297" s="371"/>
      <c r="H297" s="371"/>
      <c r="I297" s="371"/>
    </row>
    <row r="298" ht="15.4" customHeight="1">
      <c r="A298" s="341"/>
      <c r="B298" s="371"/>
      <c r="C298" s="150" t="s">
        <v>297</v>
      </c>
      <c r="D298" s="150" t="s">
        <v>298</v>
      </c>
      <c r="E298" s="150" t="s">
        <v>299</v>
      </c>
      <c r="F298" s="150" t="s">
        <v>336</v>
      </c>
      <c r="G298" s="150"/>
      <c r="H298" s="150"/>
      <c r="I298" s="150"/>
    </row>
    <row r="299" ht="27.75" customHeight="1">
      <c r="A299" s="341"/>
      <c r="B299" s="371"/>
      <c r="C299" s="151" t="s">
        <v>337</v>
      </c>
      <c r="D299" s="151" t="s">
        <v>303</v>
      </c>
      <c r="E299" s="151" t="s">
        <v>338</v>
      </c>
      <c r="F299" s="151" t="s">
        <v>339</v>
      </c>
      <c r="G299" s="151" t="s">
        <v>340</v>
      </c>
      <c r="H299" s="151"/>
      <c r="I299" s="151"/>
    </row>
    <row r="300" ht="15.4" customHeight="1">
      <c r="A300" s="158" t="s">
        <v>341</v>
      </c>
      <c r="B300" s="158"/>
      <c r="C300" s="152"/>
      <c r="D300" s="152"/>
      <c r="E300" s="152"/>
      <c r="F300" s="153"/>
      <c r="G300" s="74"/>
      <c r="H300" s="74"/>
      <c r="I300" s="68"/>
    </row>
    <row r="301" ht="15.4" customHeight="1">
      <c r="A301" s="115" t="s">
        <v>342</v>
      </c>
      <c r="B301" s="68"/>
      <c r="C301" s="154"/>
      <c r="D301" s="154"/>
      <c r="E301" s="154"/>
      <c r="F301" s="156"/>
      <c r="G301" s="157"/>
      <c r="H301" s="157"/>
      <c r="I301" s="157"/>
    </row>
    <row r="302" ht="15.4" customHeight="1">
      <c r="A302" s="115" t="s">
        <v>343</v>
      </c>
      <c r="B302" s="68"/>
      <c r="C302" s="154"/>
      <c r="D302" s="154"/>
      <c r="E302" s="154"/>
      <c r="F302" s="156"/>
      <c r="G302" s="157"/>
      <c r="H302" s="157"/>
      <c r="I302" s="157"/>
    </row>
    <row r="303" ht="15.4" customHeight="1">
      <c r="A303" s="115" t="s">
        <v>344</v>
      </c>
      <c r="B303" s="68"/>
      <c r="C303" s="154"/>
      <c r="D303" s="154"/>
      <c r="E303" s="154"/>
      <c r="F303" s="156"/>
      <c r="G303" s="157"/>
      <c r="H303" s="157"/>
      <c r="I303" s="157"/>
    </row>
    <row r="304" ht="15.4" customHeight="1">
      <c r="A304" s="115" t="s">
        <v>345</v>
      </c>
      <c r="B304" s="68"/>
      <c r="C304" s="154"/>
      <c r="D304" s="154"/>
      <c r="E304" s="154"/>
      <c r="F304" s="156"/>
      <c r="G304" s="157"/>
      <c r="H304" s="157"/>
      <c r="I304" s="157"/>
    </row>
    <row r="305" ht="15.4" customHeight="1">
      <c r="A305" s="115" t="s">
        <v>346</v>
      </c>
      <c r="B305" s="68"/>
      <c r="C305" s="154"/>
      <c r="D305" s="154"/>
      <c r="E305" s="154"/>
      <c r="F305" s="156"/>
      <c r="G305" s="157"/>
      <c r="H305" s="157"/>
      <c r="I305" s="157"/>
    </row>
    <row r="306" ht="15.4" customHeight="1">
      <c r="A306" s="115" t="s">
        <v>347</v>
      </c>
      <c r="B306" s="68"/>
      <c r="C306" s="154"/>
      <c r="D306" s="154"/>
      <c r="E306" s="154"/>
      <c r="F306" s="156"/>
      <c r="G306" s="157"/>
      <c r="H306" s="157"/>
      <c r="I306" s="157"/>
    </row>
    <row r="307" ht="15.4" customHeight="1">
      <c r="A307" s="115" t="s">
        <v>348</v>
      </c>
      <c r="B307" s="68"/>
      <c r="C307" s="154"/>
      <c r="D307" s="154"/>
      <c r="E307" s="154"/>
      <c r="F307" s="156"/>
      <c r="G307" s="157"/>
      <c r="H307" s="157"/>
      <c r="I307" s="157"/>
    </row>
    <row r="308" ht="15.4" customHeight="1">
      <c r="A308" s="115" t="s">
        <v>349</v>
      </c>
      <c r="B308" s="68"/>
      <c r="C308" s="154"/>
      <c r="D308" s="154"/>
      <c r="E308" s="154"/>
      <c r="F308" s="156"/>
      <c r="G308" s="157"/>
      <c r="H308" s="157"/>
      <c r="I308" s="157"/>
    </row>
    <row r="309" ht="15.4" customHeight="1">
      <c r="A309" s="115" t="s">
        <v>350</v>
      </c>
      <c r="B309" s="68"/>
      <c r="C309" s="154"/>
      <c r="D309" s="154"/>
      <c r="E309" s="154"/>
      <c r="F309" s="156"/>
      <c r="G309" s="157"/>
      <c r="H309" s="157"/>
      <c r="I309" s="157"/>
    </row>
    <row r="310" ht="15.4" customHeight="1">
      <c r="A310" s="115" t="s">
        <v>351</v>
      </c>
      <c r="B310" s="68"/>
      <c r="C310" s="154"/>
      <c r="D310" s="154"/>
      <c r="E310" s="154"/>
      <c r="F310" s="156"/>
      <c r="G310" s="157"/>
      <c r="H310" s="157"/>
      <c r="I310" s="157"/>
    </row>
    <row r="311" ht="15.4" customHeight="1">
      <c r="A311" s="115" t="s">
        <v>352</v>
      </c>
      <c r="B311" s="68"/>
      <c r="C311" s="154"/>
      <c r="D311" s="154"/>
      <c r="E311" s="154"/>
      <c r="F311" s="156"/>
      <c r="G311" s="157"/>
      <c r="H311" s="157"/>
      <c r="I311" s="157"/>
    </row>
    <row r="312" ht="15.4" customHeight="1">
      <c r="A312" s="115"/>
      <c r="B312" s="68"/>
      <c r="C312" s="154"/>
      <c r="D312" s="154"/>
      <c r="E312" s="154"/>
      <c r="F312" s="156"/>
      <c r="G312" s="157"/>
      <c r="H312" s="157"/>
      <c r="I312" s="157"/>
    </row>
    <row r="313" ht="15.4" customHeight="1">
      <c r="A313" s="115"/>
      <c r="B313" s="68"/>
      <c r="C313" s="154"/>
      <c r="D313" s="154"/>
      <c r="E313" s="154"/>
      <c r="F313" s="156"/>
      <c r="G313" s="161"/>
      <c r="H313" s="161"/>
      <c r="I313" s="157"/>
    </row>
    <row r="314" ht="15.4" customHeight="1">
      <c r="A314" s="115" t="s">
        <v>353</v>
      </c>
      <c r="B314" s="68"/>
      <c r="C314" s="154"/>
      <c r="D314" s="154"/>
      <c r="E314" s="154"/>
      <c r="F314" s="156"/>
      <c r="G314" s="161"/>
      <c r="H314" s="161"/>
      <c r="I314" s="157"/>
    </row>
    <row r="315" ht="15.4" customHeight="1">
      <c r="A315" s="115" t="s">
        <v>354</v>
      </c>
      <c r="B315" s="68"/>
      <c r="C315" s="154"/>
      <c r="D315" s="154"/>
      <c r="E315" s="154"/>
      <c r="F315" s="156"/>
      <c r="G315" s="157"/>
      <c r="H315" s="157"/>
      <c r="I315" s="157"/>
    </row>
    <row r="316" ht="15.4" customHeight="1">
      <c r="A316" s="115"/>
      <c r="B316" s="68"/>
      <c r="C316" s="154"/>
      <c r="D316" s="154"/>
      <c r="E316" s="154"/>
      <c r="F316" s="156"/>
      <c r="G316" s="157"/>
      <c r="H316" s="157"/>
      <c r="I316" s="157"/>
    </row>
    <row r="317" ht="28.9" customHeight="1">
      <c r="A317" s="158" t="s">
        <v>355</v>
      </c>
      <c r="B317" s="158"/>
      <c r="C317" s="152"/>
      <c r="D317" s="152"/>
      <c r="E317" s="152"/>
      <c r="F317" s="153"/>
      <c r="G317" s="159"/>
      <c r="H317" s="159"/>
      <c r="I317" s="159"/>
    </row>
    <row r="318" ht="15.4" customHeight="1">
      <c r="A318" s="115" t="s">
        <v>356</v>
      </c>
      <c r="B318" s="68"/>
      <c r="C318" s="154"/>
      <c r="D318" s="154"/>
      <c r="E318" s="154"/>
      <c r="F318" s="156"/>
      <c r="G318" s="157"/>
      <c r="H318" s="157"/>
      <c r="I318" s="157"/>
    </row>
    <row r="319" ht="15.4" customHeight="1">
      <c r="A319" s="115" t="s">
        <v>357</v>
      </c>
      <c r="B319" s="162"/>
      <c r="C319" s="154"/>
      <c r="D319" s="154"/>
      <c r="E319" s="154"/>
      <c r="F319" s="156"/>
      <c r="G319" s="157"/>
      <c r="H319" s="157"/>
      <c r="I319" s="157"/>
    </row>
    <row r="320" ht="15.4" customHeight="1">
      <c r="A320" s="115" t="s">
        <v>358</v>
      </c>
      <c r="B320" s="68"/>
      <c r="C320" s="154"/>
      <c r="D320" s="154"/>
      <c r="E320" s="154"/>
      <c r="F320" s="156"/>
      <c r="G320" s="157"/>
      <c r="H320" s="157"/>
      <c r="I320" s="157"/>
    </row>
    <row r="321" ht="15.4" customHeight="1">
      <c r="A321" s="115" t="s">
        <v>359</v>
      </c>
      <c r="B321" s="68"/>
      <c r="C321" s="154"/>
      <c r="D321" s="154"/>
      <c r="E321" s="154"/>
      <c r="F321" s="156"/>
      <c r="G321" s="157"/>
      <c r="H321" s="157"/>
      <c r="I321" s="157"/>
    </row>
    <row r="322" ht="15.4" customHeight="1">
      <c r="A322" s="115" t="s">
        <v>360</v>
      </c>
      <c r="B322" s="68"/>
      <c r="C322" s="154"/>
      <c r="D322" s="154"/>
      <c r="E322" s="154"/>
      <c r="F322" s="156"/>
      <c r="G322" s="157"/>
      <c r="H322" s="157"/>
      <c r="I322" s="157"/>
    </row>
    <row r="323" ht="15.4" customHeight="1">
      <c r="A323" s="115"/>
      <c r="B323" s="68"/>
      <c r="C323" s="154"/>
      <c r="D323" s="154"/>
      <c r="E323" s="154"/>
      <c r="F323" s="156"/>
      <c r="G323" s="157"/>
      <c r="H323" s="157"/>
      <c r="I323" s="157"/>
    </row>
    <row r="324" ht="28.15" customHeight="1">
      <c r="A324" s="158" t="s">
        <v>361</v>
      </c>
      <c r="B324" s="158"/>
      <c r="C324" s="152"/>
      <c r="D324" s="152"/>
      <c r="E324" s="152"/>
      <c r="F324" s="153"/>
      <c r="G324" s="163" t="s">
        <v>362</v>
      </c>
      <c r="H324" s="163"/>
      <c r="I324" s="163"/>
    </row>
    <row r="325" ht="15.4" customHeight="1">
      <c r="A325" s="115"/>
      <c r="B325" s="68"/>
      <c r="C325" s="154"/>
      <c r="D325" s="154"/>
      <c r="E325" s="154"/>
      <c r="F325" s="156"/>
      <c r="G325" s="157"/>
      <c r="H325" s="157"/>
      <c r="I325" s="157"/>
    </row>
    <row r="326" ht="15.4" customHeight="1">
      <c r="A326" s="115"/>
      <c r="B326" s="68"/>
      <c r="C326" s="154"/>
      <c r="D326" s="154"/>
      <c r="E326" s="154"/>
      <c r="F326" s="156"/>
      <c r="G326" s="157"/>
      <c r="H326" s="157"/>
      <c r="I326" s="157"/>
    </row>
    <row r="327" ht="15.4" customHeight="1">
      <c r="A327" s="115"/>
      <c r="B327" s="68"/>
      <c r="C327" s="154"/>
      <c r="D327" s="154"/>
      <c r="E327" s="154"/>
      <c r="F327" s="156"/>
      <c r="G327" s="157"/>
      <c r="H327" s="157"/>
      <c r="I327" s="157"/>
    </row>
    <row r="328" ht="15.4" customHeight="1">
      <c r="A328" s="158" t="s">
        <v>363</v>
      </c>
      <c r="B328" s="158"/>
      <c r="C328" s="152"/>
      <c r="D328" s="152"/>
      <c r="E328" s="152"/>
      <c r="F328" s="153"/>
      <c r="G328" s="163" t="s">
        <v>362</v>
      </c>
      <c r="H328" s="163"/>
      <c r="I328" s="163"/>
    </row>
    <row r="329" ht="15.4" customHeight="1">
      <c r="A329" s="115" t="s">
        <v>364</v>
      </c>
      <c r="B329" s="68"/>
      <c r="C329" s="154"/>
      <c r="D329" s="154"/>
      <c r="E329" s="154"/>
      <c r="F329" s="156"/>
      <c r="G329" s="157"/>
      <c r="H329" s="157"/>
      <c r="I329" s="157"/>
    </row>
    <row r="330" ht="15.4" customHeight="1">
      <c r="A330" s="115" t="s">
        <v>365</v>
      </c>
      <c r="B330" s="68"/>
      <c r="C330" s="154"/>
      <c r="D330" s="154"/>
      <c r="E330" s="154"/>
      <c r="F330" s="156"/>
      <c r="G330" s="157"/>
      <c r="H330" s="157"/>
      <c r="I330" s="157"/>
    </row>
    <row r="331" ht="15.4" customHeight="1">
      <c r="A331" s="115" t="s">
        <v>366</v>
      </c>
      <c r="B331" s="68"/>
      <c r="C331" s="154"/>
      <c r="D331" s="154"/>
      <c r="E331" s="154"/>
      <c r="F331" s="156"/>
      <c r="G331" s="157"/>
      <c r="H331" s="157"/>
      <c r="I331" s="157"/>
    </row>
    <row r="332" ht="15.4" customHeight="1">
      <c r="A332" s="115"/>
      <c r="B332" s="68"/>
      <c r="C332" s="154"/>
      <c r="D332" s="154"/>
      <c r="E332" s="154"/>
      <c r="F332" s="156"/>
      <c r="G332" s="157"/>
      <c r="H332" s="157"/>
      <c r="I332" s="157"/>
    </row>
    <row r="333" ht="15.4" customHeight="1">
      <c r="A333" s="115"/>
      <c r="B333" s="68"/>
      <c r="C333" s="154"/>
      <c r="D333" s="154"/>
      <c r="E333" s="154"/>
      <c r="F333" s="156"/>
      <c r="G333" s="157"/>
      <c r="H333" s="157"/>
      <c r="I333" s="157"/>
    </row>
    <row r="334" ht="15.4" customHeight="1">
      <c r="A334" s="158" t="s">
        <v>367</v>
      </c>
      <c r="B334" s="158"/>
      <c r="C334" s="152"/>
      <c r="D334" s="152"/>
      <c r="E334" s="152"/>
      <c r="F334" s="153"/>
      <c r="G334" s="159"/>
      <c r="H334" s="159"/>
      <c r="I334" s="159"/>
    </row>
    <row r="335" ht="15.4" customHeight="1">
      <c r="A335" s="115" t="s">
        <v>368</v>
      </c>
      <c r="B335" s="68"/>
      <c r="C335" s="154"/>
      <c r="D335" s="154"/>
      <c r="E335" s="154"/>
      <c r="F335" s="156"/>
      <c r="G335" s="157"/>
      <c r="H335" s="157"/>
      <c r="I335" s="157"/>
    </row>
    <row r="336" ht="15.4" customHeight="1">
      <c r="A336" s="123" t="s">
        <v>369</v>
      </c>
      <c r="B336" s="68"/>
      <c r="C336" s="154"/>
      <c r="D336" s="154"/>
      <c r="E336" s="154"/>
      <c r="F336" s="156"/>
      <c r="G336" s="157"/>
      <c r="H336" s="157"/>
      <c r="I336" s="157"/>
    </row>
    <row r="337" ht="15.4" customHeight="1">
      <c r="A337" s="164"/>
      <c r="B337" s="68"/>
      <c r="C337" s="154"/>
      <c r="D337" s="154"/>
      <c r="E337" s="154"/>
      <c r="F337" s="156"/>
      <c r="G337" s="157"/>
      <c r="H337" s="157"/>
      <c r="I337" s="157"/>
    </row>
    <row r="338" ht="15.4" customHeight="1">
      <c r="A338" s="158" t="s">
        <v>370</v>
      </c>
      <c r="B338" s="158"/>
      <c r="C338" s="154"/>
      <c r="D338" s="154"/>
      <c r="E338" s="154"/>
      <c r="F338" s="156"/>
      <c r="G338" s="157"/>
      <c r="H338" s="157"/>
      <c r="I338" s="157"/>
    </row>
    <row r="339" ht="8.25" customHeight="1">
      <c r="A339" s="341"/>
      <c r="B339" s="371"/>
      <c r="C339" s="371"/>
      <c r="D339" s="371"/>
      <c r="E339" s="371"/>
      <c r="F339" s="371"/>
      <c r="G339" s="371"/>
      <c r="H339" s="371"/>
      <c r="I339" s="371"/>
    </row>
    <row r="340" ht="15.4" customHeight="1">
      <c r="A340" s="341"/>
      <c r="B340" s="353" t="s">
        <v>371</v>
      </c>
      <c r="C340" s="353"/>
      <c r="D340" s="353"/>
      <c r="E340" s="353"/>
      <c r="F340" s="353"/>
      <c r="G340" s="141" t="s">
        <v>253</v>
      </c>
      <c r="H340" s="141" t="s">
        <v>254</v>
      </c>
      <c r="I340" s="371"/>
    </row>
    <row r="341" ht="15.4" customHeight="1">
      <c r="A341" s="341"/>
      <c r="B341" s="165" t="s">
        <v>372</v>
      </c>
      <c r="C341" s="361"/>
      <c r="D341" s="361"/>
      <c r="E341" s="361"/>
      <c r="F341" s="361"/>
      <c r="G341" s="142"/>
      <c r="H341" s="142"/>
      <c r="I341" s="371"/>
    </row>
    <row r="342" ht="15.4" customHeight="1">
      <c r="A342" s="138" t="s">
        <v>373</v>
      </c>
      <c r="B342" s="138"/>
      <c r="C342" s="138"/>
      <c r="D342" s="371"/>
      <c r="E342" s="371"/>
      <c r="F342" s="371"/>
      <c r="G342" s="371"/>
      <c r="H342" s="371"/>
      <c r="I342" s="371"/>
    </row>
    <row r="343" ht="15.4" customHeight="1">
      <c r="A343" s="341"/>
      <c r="B343" s="371"/>
      <c r="C343" s="371"/>
      <c r="D343" s="371"/>
      <c r="E343" s="371"/>
      <c r="F343" s="371"/>
      <c r="G343" s="371"/>
      <c r="H343" s="371"/>
      <c r="I343" s="371"/>
    </row>
    <row r="344" ht="30" customHeight="1">
      <c r="A344" s="341"/>
      <c r="B344" s="373" t="s">
        <v>374</v>
      </c>
      <c r="C344" s="166" t="s">
        <v>375</v>
      </c>
      <c r="D344" s="87" t="s">
        <v>376</v>
      </c>
      <c r="E344" s="87"/>
      <c r="F344" s="87"/>
      <c r="G344" s="87"/>
      <c r="H344" s="87"/>
      <c r="I344" s="371"/>
    </row>
    <row r="345" ht="15.4" customHeight="1">
      <c r="A345" s="167" t="s">
        <v>377</v>
      </c>
      <c r="B345" s="154"/>
      <c r="C345" s="154"/>
      <c r="D345" s="168"/>
      <c r="E345" s="168"/>
      <c r="F345" s="168"/>
      <c r="G345" s="168"/>
      <c r="H345" s="168"/>
      <c r="I345" s="371"/>
    </row>
    <row r="346" ht="15.4" customHeight="1">
      <c r="A346" s="167" t="s">
        <v>378</v>
      </c>
      <c r="B346" s="154"/>
      <c r="C346" s="154"/>
      <c r="D346" s="168"/>
      <c r="E346" s="168"/>
      <c r="F346" s="168"/>
      <c r="G346" s="168"/>
      <c r="H346" s="168"/>
      <c r="I346" s="371"/>
    </row>
    <row r="347" ht="15.4" customHeight="1">
      <c r="A347" s="167" t="s">
        <v>379</v>
      </c>
      <c r="B347" s="154"/>
      <c r="C347" s="154"/>
      <c r="D347" s="168"/>
      <c r="E347" s="168"/>
      <c r="F347" s="168"/>
      <c r="G347" s="168"/>
      <c r="H347" s="168"/>
      <c r="I347" s="371"/>
    </row>
    <row r="348" ht="15.4" customHeight="1">
      <c r="A348" s="167" t="s">
        <v>380</v>
      </c>
      <c r="B348" s="154"/>
      <c r="C348" s="154"/>
      <c r="D348" s="168"/>
      <c r="E348" s="168"/>
      <c r="F348" s="168"/>
      <c r="G348" s="168"/>
      <c r="H348" s="168"/>
      <c r="I348" s="371"/>
    </row>
    <row r="349" ht="15.4" customHeight="1">
      <c r="A349" s="341"/>
      <c r="B349" s="371"/>
      <c r="C349" s="371"/>
      <c r="D349" s="371"/>
      <c r="E349" s="371"/>
      <c r="F349" s="371"/>
      <c r="G349" s="371"/>
      <c r="H349" s="371"/>
      <c r="I349" s="371"/>
    </row>
    <row r="350" ht="15.4" customHeight="1">
      <c r="A350" s="341"/>
      <c r="B350" s="371"/>
      <c r="C350" s="371"/>
      <c r="D350" s="371"/>
      <c r="E350" s="371"/>
      <c r="F350" s="371"/>
      <c r="G350" s="371"/>
      <c r="H350" s="371"/>
      <c r="I350" s="371"/>
    </row>
    <row r="351" ht="15.4" customHeight="1">
      <c r="A351" s="138" t="s">
        <v>381</v>
      </c>
      <c r="B351" s="138"/>
      <c r="C351" s="138"/>
      <c r="D351" s="371"/>
      <c r="E351" s="371"/>
      <c r="F351" s="371"/>
      <c r="G351" s="371"/>
      <c r="H351" s="371"/>
      <c r="I351" s="371"/>
    </row>
    <row r="352" ht="15.4" customHeight="1">
      <c r="A352" s="341"/>
      <c r="B352" s="371"/>
      <c r="C352" s="371"/>
      <c r="D352" s="371"/>
      <c r="E352" s="371"/>
      <c r="F352" s="371"/>
      <c r="G352" s="371"/>
      <c r="H352" s="371"/>
      <c r="I352" s="371"/>
    </row>
    <row r="353" ht="15.4" customHeight="1">
      <c r="A353" s="169"/>
      <c r="B353" s="371"/>
      <c r="C353" s="371"/>
      <c r="D353" s="120" t="s">
        <v>382</v>
      </c>
      <c r="E353" s="371"/>
      <c r="F353" s="371"/>
      <c r="G353" s="371"/>
      <c r="H353" s="371"/>
      <c r="I353" s="371"/>
    </row>
    <row r="354" ht="15.4" customHeight="1">
      <c r="A354" s="170"/>
      <c r="B354" s="371"/>
      <c r="C354" s="371"/>
      <c r="D354" s="151" t="s">
        <v>383</v>
      </c>
      <c r="E354" s="371"/>
      <c r="F354" s="371"/>
      <c r="G354" s="371"/>
      <c r="H354" s="371"/>
      <c r="I354" s="371"/>
    </row>
    <row r="355" ht="15.4" customHeight="1">
      <c r="A355" s="171" t="s">
        <v>384</v>
      </c>
      <c r="B355" s="172"/>
      <c r="C355" s="68"/>
      <c r="D355" s="154"/>
      <c r="E355" s="371"/>
      <c r="F355" s="371"/>
      <c r="G355" s="371"/>
      <c r="H355" s="371"/>
      <c r="I355" s="371"/>
    </row>
    <row r="356" ht="15.4" customHeight="1">
      <c r="A356" s="171" t="s">
        <v>385</v>
      </c>
      <c r="B356" s="172"/>
      <c r="C356" s="68"/>
      <c r="D356" s="154"/>
      <c r="E356" s="371"/>
      <c r="F356" s="371"/>
      <c r="G356" s="371"/>
      <c r="H356" s="371"/>
      <c r="I356" s="371"/>
    </row>
    <row r="357" ht="15.4" customHeight="1">
      <c r="A357" s="171" t="s">
        <v>386</v>
      </c>
      <c r="B357" s="172"/>
      <c r="C357" s="68"/>
      <c r="D357" s="154"/>
      <c r="E357" s="371"/>
      <c r="F357" s="371"/>
      <c r="G357" s="371"/>
      <c r="H357" s="371"/>
      <c r="I357" s="371"/>
    </row>
    <row r="358" ht="15.4" customHeight="1">
      <c r="A358" s="171" t="s">
        <v>387</v>
      </c>
      <c r="B358" s="172"/>
      <c r="C358" s="68"/>
      <c r="D358" s="154"/>
      <c r="E358" s="371"/>
      <c r="F358" s="371"/>
      <c r="G358" s="371"/>
      <c r="H358" s="371"/>
      <c r="I358" s="371"/>
    </row>
    <row r="359" ht="15.4" customHeight="1">
      <c r="A359" s="171" t="s">
        <v>388</v>
      </c>
      <c r="B359" s="172"/>
      <c r="C359" s="68"/>
      <c r="D359" s="154"/>
      <c r="E359" s="371"/>
      <c r="F359" s="371"/>
      <c r="G359" s="371"/>
      <c r="H359" s="371"/>
      <c r="I359" s="371"/>
    </row>
    <row r="360" ht="15.4" customHeight="1">
      <c r="A360" s="171" t="s">
        <v>389</v>
      </c>
      <c r="B360" s="172"/>
      <c r="C360" s="68"/>
      <c r="D360" s="154"/>
      <c r="E360" s="371"/>
      <c r="F360" s="371"/>
      <c r="G360" s="371"/>
      <c r="H360" s="371"/>
      <c r="I360" s="371"/>
    </row>
    <row r="361" ht="15.4" customHeight="1">
      <c r="A361" s="171" t="s">
        <v>390</v>
      </c>
      <c r="B361" s="172"/>
      <c r="C361" s="68"/>
      <c r="D361" s="154"/>
      <c r="E361" s="371"/>
      <c r="F361" s="371"/>
      <c r="G361" s="371"/>
      <c r="H361" s="371"/>
      <c r="I361" s="371"/>
    </row>
    <row r="362" ht="15.4" customHeight="1">
      <c r="A362" s="171" t="s">
        <v>391</v>
      </c>
      <c r="B362" s="172"/>
      <c r="C362" s="68"/>
      <c r="D362" s="154"/>
      <c r="E362" s="371"/>
      <c r="F362" s="371"/>
      <c r="G362" s="371"/>
      <c r="H362" s="371"/>
      <c r="I362" s="371"/>
    </row>
    <row r="363" ht="15.4" customHeight="1">
      <c r="A363" s="171" t="s">
        <v>392</v>
      </c>
      <c r="B363" s="172"/>
      <c r="C363" s="68"/>
      <c r="D363" s="154"/>
      <c r="E363" s="371"/>
      <c r="F363" s="371"/>
      <c r="G363" s="371"/>
      <c r="H363" s="371"/>
      <c r="I363" s="371"/>
    </row>
    <row r="364" ht="15.4" customHeight="1">
      <c r="A364" s="171" t="s">
        <v>393</v>
      </c>
      <c r="B364" s="172"/>
      <c r="C364" s="68"/>
      <c r="D364" s="154"/>
      <c r="E364" s="371"/>
      <c r="F364" s="371"/>
      <c r="G364" s="371"/>
      <c r="H364" s="371"/>
      <c r="I364" s="371"/>
    </row>
    <row r="365" ht="15.4" customHeight="1">
      <c r="A365" s="171" t="s">
        <v>394</v>
      </c>
      <c r="B365" s="172"/>
      <c r="C365" s="68"/>
      <c r="D365" s="154"/>
      <c r="E365" s="371"/>
      <c r="F365" s="371"/>
      <c r="G365" s="371"/>
      <c r="H365" s="371"/>
      <c r="I365" s="371"/>
    </row>
    <row r="366" ht="15.4" customHeight="1">
      <c r="A366" s="171" t="s">
        <v>395</v>
      </c>
      <c r="B366" s="172"/>
      <c r="C366" s="68"/>
      <c r="D366" s="154"/>
      <c r="E366" s="371"/>
      <c r="F366" s="371"/>
      <c r="G366" s="371"/>
      <c r="H366" s="371"/>
      <c r="I366" s="371"/>
    </row>
    <row r="367" ht="15.4" customHeight="1">
      <c r="A367" s="171" t="s">
        <v>396</v>
      </c>
      <c r="B367" s="172"/>
      <c r="C367" s="68"/>
      <c r="D367" s="154"/>
      <c r="E367" s="371"/>
      <c r="F367" s="371"/>
      <c r="G367" s="371"/>
      <c r="H367" s="371"/>
      <c r="I367" s="371"/>
    </row>
    <row r="368" ht="15.4" customHeight="1">
      <c r="A368" s="171" t="s">
        <v>397</v>
      </c>
      <c r="B368" s="172"/>
      <c r="C368" s="68"/>
      <c r="D368" s="154"/>
      <c r="E368" s="371"/>
      <c r="F368" s="371"/>
      <c r="G368" s="371"/>
      <c r="H368" s="371"/>
      <c r="I368" s="371"/>
    </row>
    <row r="369" ht="15.4" customHeight="1">
      <c r="A369" s="171" t="s">
        <v>398</v>
      </c>
      <c r="B369" s="172"/>
      <c r="C369" s="68"/>
      <c r="D369" s="154"/>
      <c r="E369" s="371"/>
      <c r="F369" s="371"/>
      <c r="G369" s="371"/>
      <c r="H369" s="371"/>
      <c r="I369" s="371"/>
    </row>
    <row r="370" ht="15.4" customHeight="1">
      <c r="A370" s="171" t="s">
        <v>399</v>
      </c>
      <c r="B370" s="172"/>
      <c r="C370" s="68"/>
      <c r="D370" s="154"/>
      <c r="E370" s="371"/>
      <c r="F370" s="371"/>
      <c r="G370" s="371"/>
      <c r="H370" s="371"/>
      <c r="I370" s="371"/>
    </row>
    <row r="371" ht="15.4" customHeight="1">
      <c r="A371" s="171" t="s">
        <v>400</v>
      </c>
      <c r="B371" s="172"/>
      <c r="C371" s="68"/>
      <c r="D371" s="154"/>
      <c r="E371" s="371"/>
      <c r="F371" s="371"/>
      <c r="G371" s="371"/>
      <c r="H371" s="371"/>
      <c r="I371" s="371"/>
    </row>
    <row r="372" ht="15.4" customHeight="1">
      <c r="A372" s="171" t="s">
        <v>401</v>
      </c>
      <c r="B372" s="172"/>
      <c r="C372" s="68"/>
      <c r="D372" s="154"/>
      <c r="E372" s="371"/>
      <c r="F372" s="371"/>
      <c r="G372" s="371"/>
      <c r="H372" s="371"/>
      <c r="I372" s="371"/>
    </row>
    <row r="373" ht="15.4" customHeight="1">
      <c r="A373" s="171" t="s">
        <v>402</v>
      </c>
      <c r="B373" s="172"/>
      <c r="C373" s="68"/>
      <c r="D373" s="154"/>
      <c r="E373" s="371"/>
      <c r="F373" s="371"/>
      <c r="G373" s="371"/>
      <c r="H373" s="371"/>
      <c r="I373" s="371"/>
    </row>
    <row r="374" ht="15.4" customHeight="1">
      <c r="A374" s="171" t="s">
        <v>403</v>
      </c>
      <c r="B374" s="172"/>
      <c r="C374" s="68"/>
      <c r="D374" s="154"/>
      <c r="E374" s="371"/>
      <c r="F374" s="371"/>
      <c r="G374" s="371"/>
      <c r="H374" s="371"/>
      <c r="I374" s="371"/>
    </row>
    <row r="375" ht="15.4" customHeight="1">
      <c r="A375" s="171" t="s">
        <v>404</v>
      </c>
      <c r="B375" s="172"/>
      <c r="C375" s="68"/>
      <c r="D375" s="154"/>
      <c r="E375" s="371"/>
      <c r="F375" s="371"/>
      <c r="G375" s="371"/>
      <c r="H375" s="371"/>
      <c r="I375" s="371"/>
    </row>
    <row r="376" ht="15.4" customHeight="1">
      <c r="A376" s="171" t="s">
        <v>405</v>
      </c>
      <c r="B376" s="172"/>
      <c r="C376" s="68"/>
      <c r="D376" s="154"/>
      <c r="E376" s="120" t="s">
        <v>406</v>
      </c>
      <c r="F376" s="120" t="s">
        <v>407</v>
      </c>
      <c r="G376" s="120" t="s">
        <v>408</v>
      </c>
      <c r="H376" s="371"/>
      <c r="I376" s="371"/>
    </row>
    <row r="377" ht="15.4" customHeight="1">
      <c r="A377" s="171" t="s">
        <v>409</v>
      </c>
      <c r="B377" s="172"/>
      <c r="C377" s="68"/>
      <c r="D377" s="154"/>
      <c r="E377" s="173" t="s">
        <v>410</v>
      </c>
      <c r="F377" s="173" t="s">
        <v>410</v>
      </c>
      <c r="G377" s="173" t="s">
        <v>410</v>
      </c>
      <c r="H377" s="371"/>
      <c r="I377" s="371"/>
    </row>
    <row r="378" ht="15.4" customHeight="1">
      <c r="A378" s="171" t="s">
        <v>411</v>
      </c>
      <c r="B378" s="172"/>
      <c r="C378" s="68"/>
      <c r="D378" s="154"/>
      <c r="E378" s="173"/>
      <c r="F378" s="173"/>
      <c r="G378" s="173"/>
      <c r="H378" s="371"/>
      <c r="I378" s="371"/>
    </row>
    <row r="379" ht="15.4" customHeight="1">
      <c r="A379" s="171"/>
      <c r="B379" s="172"/>
      <c r="C379" s="68"/>
      <c r="D379" s="154"/>
      <c r="E379" s="154"/>
      <c r="F379" s="154"/>
      <c r="G379" s="154"/>
      <c r="H379" s="371"/>
      <c r="I379" s="371"/>
    </row>
    <row r="380" ht="15.4" customHeight="1">
      <c r="A380" s="171"/>
      <c r="B380" s="172"/>
      <c r="C380" s="68"/>
      <c r="D380" s="154"/>
      <c r="E380" s="154"/>
      <c r="F380" s="154"/>
      <c r="G380" s="154"/>
      <c r="H380" s="371"/>
      <c r="I380" s="371"/>
    </row>
    <row r="381" ht="15.4" customHeight="1">
      <c r="A381" s="171"/>
      <c r="B381" s="172"/>
      <c r="C381" s="68"/>
      <c r="D381" s="154"/>
      <c r="E381" s="154"/>
      <c r="F381" s="154"/>
      <c r="G381" s="154"/>
      <c r="H381" s="371"/>
      <c r="I381" s="371"/>
    </row>
    <row r="382" ht="15.4" customHeight="1">
      <c r="A382" s="115"/>
      <c r="B382" s="74"/>
      <c r="C382" s="68"/>
      <c r="D382" s="154"/>
      <c r="E382" s="154"/>
      <c r="F382" s="154"/>
      <c r="G382" s="154"/>
      <c r="H382" s="371"/>
      <c r="I382" s="371"/>
    </row>
    <row r="383" ht="15.4" customHeight="1">
      <c r="A383" s="115"/>
      <c r="B383" s="74"/>
      <c r="C383" s="68"/>
      <c r="D383" s="154"/>
      <c r="E383" s="154"/>
      <c r="F383" s="154"/>
      <c r="G383" s="154"/>
      <c r="H383" s="371"/>
      <c r="I383" s="371"/>
    </row>
    <row r="384" ht="15.4" customHeight="1">
      <c r="A384" s="341"/>
      <c r="B384" s="371"/>
      <c r="C384" s="371"/>
      <c r="D384" s="371"/>
      <c r="E384" s="371"/>
      <c r="F384" s="371"/>
      <c r="G384" s="371"/>
      <c r="H384" s="371"/>
      <c r="I384" s="371"/>
    </row>
    <row r="385" ht="15.4" customHeight="1">
      <c r="A385" s="341"/>
      <c r="B385" s="371"/>
      <c r="C385" s="371"/>
      <c r="D385" s="371"/>
      <c r="E385" s="371"/>
      <c r="F385" s="371"/>
      <c r="G385" s="371"/>
      <c r="H385" s="371"/>
      <c r="I385" s="371"/>
    </row>
    <row r="386" ht="15.4" customHeight="1">
      <c r="A386" s="341"/>
      <c r="B386" s="371"/>
      <c r="C386" s="371"/>
      <c r="D386" s="371"/>
      <c r="E386" s="371"/>
      <c r="F386" s="371"/>
      <c r="G386" s="371"/>
      <c r="H386" s="371"/>
      <c r="I386" s="371"/>
    </row>
    <row r="387" ht="15.4" customHeight="1">
      <c r="A387" s="341"/>
      <c r="B387" s="371"/>
      <c r="C387" s="371"/>
      <c r="D387" s="371"/>
      <c r="E387" s="371"/>
      <c r="F387" s="371"/>
      <c r="G387" s="371"/>
      <c r="H387" s="371"/>
      <c r="I387" s="371"/>
    </row>
    <row r="388" ht="15.4" customHeight="1">
      <c r="A388" s="341"/>
      <c r="B388" s="371"/>
      <c r="C388" s="371"/>
      <c r="D388" s="371"/>
      <c r="E388" s="371"/>
      <c r="F388" s="371"/>
      <c r="G388" s="371"/>
      <c r="H388" s="371"/>
      <c r="I388" s="371"/>
    </row>
    <row r="389" ht="15.4" customHeight="1">
      <c r="A389" s="341"/>
      <c r="B389" s="371"/>
      <c r="C389" s="371"/>
      <c r="D389" s="371"/>
      <c r="E389" s="371"/>
      <c r="F389" s="371"/>
      <c r="G389" s="371"/>
      <c r="H389" s="371"/>
      <c r="I389" s="371"/>
    </row>
    <row r="390" ht="15.4" customHeight="1">
      <c r="A390" s="138" t="s">
        <v>412</v>
      </c>
      <c r="B390" s="138"/>
      <c r="C390" s="138"/>
      <c r="D390" s="371"/>
      <c r="E390" s="371"/>
      <c r="F390" s="371"/>
      <c r="G390" s="371"/>
      <c r="H390" s="371"/>
      <c r="I390" s="371"/>
    </row>
    <row r="391" ht="15.4" customHeight="1">
      <c r="A391" s="341"/>
      <c r="B391" s="371"/>
      <c r="C391" s="371"/>
      <c r="D391" s="371"/>
      <c r="E391" s="120" t="s">
        <v>413</v>
      </c>
      <c r="F391" s="120" t="s">
        <v>414</v>
      </c>
      <c r="G391" s="120" t="s">
        <v>415</v>
      </c>
      <c r="H391" s="371"/>
      <c r="I391" s="371"/>
    </row>
    <row r="392" ht="15.4" customHeight="1">
      <c r="A392" s="174" t="s">
        <v>416</v>
      </c>
      <c r="B392" s="174"/>
      <c r="C392" s="174"/>
      <c r="D392" s="174"/>
      <c r="E392" s="120"/>
      <c r="F392" s="120"/>
      <c r="G392" s="120"/>
      <c r="H392" s="371"/>
      <c r="I392" s="371"/>
    </row>
    <row r="393" ht="15.4" customHeight="1">
      <c r="A393" s="174"/>
      <c r="B393" s="174"/>
      <c r="C393" s="174"/>
      <c r="D393" s="174"/>
      <c r="E393" s="151" t="s">
        <v>417</v>
      </c>
      <c r="F393" s="151" t="s">
        <v>417</v>
      </c>
      <c r="G393" s="151" t="s">
        <v>417</v>
      </c>
      <c r="H393" s="371"/>
      <c r="I393" s="371"/>
    </row>
    <row r="394" ht="15.4" customHeight="1">
      <c r="A394" s="175" t="s">
        <v>418</v>
      </c>
      <c r="B394" s="176"/>
      <c r="C394" s="176"/>
      <c r="D394" s="177"/>
      <c r="E394" s="178"/>
      <c r="F394" s="178"/>
      <c r="G394" s="178"/>
      <c r="H394" s="371"/>
      <c r="I394" s="371"/>
    </row>
    <row r="395" ht="15.4" customHeight="1">
      <c r="A395" s="115" t="s">
        <v>419</v>
      </c>
      <c r="B395" s="74"/>
      <c r="C395" s="74"/>
      <c r="D395" s="68"/>
      <c r="E395" s="154"/>
      <c r="F395" s="154"/>
      <c r="G395" s="154"/>
      <c r="H395" s="371"/>
      <c r="I395" s="371"/>
    </row>
    <row r="396" ht="15.4" customHeight="1">
      <c r="A396" s="115" t="s">
        <v>420</v>
      </c>
      <c r="B396" s="74"/>
      <c r="C396" s="74"/>
      <c r="D396" s="68"/>
      <c r="E396" s="154"/>
      <c r="F396" s="154"/>
      <c r="G396" s="154"/>
      <c r="H396" s="371"/>
      <c r="I396" s="371"/>
    </row>
    <row r="397" ht="15.4" customHeight="1">
      <c r="A397" s="115" t="s">
        <v>421</v>
      </c>
      <c r="B397" s="74"/>
      <c r="C397" s="74"/>
      <c r="D397" s="68"/>
      <c r="E397" s="154"/>
      <c r="F397" s="154"/>
      <c r="G397" s="154"/>
      <c r="H397" s="371"/>
      <c r="I397" s="371"/>
    </row>
    <row r="398" ht="15.4" customHeight="1">
      <c r="A398" s="115" t="s">
        <v>422</v>
      </c>
      <c r="B398" s="74"/>
      <c r="C398" s="74"/>
      <c r="D398" s="68"/>
      <c r="E398" s="154"/>
      <c r="F398" s="154"/>
      <c r="G398" s="154"/>
      <c r="H398" s="371"/>
      <c r="I398" s="371"/>
    </row>
    <row r="399" ht="15.4" customHeight="1">
      <c r="A399" s="115" t="s">
        <v>423</v>
      </c>
      <c r="B399" s="74"/>
      <c r="C399" s="74"/>
      <c r="D399" s="68"/>
      <c r="E399" s="154"/>
      <c r="F399" s="154"/>
      <c r="G399" s="154"/>
      <c r="H399" s="371"/>
      <c r="I399" s="371"/>
    </row>
    <row r="400" ht="15.4" customHeight="1">
      <c r="A400" s="115" t="s">
        <v>424</v>
      </c>
      <c r="B400" s="74"/>
      <c r="C400" s="74"/>
      <c r="D400" s="68"/>
      <c r="E400" s="154"/>
      <c r="F400" s="154"/>
      <c r="G400" s="154"/>
      <c r="H400" s="371"/>
      <c r="I400" s="371"/>
    </row>
    <row r="401" ht="15.4" customHeight="1">
      <c r="A401" s="115" t="s">
        <v>425</v>
      </c>
      <c r="B401" s="74"/>
      <c r="C401" s="74"/>
      <c r="D401" s="68"/>
      <c r="E401" s="154"/>
      <c r="F401" s="154"/>
      <c r="G401" s="154"/>
      <c r="H401" s="371"/>
      <c r="I401" s="371"/>
    </row>
    <row r="402" ht="15.4" customHeight="1">
      <c r="A402" s="115" t="s">
        <v>426</v>
      </c>
      <c r="B402" s="74"/>
      <c r="C402" s="74"/>
      <c r="D402" s="68"/>
      <c r="E402" s="154"/>
      <c r="F402" s="154"/>
      <c r="G402" s="154"/>
      <c r="H402" s="371"/>
      <c r="I402" s="371"/>
    </row>
    <row r="403" ht="15.4" customHeight="1">
      <c r="A403" s="115" t="s">
        <v>427</v>
      </c>
      <c r="B403" s="74"/>
      <c r="C403" s="74"/>
      <c r="D403" s="68"/>
      <c r="E403" s="154"/>
      <c r="F403" s="154"/>
      <c r="G403" s="154"/>
      <c r="H403" s="371"/>
      <c r="I403" s="371"/>
    </row>
    <row r="404" ht="15.4" customHeight="1">
      <c r="A404" s="115" t="s">
        <v>428</v>
      </c>
      <c r="B404" s="74"/>
      <c r="C404" s="74"/>
      <c r="D404" s="68"/>
      <c r="E404" s="154"/>
      <c r="F404" s="154"/>
      <c r="G404" s="154"/>
      <c r="H404" s="371"/>
      <c r="I404" s="371"/>
    </row>
    <row r="405" ht="15.4" customHeight="1">
      <c r="A405" s="115" t="s">
        <v>429</v>
      </c>
      <c r="B405" s="74"/>
      <c r="C405" s="74"/>
      <c r="D405" s="68"/>
      <c r="E405" s="154"/>
      <c r="F405" s="154"/>
      <c r="G405" s="154"/>
      <c r="H405" s="371"/>
      <c r="I405" s="371"/>
    </row>
    <row r="406" ht="15.4" customHeight="1">
      <c r="A406" s="115" t="s">
        <v>430</v>
      </c>
      <c r="B406" s="74"/>
      <c r="C406" s="74"/>
      <c r="D406" s="68"/>
      <c r="E406" s="154"/>
      <c r="F406" s="154"/>
      <c r="G406" s="154"/>
      <c r="H406" s="371"/>
      <c r="I406" s="371"/>
    </row>
    <row r="407" ht="15.4" customHeight="1">
      <c r="A407" s="115" t="s">
        <v>431</v>
      </c>
      <c r="B407" s="74"/>
      <c r="C407" s="74"/>
      <c r="D407" s="68"/>
      <c r="E407" s="154"/>
      <c r="F407" s="154"/>
      <c r="G407" s="154"/>
      <c r="H407" s="371"/>
      <c r="I407" s="371"/>
    </row>
    <row r="408" ht="15.4" customHeight="1">
      <c r="A408" s="115" t="s">
        <v>432</v>
      </c>
      <c r="B408" s="74"/>
      <c r="C408" s="74"/>
      <c r="D408" s="68"/>
      <c r="E408" s="154"/>
      <c r="F408" s="154"/>
      <c r="G408" s="154"/>
      <c r="H408" s="371"/>
      <c r="I408" s="371"/>
    </row>
    <row r="409" ht="15.4" customHeight="1">
      <c r="A409" s="115" t="s">
        <v>433</v>
      </c>
      <c r="B409" s="74"/>
      <c r="C409" s="74"/>
      <c r="D409" s="68"/>
      <c r="E409" s="154"/>
      <c r="F409" s="154"/>
      <c r="G409" s="154"/>
      <c r="H409" s="371"/>
      <c r="I409" s="371"/>
    </row>
    <row r="410" ht="15.4" customHeight="1">
      <c r="A410" s="115" t="s">
        <v>434</v>
      </c>
      <c r="B410" s="74"/>
      <c r="C410" s="74"/>
      <c r="D410" s="68"/>
      <c r="E410" s="154"/>
      <c r="F410" s="154"/>
      <c r="G410" s="154"/>
      <c r="H410" s="371"/>
      <c r="I410" s="371"/>
    </row>
    <row r="411" ht="15.4" customHeight="1">
      <c r="A411" s="115" t="s">
        <v>435</v>
      </c>
      <c r="B411" s="74"/>
      <c r="C411" s="74"/>
      <c r="D411" s="68"/>
      <c r="E411" s="154"/>
      <c r="F411" s="154"/>
      <c r="G411" s="154"/>
      <c r="H411" s="371"/>
      <c r="I411" s="371"/>
    </row>
    <row r="412" ht="15.4" customHeight="1">
      <c r="A412" s="115" t="s">
        <v>436</v>
      </c>
      <c r="B412" s="74"/>
      <c r="C412" s="74"/>
      <c r="D412" s="68"/>
      <c r="E412" s="154"/>
      <c r="F412" s="154"/>
      <c r="G412" s="154"/>
      <c r="H412" s="371"/>
      <c r="I412" s="371"/>
    </row>
    <row r="413" ht="15.4" customHeight="1">
      <c r="A413" s="115" t="s">
        <v>437</v>
      </c>
      <c r="B413" s="74"/>
      <c r="C413" s="74"/>
      <c r="D413" s="68"/>
      <c r="E413" s="154"/>
      <c r="F413" s="154"/>
      <c r="G413" s="154"/>
      <c r="H413" s="371"/>
      <c r="I413" s="371"/>
    </row>
    <row r="414" ht="15.4" customHeight="1">
      <c r="A414" s="115" t="s">
        <v>438</v>
      </c>
      <c r="B414" s="74"/>
      <c r="C414" s="74"/>
      <c r="D414" s="68"/>
      <c r="E414" s="154"/>
      <c r="F414" s="154"/>
      <c r="G414" s="154"/>
      <c r="H414" s="371"/>
      <c r="I414" s="371"/>
    </row>
    <row r="415" ht="15.4" customHeight="1">
      <c r="A415" s="115" t="s">
        <v>439</v>
      </c>
      <c r="B415" s="74"/>
      <c r="C415" s="74"/>
      <c r="D415" s="68"/>
      <c r="E415" s="154"/>
      <c r="F415" s="154"/>
      <c r="G415" s="154"/>
      <c r="H415" s="371"/>
      <c r="I415" s="371"/>
    </row>
    <row r="416" ht="15.4" customHeight="1">
      <c r="A416" s="115" t="s">
        <v>440</v>
      </c>
      <c r="B416" s="74"/>
      <c r="C416" s="74"/>
      <c r="D416" s="68"/>
      <c r="E416" s="154"/>
      <c r="F416" s="154"/>
      <c r="G416" s="154"/>
      <c r="H416" s="371"/>
      <c r="I416" s="371"/>
    </row>
    <row r="417" ht="15.4" customHeight="1">
      <c r="A417" s="115" t="s">
        <v>441</v>
      </c>
      <c r="B417" s="74"/>
      <c r="C417" s="74"/>
      <c r="D417" s="68"/>
      <c r="E417" s="154"/>
      <c r="F417" s="154"/>
      <c r="G417" s="154"/>
      <c r="H417" s="371"/>
      <c r="I417" s="371"/>
    </row>
    <row r="418" ht="15.4" customHeight="1">
      <c r="A418" s="115" t="s">
        <v>442</v>
      </c>
      <c r="B418" s="74"/>
      <c r="C418" s="74"/>
      <c r="D418" s="68"/>
      <c r="E418" s="154"/>
      <c r="F418" s="154"/>
      <c r="G418" s="154"/>
      <c r="H418" s="371"/>
      <c r="I418" s="371"/>
    </row>
    <row r="419" ht="15.4" customHeight="1">
      <c r="A419" s="115" t="s">
        <v>443</v>
      </c>
      <c r="B419" s="74"/>
      <c r="C419" s="74"/>
      <c r="D419" s="68"/>
      <c r="E419" s="154"/>
      <c r="F419" s="154"/>
      <c r="G419" s="154"/>
      <c r="H419" s="371"/>
      <c r="I419" s="371"/>
    </row>
    <row r="420" ht="15.4" customHeight="1">
      <c r="A420" s="115" t="s">
        <v>444</v>
      </c>
      <c r="B420" s="74"/>
      <c r="C420" s="74"/>
      <c r="D420" s="68"/>
      <c r="E420" s="154"/>
      <c r="F420" s="154"/>
      <c r="G420" s="154"/>
      <c r="H420" s="371"/>
      <c r="I420" s="371"/>
    </row>
    <row r="421" ht="15.4" customHeight="1">
      <c r="A421" s="115" t="s">
        <v>445</v>
      </c>
      <c r="B421" s="74"/>
      <c r="C421" s="74"/>
      <c r="D421" s="68"/>
      <c r="E421" s="154"/>
      <c r="F421" s="154"/>
      <c r="G421" s="154"/>
      <c r="H421" s="371"/>
      <c r="I421" s="371"/>
    </row>
    <row r="422" ht="15.4" customHeight="1">
      <c r="A422" s="115" t="s">
        <v>446</v>
      </c>
      <c r="B422" s="74"/>
      <c r="C422" s="74"/>
      <c r="D422" s="68"/>
      <c r="E422" s="154"/>
      <c r="F422" s="154"/>
      <c r="G422" s="154"/>
      <c r="H422" s="120" t="s">
        <v>406</v>
      </c>
      <c r="I422" s="371"/>
    </row>
    <row r="423" ht="15.4" customHeight="1">
      <c r="A423" s="115" t="s">
        <v>447</v>
      </c>
      <c r="B423" s="74"/>
      <c r="C423" s="74"/>
      <c r="D423" s="68"/>
      <c r="E423" s="154"/>
      <c r="F423" s="154"/>
      <c r="G423" s="154"/>
      <c r="H423" s="173" t="s">
        <v>410</v>
      </c>
      <c r="I423" s="371"/>
    </row>
    <row r="424" ht="15.4" customHeight="1">
      <c r="A424" s="179" t="s">
        <v>448</v>
      </c>
      <c r="B424" s="74"/>
      <c r="C424" s="74"/>
      <c r="D424" s="68"/>
      <c r="E424" s="154"/>
      <c r="F424" s="154"/>
      <c r="G424" s="154"/>
      <c r="H424" s="173"/>
      <c r="I424" s="371"/>
    </row>
    <row r="425" ht="15.4" customHeight="1">
      <c r="A425" s="115"/>
      <c r="B425" s="74"/>
      <c r="C425" s="74"/>
      <c r="D425" s="68"/>
      <c r="E425" s="154"/>
      <c r="F425" s="154"/>
      <c r="G425" s="154"/>
      <c r="H425" s="154"/>
      <c r="I425" s="371"/>
    </row>
    <row r="426" ht="15.4" customHeight="1">
      <c r="A426" s="115"/>
      <c r="B426" s="74"/>
      <c r="C426" s="74"/>
      <c r="D426" s="68"/>
      <c r="E426" s="154"/>
      <c r="F426" s="154"/>
      <c r="G426" s="154"/>
      <c r="H426" s="154"/>
      <c r="I426" s="371"/>
    </row>
    <row r="427" ht="15.4" customHeight="1">
      <c r="A427" s="115"/>
      <c r="B427" s="74"/>
      <c r="C427" s="74"/>
      <c r="D427" s="68"/>
      <c r="E427" s="154"/>
      <c r="F427" s="154"/>
      <c r="G427" s="154"/>
      <c r="H427" s="154"/>
      <c r="I427" s="371"/>
    </row>
    <row r="428" ht="15.4" customHeight="1">
      <c r="A428" s="115"/>
      <c r="B428" s="74"/>
      <c r="C428" s="74"/>
      <c r="D428" s="68"/>
      <c r="E428" s="154"/>
      <c r="F428" s="154"/>
      <c r="G428" s="154"/>
      <c r="H428" s="154"/>
      <c r="I428" s="371"/>
    </row>
    <row r="429" ht="15.4" customHeight="1">
      <c r="A429" s="341"/>
      <c r="B429" s="371"/>
      <c r="C429" s="371"/>
      <c r="D429" s="371"/>
      <c r="E429" s="371"/>
      <c r="F429" s="371"/>
      <c r="G429" s="371"/>
      <c r="H429" s="371"/>
      <c r="I429" s="371"/>
    </row>
    <row r="430" ht="15.4" customHeight="1">
      <c r="A430" s="341"/>
      <c r="B430" s="140" t="s">
        <v>449</v>
      </c>
      <c r="C430" s="140"/>
      <c r="D430" s="140"/>
      <c r="E430" s="140"/>
      <c r="F430" s="140"/>
      <c r="G430" s="141" t="s">
        <v>253</v>
      </c>
      <c r="H430" s="141" t="s">
        <v>254</v>
      </c>
      <c r="I430" s="371"/>
    </row>
    <row r="431" ht="15.4" customHeight="1">
      <c r="A431" s="341"/>
      <c r="B431" s="140"/>
      <c r="C431" s="140"/>
      <c r="D431" s="140"/>
      <c r="E431" s="140"/>
      <c r="F431" s="140"/>
      <c r="G431" s="142"/>
      <c r="H431" s="142"/>
      <c r="I431" s="371"/>
    </row>
    <row r="432" ht="15.4" customHeight="1">
      <c r="A432" s="341"/>
      <c r="B432" s="140"/>
      <c r="C432" s="140"/>
      <c r="D432" s="140"/>
      <c r="E432" s="140"/>
      <c r="F432" s="140"/>
      <c r="G432" s="371"/>
      <c r="H432" s="371"/>
      <c r="I432" s="371"/>
    </row>
    <row r="433" ht="15.4" customHeight="1">
      <c r="A433" s="341"/>
      <c r="C433" s="139"/>
      <c r="D433" s="139"/>
      <c r="E433" s="139"/>
      <c r="F433" s="139"/>
      <c r="G433" s="371"/>
      <c r="H433" s="371"/>
      <c r="I433" s="371"/>
    </row>
    <row r="434" ht="15.4" customHeight="1">
      <c r="A434" s="341" t="s">
        <v>227</v>
      </c>
      <c r="B434" s="140" t="s">
        <v>450</v>
      </c>
      <c r="C434" s="140"/>
      <c r="D434" s="140"/>
      <c r="E434" s="140"/>
      <c r="F434" s="140"/>
      <c r="G434" s="361"/>
      <c r="H434" s="361"/>
      <c r="I434" s="371"/>
    </row>
    <row r="435" ht="15.4" customHeight="1">
      <c r="A435" s="341"/>
      <c r="B435" s="180" t="s">
        <v>372</v>
      </c>
      <c r="C435" s="361"/>
      <c r="D435" s="361"/>
      <c r="E435" s="361"/>
      <c r="F435" s="361"/>
      <c r="G435" s="353"/>
      <c r="H435" s="353"/>
      <c r="I435" s="371"/>
    </row>
    <row r="436" ht="15.4" customHeight="1">
      <c r="A436" s="341"/>
      <c r="B436" s="371"/>
      <c r="C436" s="361"/>
      <c r="D436" s="361"/>
      <c r="E436" s="361"/>
      <c r="F436" s="361"/>
      <c r="G436" s="353"/>
      <c r="H436" s="353"/>
      <c r="I436" s="371"/>
    </row>
    <row r="437" ht="15.4" customHeight="1">
      <c r="A437" s="341"/>
      <c r="B437" s="371"/>
      <c r="C437" s="371"/>
      <c r="D437" s="371"/>
      <c r="E437" s="371"/>
      <c r="F437" s="371"/>
      <c r="G437" s="141" t="s">
        <v>253</v>
      </c>
      <c r="H437" s="141" t="s">
        <v>254</v>
      </c>
      <c r="I437" s="371"/>
    </row>
    <row r="438" ht="15.4" customHeight="1">
      <c r="A438" s="341" t="s">
        <v>227</v>
      </c>
      <c r="B438" s="181" t="s">
        <v>451</v>
      </c>
      <c r="C438" s="181"/>
      <c r="D438" s="181"/>
      <c r="E438" s="181"/>
      <c r="F438" s="181"/>
      <c r="G438" s="142"/>
      <c r="H438" s="142"/>
      <c r="I438" s="371"/>
    </row>
    <row r="439" ht="15.4" customHeight="1">
      <c r="A439" s="138" t="s">
        <v>452</v>
      </c>
      <c r="B439" s="138"/>
      <c r="C439" s="138"/>
      <c r="D439" s="371"/>
      <c r="E439" s="371"/>
      <c r="F439" s="371"/>
      <c r="G439" s="371"/>
      <c r="H439" s="371"/>
      <c r="I439" s="371"/>
    </row>
    <row r="440" ht="15.4" customHeight="1">
      <c r="A440" s="341"/>
      <c r="B440" s="371"/>
      <c r="C440" s="371"/>
      <c r="D440" s="371"/>
      <c r="E440" s="371"/>
      <c r="F440" s="371"/>
      <c r="G440" s="371"/>
      <c r="H440" s="371"/>
      <c r="I440" s="371"/>
    </row>
    <row r="441" ht="15.4" customHeight="1">
      <c r="A441" s="341" t="s">
        <v>251</v>
      </c>
      <c r="B441" s="140" t="s">
        <v>453</v>
      </c>
      <c r="C441" s="140"/>
      <c r="D441" s="140"/>
      <c r="E441" s="140"/>
      <c r="F441" s="140"/>
      <c r="G441" s="141" t="s">
        <v>253</v>
      </c>
      <c r="H441" s="141" t="s">
        <v>254</v>
      </c>
      <c r="I441" s="371"/>
    </row>
    <row r="442" ht="15" customHeight="1">
      <c r="A442" s="341"/>
      <c r="B442" s="140"/>
      <c r="C442" s="140"/>
      <c r="D442" s="140"/>
      <c r="E442" s="140"/>
      <c r="F442" s="140"/>
      <c r="G442" s="110"/>
      <c r="H442" s="110"/>
      <c r="I442" s="371"/>
    </row>
    <row r="443" ht="15" customHeight="1">
      <c r="A443" s="341"/>
      <c r="B443" s="140"/>
      <c r="C443" s="140"/>
      <c r="D443" s="140"/>
      <c r="E443" s="140"/>
      <c r="F443" s="140"/>
      <c r="G443" s="110"/>
      <c r="H443" s="110"/>
      <c r="I443" s="371"/>
    </row>
    <row r="444" ht="15.4" customHeight="1">
      <c r="A444" s="341"/>
      <c r="B444" s="182" t="s">
        <v>454</v>
      </c>
      <c r="C444" s="139"/>
      <c r="D444" s="139"/>
      <c r="E444" s="139"/>
      <c r="F444" s="139"/>
      <c r="I444" s="371"/>
    </row>
    <row r="445" ht="15.4" customHeight="1">
      <c r="A445" s="341"/>
      <c r="C445" s="139"/>
      <c r="D445" s="139"/>
      <c r="E445" s="139"/>
      <c r="F445" s="139"/>
      <c r="G445" s="371"/>
      <c r="H445" s="371"/>
      <c r="I445" s="371"/>
    </row>
    <row r="446" ht="15.4" customHeight="1">
      <c r="A446" s="341" t="s">
        <v>251</v>
      </c>
      <c r="B446" s="140" t="s">
        <v>455</v>
      </c>
      <c r="C446" s="140"/>
      <c r="D446" s="140"/>
      <c r="E446" s="140"/>
      <c r="F446" s="140"/>
      <c r="G446" s="141" t="s">
        <v>253</v>
      </c>
      <c r="H446" s="141" t="s">
        <v>254</v>
      </c>
      <c r="I446" s="371"/>
    </row>
    <row r="447" ht="15.4" customHeight="1">
      <c r="B447" s="140"/>
      <c r="C447" s="140"/>
      <c r="D447" s="140"/>
      <c r="E447" s="140"/>
      <c r="F447" s="140"/>
      <c r="G447" s="142"/>
      <c r="H447" s="142"/>
      <c r="I447" s="371"/>
    </row>
    <row r="448" ht="15.4" customHeight="1">
      <c r="A448" s="341"/>
      <c r="B448" s="182" t="s">
        <v>456</v>
      </c>
      <c r="C448" s="139"/>
      <c r="D448" s="139"/>
      <c r="E448" s="139"/>
      <c r="F448" s="371"/>
      <c r="G448" s="371"/>
      <c r="H448" s="371"/>
      <c r="I448" s="371"/>
    </row>
    <row r="450" ht="15.4" customHeight="1">
      <c r="A450" s="341" t="s">
        <v>251</v>
      </c>
      <c r="B450" s="158" t="s">
        <v>457</v>
      </c>
      <c r="C450" s="158"/>
      <c r="D450" s="158"/>
      <c r="E450" s="371"/>
      <c r="F450" s="371"/>
      <c r="G450" s="371"/>
      <c r="H450" s="371"/>
      <c r="I450" s="371"/>
    </row>
    <row r="451" ht="15.4" customHeight="1">
      <c r="A451" s="341"/>
      <c r="B451" s="120" t="s">
        <v>458</v>
      </c>
      <c r="C451" s="120"/>
      <c r="D451" s="120"/>
      <c r="E451" s="120"/>
      <c r="F451" s="120" t="s">
        <v>459</v>
      </c>
      <c r="G451" s="371"/>
      <c r="H451" s="371"/>
      <c r="I451" s="371"/>
    </row>
    <row r="452" ht="15.4" customHeight="1">
      <c r="A452" s="341"/>
      <c r="B452" s="168"/>
      <c r="C452" s="168"/>
      <c r="D452" s="168"/>
      <c r="E452" s="168"/>
      <c r="F452" s="183"/>
      <c r="G452" s="371"/>
      <c r="H452" s="371"/>
      <c r="I452" s="371"/>
    </row>
    <row r="453" ht="15.4" customHeight="1">
      <c r="A453" s="341"/>
      <c r="B453" s="168"/>
      <c r="C453" s="168"/>
      <c r="D453" s="168"/>
      <c r="E453" s="168"/>
      <c r="F453" s="183"/>
      <c r="G453" s="371"/>
      <c r="H453" s="371"/>
      <c r="I453" s="371"/>
    </row>
    <row r="454" ht="15.4" customHeight="1">
      <c r="A454" s="341"/>
      <c r="B454" s="168"/>
      <c r="C454" s="168"/>
      <c r="D454" s="168"/>
      <c r="E454" s="168"/>
      <c r="F454" s="183"/>
      <c r="G454" s="371"/>
      <c r="H454" s="371"/>
      <c r="I454" s="371"/>
    </row>
    <row r="455" ht="15.4" customHeight="1">
      <c r="A455" s="341"/>
      <c r="B455" s="168"/>
      <c r="C455" s="168"/>
      <c r="D455" s="168"/>
      <c r="E455" s="168"/>
      <c r="F455" s="183"/>
      <c r="G455" s="371"/>
      <c r="H455" s="371"/>
      <c r="I455" s="371"/>
    </row>
    <row r="456" ht="15.4" customHeight="1">
      <c r="A456" s="341"/>
      <c r="B456" s="168"/>
      <c r="C456" s="168"/>
      <c r="D456" s="168"/>
      <c r="E456" s="168"/>
      <c r="F456" s="183"/>
      <c r="G456" s="371"/>
      <c r="H456" s="371"/>
      <c r="I456" s="371"/>
    </row>
    <row r="457" ht="15.4" customHeight="1">
      <c r="A457" s="341"/>
      <c r="B457" s="168"/>
      <c r="C457" s="168"/>
      <c r="D457" s="168"/>
      <c r="E457" s="168"/>
      <c r="F457" s="183"/>
      <c r="G457" s="371"/>
      <c r="H457" s="371"/>
      <c r="I457" s="371"/>
    </row>
    <row r="458" ht="15.4" customHeight="1">
      <c r="A458" s="341"/>
      <c r="B458" s="371"/>
      <c r="C458" s="371"/>
      <c r="D458" s="371"/>
      <c r="E458" s="371"/>
      <c r="F458" s="371"/>
      <c r="G458" s="371"/>
      <c r="H458" s="371"/>
      <c r="I458" s="371"/>
    </row>
    <row r="459" ht="15.4" customHeight="1">
      <c r="A459" s="341"/>
      <c r="B459" s="158" t="s">
        <v>460</v>
      </c>
      <c r="C459" s="158"/>
      <c r="D459" s="371"/>
      <c r="E459" s="371"/>
      <c r="F459" s="371"/>
      <c r="G459" s="371"/>
      <c r="H459" s="371"/>
      <c r="I459" s="371"/>
    </row>
    <row r="460" ht="15.4" customHeight="1">
      <c r="A460" s="341" t="s">
        <v>461</v>
      </c>
      <c r="B460" s="140" t="s">
        <v>462</v>
      </c>
      <c r="C460" s="140"/>
      <c r="D460" s="140"/>
      <c r="E460" s="140"/>
      <c r="F460" s="361"/>
      <c r="G460" s="361"/>
      <c r="H460" s="371"/>
      <c r="I460" s="371"/>
    </row>
    <row r="461" ht="15.4" customHeight="1">
      <c r="A461" s="341"/>
      <c r="B461" s="184"/>
      <c r="C461" s="184"/>
      <c r="D461" s="185"/>
      <c r="E461" s="186"/>
      <c r="F461" s="187"/>
      <c r="G461" s="371"/>
      <c r="H461" s="371"/>
      <c r="I461" s="371"/>
    </row>
    <row r="462" ht="15.4" customHeight="1">
      <c r="A462" s="341"/>
      <c r="B462" s="188" t="s">
        <v>463</v>
      </c>
      <c r="C462" s="188"/>
      <c r="D462" s="188"/>
      <c r="E462" s="142"/>
      <c r="F462" s="371" t="s">
        <v>464</v>
      </c>
      <c r="G462" s="371"/>
      <c r="H462" s="371"/>
      <c r="I462" s="371"/>
    </row>
    <row r="463" ht="15.4" customHeight="1">
      <c r="A463" s="341"/>
      <c r="B463" s="371"/>
      <c r="C463" s="371"/>
      <c r="D463" s="371"/>
      <c r="E463" s="142"/>
      <c r="F463" s="371" t="s">
        <v>465</v>
      </c>
      <c r="G463" s="371"/>
      <c r="H463" s="371"/>
      <c r="I463" s="371"/>
    </row>
    <row r="464" ht="15.4" customHeight="1">
      <c r="A464" s="341"/>
      <c r="B464" s="371"/>
      <c r="C464" s="371"/>
      <c r="D464" s="371"/>
      <c r="E464" s="142"/>
      <c r="F464" s="371" t="s">
        <v>466</v>
      </c>
      <c r="G464" s="371"/>
      <c r="H464" s="371"/>
      <c r="I464" s="371"/>
    </row>
    <row r="465" ht="15.4" customHeight="1">
      <c r="A465" s="341"/>
      <c r="B465" s="371"/>
      <c r="C465" s="371"/>
      <c r="D465" s="371"/>
      <c r="E465" s="371"/>
      <c r="F465" s="371"/>
      <c r="G465" s="371"/>
      <c r="H465" s="371"/>
      <c r="I465" s="371"/>
    </row>
    <row r="466" ht="15.4" customHeight="1">
      <c r="B466" s="158" t="s">
        <v>98</v>
      </c>
      <c r="C466" s="158"/>
      <c r="D466" s="341"/>
      <c r="E466" s="341"/>
      <c r="F466" s="371"/>
      <c r="G466" s="371"/>
      <c r="H466" s="371"/>
      <c r="I466" s="371"/>
    </row>
    <row r="467" ht="15.4" customHeight="1">
      <c r="A467" s="341" t="s">
        <v>251</v>
      </c>
      <c r="B467" s="140" t="s">
        <v>467</v>
      </c>
      <c r="C467" s="140"/>
      <c r="D467" s="140"/>
      <c r="E467" s="140"/>
      <c r="F467" s="189"/>
      <c r="G467" s="361"/>
      <c r="H467" s="361"/>
      <c r="I467" s="371"/>
    </row>
    <row r="468" ht="15.4" customHeight="1">
      <c r="A468" s="341"/>
      <c r="B468" s="371"/>
      <c r="C468" s="371"/>
      <c r="D468" s="371"/>
      <c r="E468" s="371"/>
      <c r="F468" s="371"/>
      <c r="G468" s="371"/>
      <c r="H468" s="371"/>
      <c r="I468" s="371"/>
    </row>
    <row r="469" ht="15.4" customHeight="1">
      <c r="A469" s="341"/>
      <c r="B469" s="190" t="s">
        <v>468</v>
      </c>
      <c r="C469" s="190"/>
      <c r="D469" s="190"/>
      <c r="E469" s="190"/>
      <c r="F469" s="190"/>
      <c r="G469" s="141" t="s">
        <v>253</v>
      </c>
      <c r="H469" s="141" t="s">
        <v>254</v>
      </c>
      <c r="I469" s="371"/>
    </row>
    <row r="470" ht="15.4" customHeight="1">
      <c r="A470" s="341"/>
      <c r="B470" s="190"/>
      <c r="C470" s="190"/>
      <c r="D470" s="190"/>
      <c r="E470" s="190"/>
      <c r="F470" s="190"/>
      <c r="G470" s="142"/>
      <c r="H470" s="142"/>
      <c r="I470" s="371"/>
    </row>
    <row r="471" ht="15.4" customHeight="1">
      <c r="A471" s="341"/>
      <c r="B471" s="140"/>
      <c r="C471" s="140"/>
      <c r="D471" s="140"/>
      <c r="E471" s="140"/>
      <c r="F471" s="140"/>
      <c r="G471" s="371"/>
      <c r="H471" s="371"/>
      <c r="I471" s="371"/>
    </row>
    <row r="472" ht="15.4" customHeight="1">
      <c r="A472" s="341"/>
      <c r="B472" s="140" t="s">
        <v>469</v>
      </c>
      <c r="C472" s="140"/>
      <c r="D472" s="140"/>
      <c r="E472" s="140"/>
      <c r="F472" s="140"/>
      <c r="G472" s="141" t="s">
        <v>253</v>
      </c>
      <c r="H472" s="141" t="s">
        <v>254</v>
      </c>
      <c r="I472" s="371"/>
    </row>
    <row r="473" ht="15.4" customHeight="1">
      <c r="A473" s="341"/>
      <c r="B473" s="140"/>
      <c r="C473" s="140"/>
      <c r="D473" s="140"/>
      <c r="E473" s="140"/>
      <c r="F473" s="140"/>
      <c r="G473" s="142"/>
      <c r="H473" s="142"/>
      <c r="I473" s="371"/>
    </row>
    <row r="474" ht="15.4" customHeight="1">
      <c r="A474" s="341"/>
      <c r="B474" s="371"/>
      <c r="C474" s="371"/>
      <c r="D474" s="371"/>
      <c r="E474" s="371"/>
      <c r="F474" s="371"/>
      <c r="G474" s="371"/>
      <c r="H474" s="371"/>
      <c r="I474" s="371"/>
    </row>
    <row r="475" ht="15.4" customHeight="1">
      <c r="A475" s="341" t="s">
        <v>461</v>
      </c>
      <c r="B475" s="140" t="s">
        <v>470</v>
      </c>
      <c r="C475" s="140"/>
      <c r="D475" s="140"/>
      <c r="E475" s="140"/>
      <c r="F475" s="361"/>
      <c r="G475" s="361"/>
      <c r="H475" s="371"/>
      <c r="I475" s="371"/>
    </row>
    <row r="476" ht="15.4" customHeight="1">
      <c r="A476" s="341"/>
      <c r="B476" s="184"/>
      <c r="C476" s="184"/>
      <c r="D476" s="185"/>
      <c r="E476" s="186"/>
      <c r="F476" s="187"/>
      <c r="G476" s="371"/>
      <c r="H476" s="371"/>
      <c r="I476" s="371"/>
    </row>
    <row r="477" ht="15.4" customHeight="1">
      <c r="A477" s="341"/>
      <c r="B477" s="188" t="s">
        <v>463</v>
      </c>
      <c r="C477" s="188"/>
      <c r="D477" s="188"/>
      <c r="E477" s="142"/>
      <c r="F477" s="371" t="s">
        <v>464</v>
      </c>
      <c r="G477" s="371"/>
      <c r="H477" s="371"/>
      <c r="I477" s="371"/>
    </row>
    <row r="478" ht="15.4" customHeight="1">
      <c r="A478" s="341"/>
      <c r="B478" s="371"/>
      <c r="C478" s="371"/>
      <c r="D478" s="371"/>
      <c r="E478" s="142"/>
      <c r="F478" s="371" t="s">
        <v>465</v>
      </c>
      <c r="G478" s="371"/>
      <c r="H478" s="371"/>
      <c r="I478" s="371"/>
    </row>
    <row r="479" ht="15.4" customHeight="1">
      <c r="A479" s="341"/>
      <c r="B479" s="371"/>
      <c r="C479" s="371"/>
      <c r="D479" s="371"/>
      <c r="E479" s="142"/>
      <c r="F479" s="371" t="s">
        <v>466</v>
      </c>
      <c r="G479" s="371"/>
      <c r="H479" s="371"/>
      <c r="I479" s="371"/>
    </row>
    <row r="480" ht="15.4" customHeight="1">
      <c r="A480" s="341"/>
      <c r="B480" s="371"/>
      <c r="C480" s="371"/>
      <c r="D480" s="371"/>
      <c r="E480" s="371"/>
      <c r="F480" s="371"/>
      <c r="G480" s="371"/>
      <c r="H480" s="371"/>
      <c r="I480" s="371"/>
    </row>
    <row r="481" ht="15.4" customHeight="1">
      <c r="A481" s="341"/>
      <c r="B481" s="158" t="s">
        <v>100</v>
      </c>
      <c r="C481" s="158"/>
      <c r="D481" s="371"/>
      <c r="E481" s="371"/>
      <c r="F481" s="371"/>
      <c r="G481" s="371"/>
      <c r="H481" s="371"/>
      <c r="I481" s="371"/>
    </row>
    <row r="482" ht="15.4" customHeight="1">
      <c r="A482" s="341" t="s">
        <v>471</v>
      </c>
      <c r="B482" s="191" t="s">
        <v>472</v>
      </c>
      <c r="C482" s="191"/>
      <c r="D482" s="191"/>
      <c r="E482" s="191"/>
      <c r="F482" s="191"/>
      <c r="G482" s="361"/>
      <c r="H482" s="361"/>
      <c r="I482" s="371"/>
    </row>
    <row r="483" ht="15.4" customHeight="1">
      <c r="A483" s="341"/>
      <c r="B483" s="140" t="s">
        <v>473</v>
      </c>
      <c r="C483" s="140"/>
      <c r="D483" s="140"/>
      <c r="E483" s="140"/>
      <c r="F483" s="140"/>
      <c r="G483" s="141" t="s">
        <v>253</v>
      </c>
      <c r="H483" s="141" t="s">
        <v>254</v>
      </c>
      <c r="I483" s="371"/>
    </row>
    <row r="484" ht="15.4" customHeight="1">
      <c r="A484" s="341"/>
      <c r="B484" s="140"/>
      <c r="C484" s="140"/>
      <c r="D484" s="140"/>
      <c r="E484" s="140"/>
      <c r="F484" s="140"/>
      <c r="G484" s="142"/>
      <c r="H484" s="142"/>
      <c r="I484" s="371"/>
    </row>
    <row r="485" ht="15.4" customHeight="1">
      <c r="A485" s="341"/>
      <c r="B485" s="140"/>
      <c r="C485" s="140"/>
      <c r="D485" s="140"/>
      <c r="E485" s="140"/>
      <c r="F485" s="140"/>
      <c r="G485" s="140"/>
      <c r="H485" s="140"/>
      <c r="I485" s="371"/>
    </row>
    <row r="486" ht="15.4" customHeight="1">
      <c r="A486" s="341" t="s">
        <v>471</v>
      </c>
      <c r="B486" s="140" t="s">
        <v>474</v>
      </c>
      <c r="C486" s="140"/>
      <c r="D486" s="140"/>
      <c r="E486" s="140"/>
      <c r="F486" s="140"/>
      <c r="G486" s="141" t="s">
        <v>253</v>
      </c>
      <c r="H486" s="141" t="s">
        <v>254</v>
      </c>
      <c r="I486" s="371"/>
    </row>
    <row r="487" ht="15.4" customHeight="1">
      <c r="A487" s="341"/>
      <c r="B487" s="140"/>
      <c r="C487" s="140"/>
      <c r="D487" s="140"/>
      <c r="E487" s="140"/>
      <c r="F487" s="140"/>
      <c r="G487" s="142"/>
      <c r="H487" s="142"/>
      <c r="I487" s="371"/>
    </row>
    <row r="488" ht="15.4" customHeight="1">
      <c r="A488" s="341" t="s">
        <v>251</v>
      </c>
      <c r="B488" s="140" t="s">
        <v>475</v>
      </c>
      <c r="C488" s="140"/>
      <c r="D488" s="140"/>
      <c r="E488" s="140"/>
      <c r="F488" s="140"/>
      <c r="G488" s="361"/>
      <c r="H488" s="361"/>
      <c r="I488" s="371"/>
    </row>
    <row r="489" ht="15.4" customHeight="1">
      <c r="A489" s="341"/>
      <c r="B489" s="192"/>
      <c r="C489" s="192"/>
      <c r="D489" s="192"/>
      <c r="E489" s="192"/>
      <c r="F489" s="192"/>
      <c r="G489" s="141" t="s">
        <v>253</v>
      </c>
      <c r="H489" s="141" t="s">
        <v>254</v>
      </c>
      <c r="I489" s="371"/>
    </row>
    <row r="490" ht="15.4" customHeight="1">
      <c r="A490" s="341"/>
      <c r="B490" s="140" t="s">
        <v>476</v>
      </c>
      <c r="C490" s="140"/>
      <c r="D490" s="140"/>
      <c r="E490" s="140"/>
      <c r="F490" s="140"/>
      <c r="G490" s="142"/>
      <c r="H490" s="142"/>
      <c r="I490" s="371"/>
    </row>
    <row r="491" ht="15.4" customHeight="1">
      <c r="A491" s="341"/>
      <c r="B491" s="371"/>
      <c r="C491" s="371"/>
      <c r="D491" s="371"/>
      <c r="E491" s="371"/>
      <c r="F491" s="371"/>
      <c r="G491" s="371"/>
      <c r="H491" s="371"/>
      <c r="I491" s="371"/>
    </row>
    <row r="492" ht="15.4" customHeight="1">
      <c r="A492" s="341" t="s">
        <v>461</v>
      </c>
      <c r="B492" s="140" t="s">
        <v>477</v>
      </c>
      <c r="C492" s="140"/>
      <c r="D492" s="140"/>
      <c r="E492" s="140"/>
      <c r="F492" s="140"/>
      <c r="G492" s="193"/>
      <c r="H492" s="341"/>
      <c r="I492" s="371"/>
    </row>
    <row r="493" ht="15.4" customHeight="1">
      <c r="A493" s="341"/>
      <c r="B493" s="140"/>
      <c r="C493" s="140"/>
      <c r="D493" s="140"/>
      <c r="E493" s="140"/>
      <c r="F493" s="140"/>
      <c r="G493" s="361"/>
      <c r="H493" s="361"/>
      <c r="I493" s="371"/>
    </row>
    <row r="494" ht="15.4" customHeight="1">
      <c r="A494" s="341"/>
      <c r="B494" s="140" t="s">
        <v>478</v>
      </c>
      <c r="C494" s="140"/>
      <c r="D494" s="140"/>
      <c r="E494" s="140"/>
      <c r="F494" s="140"/>
      <c r="G494" s="141" t="s">
        <v>253</v>
      </c>
      <c r="H494" s="141" t="s">
        <v>254</v>
      </c>
      <c r="I494" s="371"/>
    </row>
    <row r="495" ht="15.4" customHeight="1">
      <c r="A495" s="341"/>
      <c r="B495" s="140"/>
      <c r="C495" s="140"/>
      <c r="D495" s="140"/>
      <c r="E495" s="140"/>
      <c r="F495" s="140"/>
      <c r="G495" s="142"/>
      <c r="H495" s="142"/>
      <c r="I495" s="371"/>
    </row>
    <row r="496" ht="15.4" customHeight="1">
      <c r="A496" s="341"/>
      <c r="B496" s="140" t="s">
        <v>479</v>
      </c>
      <c r="C496" s="140"/>
      <c r="D496" s="140"/>
      <c r="E496" s="140"/>
      <c r="F496" s="140"/>
      <c r="I496" s="371"/>
    </row>
    <row r="497" ht="15.4" customHeight="1">
      <c r="A497" s="341"/>
      <c r="B497" s="140"/>
      <c r="C497" s="140"/>
      <c r="D497" s="140"/>
      <c r="E497" s="140"/>
      <c r="F497" s="140"/>
      <c r="G497" s="142"/>
      <c r="H497" s="142"/>
      <c r="I497" s="371"/>
    </row>
    <row r="498" ht="15.4" customHeight="1">
      <c r="A498" s="341"/>
      <c r="B498" s="140"/>
      <c r="C498" s="140"/>
      <c r="D498" s="140"/>
      <c r="E498" s="140"/>
      <c r="F498" s="140"/>
      <c r="I498" s="371"/>
    </row>
    <row r="499" ht="15.4" customHeight="1">
      <c r="A499" s="341" t="s">
        <v>480</v>
      </c>
      <c r="B499" s="140" t="s">
        <v>481</v>
      </c>
      <c r="C499" s="140"/>
      <c r="D499" s="140"/>
      <c r="E499" s="140"/>
      <c r="F499" s="140"/>
      <c r="G499" s="141" t="s">
        <v>253</v>
      </c>
      <c r="H499" s="141" t="s">
        <v>254</v>
      </c>
      <c r="I499" s="371"/>
    </row>
    <row r="500" ht="15.4" customHeight="1">
      <c r="A500" s="341"/>
      <c r="B500" s="140"/>
      <c r="C500" s="140"/>
      <c r="D500" s="140"/>
      <c r="E500" s="140"/>
      <c r="F500" s="140"/>
      <c r="G500" s="142"/>
      <c r="H500" s="142"/>
      <c r="I500" s="371"/>
    </row>
    <row r="501" ht="15.4" customHeight="1">
      <c r="I501" s="371"/>
    </row>
    <row r="502" ht="15.4" customHeight="1">
      <c r="A502" s="138" t="s">
        <v>482</v>
      </c>
      <c r="B502" s="138"/>
      <c r="C502" s="138"/>
      <c r="D502" s="341"/>
      <c r="E502" s="341"/>
      <c r="F502" s="341"/>
      <c r="G502" s="341"/>
      <c r="H502" s="341"/>
      <c r="I502" s="371"/>
    </row>
    <row r="503" ht="15.4" customHeight="1">
      <c r="A503" s="341" t="s">
        <v>483</v>
      </c>
      <c r="B503" s="140" t="s">
        <v>484</v>
      </c>
      <c r="C503" s="140"/>
      <c r="D503" s="140"/>
      <c r="E503" s="140"/>
      <c r="F503" s="140"/>
      <c r="G503" s="371"/>
      <c r="H503" s="371"/>
      <c r="I503" s="371"/>
    </row>
    <row r="504" ht="15.4" customHeight="1">
      <c r="A504" s="341"/>
      <c r="B504" s="140"/>
      <c r="C504" s="140"/>
      <c r="D504" s="140"/>
      <c r="E504" s="140"/>
      <c r="F504" s="140"/>
      <c r="G504" s="361"/>
      <c r="H504" s="361"/>
      <c r="I504" s="371"/>
    </row>
    <row r="505" ht="15.4" customHeight="1">
      <c r="A505" s="341"/>
      <c r="B505" s="371"/>
      <c r="C505" s="341"/>
      <c r="D505" s="341"/>
      <c r="E505" s="341"/>
      <c r="F505" s="341"/>
      <c r="G505" s="341"/>
      <c r="H505" s="341"/>
      <c r="I505" s="371"/>
    </row>
    <row r="506" ht="15.4" customHeight="1">
      <c r="A506" s="341" t="s">
        <v>227</v>
      </c>
      <c r="B506" s="140" t="s">
        <v>485</v>
      </c>
      <c r="C506" s="140"/>
      <c r="D506" s="140"/>
      <c r="E506" s="140"/>
      <c r="F506" s="140"/>
      <c r="G506" s="141" t="s">
        <v>253</v>
      </c>
      <c r="H506" s="141" t="s">
        <v>254</v>
      </c>
      <c r="I506" s="371"/>
    </row>
    <row r="507" ht="15.4" customHeight="1">
      <c r="A507" s="341"/>
      <c r="B507" s="140"/>
      <c r="C507" s="140"/>
      <c r="D507" s="140"/>
      <c r="E507" s="140"/>
      <c r="F507" s="140"/>
      <c r="G507" s="142"/>
      <c r="H507" s="142"/>
      <c r="I507" s="371"/>
    </row>
    <row r="508" ht="15.4" customHeight="1">
      <c r="A508" s="341"/>
      <c r="B508" s="194" t="s">
        <v>486</v>
      </c>
      <c r="C508" s="361"/>
      <c r="D508" s="361"/>
      <c r="E508" s="361"/>
      <c r="F508" s="361"/>
      <c r="G508" s="361"/>
      <c r="H508" s="361"/>
      <c r="I508" s="371"/>
    </row>
    <row r="509" ht="15.4" customHeight="1">
      <c r="A509" s="341"/>
      <c r="B509" s="371"/>
      <c r="C509" s="361"/>
      <c r="D509" s="361"/>
      <c r="E509" s="361"/>
      <c r="F509" s="361"/>
      <c r="G509" s="361"/>
      <c r="H509" s="361"/>
      <c r="I509" s="371"/>
    </row>
    <row r="510" ht="15.4" customHeight="1">
      <c r="A510" s="341"/>
      <c r="B510" s="371"/>
      <c r="C510" s="371"/>
      <c r="D510" s="371"/>
      <c r="E510" s="371"/>
      <c r="F510" s="371"/>
      <c r="G510" s="371"/>
      <c r="H510" s="371"/>
      <c r="I510" s="371"/>
    </row>
    <row r="511" ht="15.4" customHeight="1">
      <c r="A511" s="341" t="s">
        <v>257</v>
      </c>
      <c r="B511" s="140" t="s">
        <v>487</v>
      </c>
      <c r="C511" s="140"/>
      <c r="D511" s="140"/>
      <c r="E511" s="140"/>
      <c r="F511" s="140"/>
      <c r="G511" s="141" t="s">
        <v>253</v>
      </c>
      <c r="H511" s="141" t="s">
        <v>254</v>
      </c>
      <c r="I511" s="371"/>
    </row>
    <row r="512" ht="15.4" customHeight="1">
      <c r="A512" s="341"/>
      <c r="B512" s="140"/>
      <c r="C512" s="140"/>
      <c r="D512" s="140"/>
      <c r="E512" s="140"/>
      <c r="F512" s="140"/>
      <c r="G512" s="142"/>
      <c r="H512" s="142"/>
      <c r="I512" s="371"/>
    </row>
    <row r="513" ht="15.4" customHeight="1">
      <c r="A513" s="341"/>
      <c r="B513" s="371"/>
      <c r="C513" s="371"/>
      <c r="D513" s="371"/>
      <c r="E513" s="371"/>
      <c r="F513" s="371"/>
      <c r="G513" s="371"/>
      <c r="H513" s="371"/>
      <c r="I513" s="371"/>
    </row>
    <row r="514" ht="15.4" customHeight="1">
      <c r="A514" s="138" t="s">
        <v>488</v>
      </c>
      <c r="B514" s="138"/>
      <c r="C514" s="138"/>
      <c r="D514" s="371"/>
      <c r="E514" s="371"/>
      <c r="F514" s="371"/>
      <c r="G514" s="371"/>
      <c r="H514" s="371"/>
      <c r="I514" s="371"/>
    </row>
    <row r="515" ht="15.4" customHeight="1">
      <c r="A515" s="341" t="s">
        <v>267</v>
      </c>
      <c r="B515" s="188" t="s">
        <v>489</v>
      </c>
      <c r="C515" s="188"/>
      <c r="D515" s="188"/>
      <c r="E515" s="188"/>
      <c r="F515" s="142"/>
      <c r="G515" s="371" t="s">
        <v>490</v>
      </c>
      <c r="H515" s="371"/>
      <c r="I515" s="371"/>
    </row>
    <row r="516" ht="15.4" customHeight="1">
      <c r="A516" s="341"/>
      <c r="B516" s="188"/>
      <c r="C516" s="188"/>
      <c r="D516" s="188"/>
      <c r="E516" s="188"/>
      <c r="F516" s="142"/>
      <c r="G516" s="371" t="s">
        <v>491</v>
      </c>
      <c r="H516" s="371"/>
      <c r="I516" s="371"/>
    </row>
    <row r="517" ht="15.4" customHeight="1">
      <c r="A517" s="341"/>
      <c r="B517" s="371"/>
      <c r="C517" s="371"/>
      <c r="D517" s="371"/>
      <c r="E517" s="371"/>
      <c r="F517" s="142"/>
      <c r="G517" s="371" t="s">
        <v>492</v>
      </c>
      <c r="H517" s="371"/>
      <c r="I517" s="371"/>
    </row>
    <row r="518" ht="15.4" customHeight="1">
      <c r="A518" s="341"/>
      <c r="B518" s="371"/>
      <c r="C518" s="371"/>
      <c r="D518" s="371"/>
      <c r="E518" s="371"/>
      <c r="F518" s="371"/>
      <c r="G518" s="371"/>
      <c r="H518" s="371"/>
      <c r="I518" s="371"/>
    </row>
    <row r="519" ht="15.4" customHeight="1">
      <c r="A519" s="341"/>
      <c r="B519" s="371"/>
      <c r="C519" s="371"/>
      <c r="D519" s="371"/>
      <c r="E519" s="371"/>
      <c r="F519" s="371"/>
      <c r="G519" s="141" t="s">
        <v>253</v>
      </c>
      <c r="H519" s="141" t="s">
        <v>254</v>
      </c>
      <c r="I519" s="371"/>
    </row>
    <row r="520" ht="15.4" customHeight="1">
      <c r="A520" s="341" t="s">
        <v>493</v>
      </c>
      <c r="B520" s="145" t="s">
        <v>494</v>
      </c>
      <c r="C520" s="145"/>
      <c r="D520" s="145"/>
      <c r="E520" s="145"/>
      <c r="F520" s="145"/>
      <c r="G520" s="142"/>
      <c r="H520" s="142"/>
      <c r="I520" s="371"/>
    </row>
    <row r="521" ht="15.4" customHeight="1">
      <c r="A521" s="341"/>
      <c r="B521" s="371"/>
      <c r="C521" s="371"/>
      <c r="D521" s="371"/>
      <c r="E521" s="371"/>
      <c r="F521" s="371"/>
      <c r="G521" s="371"/>
      <c r="H521" s="371"/>
      <c r="I521" s="371"/>
    </row>
    <row r="522" ht="15.4" customHeight="1">
      <c r="A522" s="341" t="s">
        <v>260</v>
      </c>
      <c r="B522" s="140" t="s">
        <v>495</v>
      </c>
      <c r="C522" s="140"/>
      <c r="D522" s="140"/>
      <c r="E522" s="140"/>
      <c r="F522" s="140"/>
      <c r="G522" s="141" t="s">
        <v>253</v>
      </c>
      <c r="H522" s="141" t="s">
        <v>254</v>
      </c>
      <c r="I522" s="371"/>
    </row>
    <row r="523" ht="15.4" customHeight="1">
      <c r="A523" s="341"/>
      <c r="B523" s="140"/>
      <c r="C523" s="140"/>
      <c r="D523" s="140"/>
      <c r="E523" s="140"/>
      <c r="F523" s="140"/>
      <c r="G523" s="142"/>
      <c r="H523" s="142"/>
      <c r="I523" s="371"/>
    </row>
    <row r="524" ht="15.4" customHeight="1">
      <c r="A524" s="341"/>
      <c r="I524" s="371"/>
    </row>
    <row r="525" ht="15.4" customHeight="1">
      <c r="A525" s="341" t="s">
        <v>260</v>
      </c>
      <c r="B525" s="140" t="s">
        <v>496</v>
      </c>
      <c r="C525" s="140"/>
      <c r="D525" s="140"/>
      <c r="E525" s="140"/>
      <c r="F525" s="140"/>
      <c r="G525" s="141"/>
      <c r="H525" s="141"/>
      <c r="I525" s="371"/>
    </row>
    <row r="526" ht="15.4" customHeight="1">
      <c r="B526" s="140"/>
      <c r="C526" s="140"/>
      <c r="D526" s="140"/>
      <c r="E526" s="140"/>
      <c r="F526" s="140"/>
      <c r="G526" s="141" t="s">
        <v>253</v>
      </c>
      <c r="H526" s="141" t="s">
        <v>254</v>
      </c>
      <c r="I526" s="371"/>
    </row>
    <row r="527" ht="15.4" customHeight="1">
      <c r="A527" s="341"/>
      <c r="B527" s="195" t="s">
        <v>497</v>
      </c>
      <c r="C527" s="195"/>
      <c r="D527" s="195"/>
      <c r="E527" s="195"/>
      <c r="F527" s="195"/>
      <c r="G527" s="142"/>
      <c r="H527" s="142"/>
      <c r="I527" s="371"/>
    </row>
    <row r="528" ht="15.4" customHeight="1">
      <c r="B528" s="195" t="s">
        <v>498</v>
      </c>
      <c r="C528" s="195"/>
      <c r="D528" s="195"/>
      <c r="E528" s="195"/>
      <c r="F528" s="195"/>
      <c r="G528" s="142"/>
      <c r="H528" s="142"/>
      <c r="I528" s="371"/>
    </row>
    <row r="529" ht="15.4" customHeight="1">
      <c r="B529" s="195" t="s">
        <v>499</v>
      </c>
      <c r="C529" s="195"/>
      <c r="D529" s="195"/>
      <c r="E529" s="195"/>
      <c r="F529" s="195"/>
      <c r="G529" s="142"/>
      <c r="H529" s="142"/>
      <c r="I529" s="371"/>
    </row>
    <row r="530" ht="15.4" customHeight="1">
      <c r="A530" s="341"/>
      <c r="B530" s="195" t="s">
        <v>500</v>
      </c>
      <c r="C530" s="195"/>
      <c r="D530" s="195"/>
      <c r="E530" s="195"/>
      <c r="F530" s="195"/>
      <c r="G530" s="142"/>
      <c r="H530" s="142"/>
      <c r="I530" s="371"/>
    </row>
    <row r="531" ht="15.4" customHeight="1">
      <c r="A531" s="341"/>
      <c r="B531" s="143"/>
      <c r="C531" s="143"/>
      <c r="D531" s="143"/>
      <c r="E531" s="143"/>
      <c r="F531" s="143"/>
      <c r="I531" s="371"/>
    </row>
    <row r="532" ht="15.4" customHeight="1">
      <c r="A532" s="341" t="s">
        <v>271</v>
      </c>
      <c r="B532" s="143" t="s">
        <v>501</v>
      </c>
      <c r="C532" s="143"/>
      <c r="D532" s="143"/>
      <c r="E532" s="143"/>
      <c r="F532" s="143"/>
      <c r="I532" s="371"/>
    </row>
    <row r="533" ht="15.4" customHeight="1">
      <c r="A533" s="341"/>
      <c r="B533" s="143"/>
      <c r="C533" s="143"/>
      <c r="D533" s="143"/>
      <c r="E533" s="143"/>
      <c r="F533" s="143"/>
      <c r="G533" s="196"/>
      <c r="H533" s="196"/>
      <c r="I533" s="371"/>
    </row>
    <row r="534" ht="15.4" customHeight="1">
      <c r="A534" s="341"/>
      <c r="B534" s="143"/>
      <c r="C534" s="143"/>
      <c r="D534" s="143"/>
      <c r="E534" s="143"/>
      <c r="F534" s="143"/>
      <c r="G534" s="143"/>
      <c r="H534" s="143"/>
      <c r="I534" s="371"/>
    </row>
    <row r="535" ht="15.4" customHeight="1">
      <c r="A535" s="341"/>
      <c r="B535" s="143"/>
      <c r="C535" s="143"/>
      <c r="D535" s="143"/>
      <c r="E535" s="143"/>
      <c r="F535" s="143"/>
      <c r="G535" s="143"/>
      <c r="H535" s="143"/>
      <c r="I535" s="371"/>
    </row>
    <row r="536" ht="15.4" customHeight="1">
      <c r="A536" s="341"/>
      <c r="B536" s="143"/>
      <c r="C536" s="143"/>
      <c r="D536" s="143"/>
      <c r="E536" s="143"/>
      <c r="F536" s="143"/>
      <c r="G536" s="143"/>
      <c r="H536" s="143"/>
      <c r="I536" s="371"/>
    </row>
    <row r="537" ht="15.4" customHeight="1">
      <c r="A537" s="341"/>
      <c r="B537" s="158" t="s">
        <v>502</v>
      </c>
      <c r="C537" s="158"/>
      <c r="D537" s="158"/>
      <c r="E537" s="140"/>
      <c r="F537" s="140"/>
      <c r="G537" s="371"/>
      <c r="H537" s="371"/>
      <c r="I537" s="371"/>
    </row>
    <row r="538" ht="15.4" customHeight="1">
      <c r="A538" s="341"/>
      <c r="B538" s="371"/>
      <c r="C538" s="371"/>
      <c r="D538" s="371"/>
      <c r="E538" s="371"/>
      <c r="F538" s="371"/>
      <c r="G538" s="371"/>
      <c r="H538" s="371"/>
      <c r="I538" s="371"/>
    </row>
    <row r="539" ht="15.4" customHeight="1">
      <c r="A539" s="197" t="s">
        <v>503</v>
      </c>
      <c r="B539" s="197"/>
      <c r="C539" s="198" t="s">
        <v>504</v>
      </c>
      <c r="D539" s="198"/>
      <c r="E539" s="199" t="s">
        <v>505</v>
      </c>
      <c r="F539" s="200" t="s">
        <v>506</v>
      </c>
      <c r="G539" s="201" t="s">
        <v>507</v>
      </c>
      <c r="H539" s="200" t="s">
        <v>508</v>
      </c>
      <c r="I539" s="201" t="s">
        <v>509</v>
      </c>
    </row>
    <row r="540" ht="35.45" customHeight="1">
      <c r="A540" s="197"/>
      <c r="B540" s="197"/>
      <c r="C540" s="198"/>
      <c r="D540" s="198"/>
      <c r="E540" s="202" t="s">
        <v>510</v>
      </c>
      <c r="F540" s="200"/>
      <c r="G540" s="201"/>
      <c r="H540" s="200"/>
      <c r="I540" s="201"/>
    </row>
    <row r="541" ht="15.4" customHeight="1">
      <c r="A541" s="203"/>
      <c r="B541" s="203"/>
      <c r="C541" s="204"/>
      <c r="D541" s="204"/>
      <c r="E541" s="205"/>
      <c r="F541" s="206"/>
      <c r="G541" s="205"/>
      <c r="H541" s="206"/>
      <c r="I541" s="205"/>
    </row>
    <row r="542" ht="15.4" customHeight="1">
      <c r="A542" s="203"/>
      <c r="B542" s="203"/>
      <c r="C542" s="204"/>
      <c r="D542" s="204"/>
      <c r="E542" s="205"/>
      <c r="F542" s="207"/>
      <c r="G542" s="205"/>
      <c r="H542" s="207"/>
      <c r="I542" s="205"/>
    </row>
    <row r="543" ht="15.4" customHeight="1">
      <c r="A543" s="203"/>
      <c r="B543" s="203"/>
      <c r="C543" s="204"/>
      <c r="D543" s="204"/>
      <c r="E543" s="205"/>
      <c r="F543" s="207"/>
      <c r="G543" s="205"/>
      <c r="H543" s="207"/>
      <c r="I543" s="205"/>
    </row>
    <row r="544" ht="15.4" customHeight="1">
      <c r="A544" s="203"/>
      <c r="B544" s="203"/>
      <c r="C544" s="204"/>
      <c r="D544" s="204"/>
      <c r="E544" s="205"/>
      <c r="F544" s="207"/>
      <c r="G544" s="205"/>
      <c r="H544" s="207"/>
      <c r="I544" s="205"/>
    </row>
    <row r="545" ht="15.4" customHeight="1">
      <c r="A545" s="203"/>
      <c r="B545" s="203"/>
      <c r="C545" s="204"/>
      <c r="D545" s="204"/>
      <c r="E545" s="205"/>
      <c r="F545" s="207"/>
      <c r="G545" s="205"/>
      <c r="H545" s="207"/>
      <c r="I545" s="205"/>
    </row>
    <row r="546" ht="15.4" customHeight="1">
      <c r="A546" s="203"/>
      <c r="B546" s="203"/>
      <c r="C546" s="204"/>
      <c r="D546" s="204"/>
      <c r="E546" s="205"/>
      <c r="F546" s="207"/>
      <c r="G546" s="205"/>
      <c r="H546" s="207"/>
      <c r="I546" s="205"/>
    </row>
    <row r="547" ht="15.4" customHeight="1">
      <c r="A547" s="203"/>
      <c r="B547" s="203"/>
      <c r="C547" s="204"/>
      <c r="D547" s="204"/>
      <c r="E547" s="205"/>
      <c r="F547" s="207"/>
      <c r="G547" s="205"/>
      <c r="H547" s="207"/>
      <c r="I547" s="205"/>
    </row>
    <row r="548" ht="15.4" customHeight="1">
      <c r="A548" s="203"/>
      <c r="B548" s="203"/>
      <c r="C548" s="204"/>
      <c r="D548" s="204"/>
      <c r="E548" s="205"/>
      <c r="F548" s="207"/>
      <c r="G548" s="205"/>
      <c r="H548" s="207"/>
      <c r="I548" s="205"/>
    </row>
    <row r="549" ht="15.4" customHeight="1">
      <c r="A549" s="203"/>
      <c r="B549" s="203"/>
      <c r="C549" s="204"/>
      <c r="D549" s="204"/>
      <c r="E549" s="205"/>
      <c r="F549" s="207"/>
      <c r="G549" s="205"/>
      <c r="H549" s="207"/>
      <c r="I549" s="205"/>
    </row>
    <row r="550" ht="15.4" customHeight="1">
      <c r="A550" s="208"/>
      <c r="B550" s="209"/>
      <c r="C550" s="208"/>
      <c r="D550" s="210"/>
      <c r="E550" s="205"/>
      <c r="F550" s="207"/>
      <c r="G550" s="205"/>
      <c r="H550" s="207"/>
      <c r="I550" s="205"/>
    </row>
    <row r="551" ht="15.4" customHeight="1">
      <c r="A551" s="208"/>
      <c r="B551" s="209"/>
      <c r="C551" s="208"/>
      <c r="D551" s="210"/>
      <c r="E551" s="205"/>
      <c r="F551" s="207"/>
      <c r="G551" s="205"/>
      <c r="H551" s="207"/>
      <c r="I551" s="205"/>
    </row>
    <row r="552" ht="15.4" customHeight="1">
      <c r="A552" s="208"/>
      <c r="B552" s="209"/>
      <c r="C552" s="208"/>
      <c r="D552" s="210"/>
      <c r="E552" s="205"/>
      <c r="F552" s="207"/>
      <c r="G552" s="205"/>
      <c r="H552" s="207"/>
      <c r="I552" s="205"/>
    </row>
    <row r="553" ht="15.4" customHeight="1">
      <c r="A553" s="208"/>
      <c r="B553" s="209"/>
      <c r="C553" s="208"/>
      <c r="D553" s="210"/>
      <c r="E553" s="205"/>
      <c r="F553" s="207"/>
      <c r="G553" s="205"/>
      <c r="H553" s="207"/>
      <c r="I553" s="205"/>
    </row>
    <row r="554" ht="15.4" customHeight="1">
      <c r="A554" s="208"/>
      <c r="B554" s="209"/>
      <c r="C554" s="208"/>
      <c r="D554" s="210"/>
      <c r="E554" s="205"/>
      <c r="F554" s="207"/>
      <c r="G554" s="205"/>
      <c r="H554" s="207"/>
      <c r="I554" s="205"/>
    </row>
    <row r="555" ht="15.4" customHeight="1">
      <c r="A555" s="208"/>
      <c r="B555" s="209"/>
      <c r="C555" s="208"/>
      <c r="D555" s="210"/>
      <c r="E555" s="205"/>
      <c r="F555" s="207"/>
      <c r="G555" s="205"/>
      <c r="H555" s="207"/>
      <c r="I555" s="205"/>
    </row>
    <row r="556" ht="15.4" customHeight="1">
      <c r="A556" s="208"/>
      <c r="B556" s="209"/>
      <c r="C556" s="208"/>
      <c r="D556" s="210"/>
      <c r="E556" s="205"/>
      <c r="F556" s="207"/>
      <c r="G556" s="205"/>
      <c r="H556" s="207"/>
      <c r="I556" s="205"/>
    </row>
    <row r="557" ht="15.4" customHeight="1">
      <c r="A557" s="208"/>
      <c r="B557" s="209"/>
      <c r="C557" s="208"/>
      <c r="D557" s="210"/>
      <c r="E557" s="205"/>
      <c r="F557" s="207"/>
      <c r="G557" s="205"/>
      <c r="H557" s="207"/>
      <c r="I557" s="205"/>
    </row>
    <row r="558" ht="15.4" customHeight="1">
      <c r="A558" s="208"/>
      <c r="B558" s="209"/>
      <c r="C558" s="208"/>
      <c r="D558" s="210"/>
      <c r="E558" s="205"/>
      <c r="F558" s="207"/>
      <c r="G558" s="205"/>
      <c r="H558" s="207"/>
      <c r="I558" s="205"/>
    </row>
    <row r="559" ht="15.4" customHeight="1">
      <c r="A559" s="208"/>
      <c r="B559" s="209"/>
      <c r="C559" s="208"/>
      <c r="D559" s="210"/>
      <c r="E559" s="205"/>
      <c r="F559" s="207"/>
      <c r="G559" s="205"/>
      <c r="H559" s="207"/>
      <c r="I559" s="205"/>
    </row>
    <row r="560" ht="15.4" customHeight="1">
      <c r="A560" s="208"/>
      <c r="B560" s="209"/>
      <c r="C560" s="208"/>
      <c r="D560" s="210"/>
      <c r="E560" s="205"/>
      <c r="F560" s="207"/>
      <c r="G560" s="205"/>
      <c r="H560" s="207"/>
      <c r="I560" s="205"/>
    </row>
    <row r="561" ht="15.4" customHeight="1">
      <c r="A561" s="208"/>
      <c r="B561" s="209"/>
      <c r="C561" s="208"/>
      <c r="D561" s="210"/>
      <c r="E561" s="205"/>
      <c r="F561" s="207"/>
      <c r="G561" s="205"/>
      <c r="H561" s="207"/>
      <c r="I561" s="205"/>
    </row>
    <row r="562" ht="15.4" customHeight="1">
      <c r="A562" s="208"/>
      <c r="B562" s="209"/>
      <c r="C562" s="208"/>
      <c r="D562" s="210"/>
      <c r="E562" s="205"/>
      <c r="F562" s="207"/>
      <c r="G562" s="205"/>
      <c r="H562" s="207"/>
      <c r="I562" s="205"/>
    </row>
    <row r="563" ht="15.4" customHeight="1">
      <c r="A563" s="208"/>
      <c r="B563" s="209"/>
      <c r="C563" s="208"/>
      <c r="D563" s="210"/>
      <c r="E563" s="205"/>
      <c r="F563" s="207"/>
      <c r="G563" s="205"/>
      <c r="H563" s="207"/>
      <c r="I563" s="205"/>
    </row>
    <row r="564" ht="15.4" customHeight="1">
      <c r="A564" s="208"/>
      <c r="B564" s="209"/>
      <c r="C564" s="208"/>
      <c r="D564" s="210"/>
      <c r="E564" s="205"/>
      <c r="F564" s="207"/>
      <c r="G564" s="205"/>
      <c r="H564" s="207"/>
      <c r="I564" s="205"/>
    </row>
    <row r="565" ht="15.4" customHeight="1">
      <c r="A565" s="208"/>
      <c r="B565" s="209"/>
      <c r="C565" s="208"/>
      <c r="D565" s="210"/>
      <c r="E565" s="205"/>
      <c r="F565" s="207"/>
      <c r="G565" s="205"/>
      <c r="H565" s="207"/>
      <c r="I565" s="205"/>
    </row>
    <row r="566" ht="15.4" customHeight="1">
      <c r="A566" s="208"/>
      <c r="B566" s="209"/>
      <c r="C566" s="208"/>
      <c r="D566" s="210"/>
      <c r="E566" s="205"/>
      <c r="F566" s="207"/>
      <c r="G566" s="205"/>
      <c r="H566" s="207"/>
      <c r="I566" s="205"/>
    </row>
    <row r="567" ht="15.4" customHeight="1">
      <c r="A567" s="208"/>
      <c r="B567" s="209"/>
      <c r="C567" s="208"/>
      <c r="D567" s="210"/>
      <c r="E567" s="205"/>
      <c r="F567" s="207"/>
      <c r="G567" s="205"/>
      <c r="H567" s="207"/>
      <c r="I567" s="205"/>
    </row>
    <row r="568" ht="15.4" customHeight="1">
      <c r="A568" s="208"/>
      <c r="B568" s="209"/>
      <c r="C568" s="208"/>
      <c r="D568" s="210"/>
      <c r="E568" s="205"/>
      <c r="F568" s="207"/>
      <c r="G568" s="205"/>
      <c r="H568" s="207"/>
      <c r="I568" s="205"/>
    </row>
    <row r="569" ht="15.4" customHeight="1">
      <c r="A569" s="208"/>
      <c r="B569" s="209"/>
      <c r="C569" s="208"/>
      <c r="D569" s="210"/>
      <c r="E569" s="205"/>
      <c r="F569" s="207"/>
      <c r="G569" s="205"/>
      <c r="H569" s="207"/>
      <c r="I569" s="205"/>
    </row>
    <row r="570" ht="15.4" customHeight="1">
      <c r="A570" s="208"/>
      <c r="B570" s="209"/>
      <c r="C570" s="208"/>
      <c r="D570" s="210"/>
      <c r="E570" s="205"/>
      <c r="F570" s="207"/>
      <c r="G570" s="205"/>
      <c r="H570" s="207"/>
      <c r="I570" s="205"/>
    </row>
    <row r="571" ht="15.4" customHeight="1">
      <c r="A571" s="208"/>
      <c r="B571" s="209"/>
      <c r="C571" s="208"/>
      <c r="D571" s="210"/>
      <c r="E571" s="205"/>
      <c r="F571" s="207"/>
      <c r="G571" s="205"/>
      <c r="H571" s="207"/>
      <c r="I571" s="205"/>
    </row>
    <row r="572" ht="15.4" customHeight="1">
      <c r="A572" s="208"/>
      <c r="B572" s="209"/>
      <c r="C572" s="208"/>
      <c r="D572" s="210"/>
      <c r="E572" s="205"/>
      <c r="F572" s="207"/>
      <c r="G572" s="205"/>
      <c r="H572" s="207"/>
      <c r="I572" s="205"/>
    </row>
    <row r="573" ht="15.4" customHeight="1">
      <c r="A573" s="208"/>
      <c r="B573" s="209"/>
      <c r="C573" s="208"/>
      <c r="D573" s="210"/>
      <c r="E573" s="205"/>
      <c r="F573" s="207"/>
      <c r="G573" s="205"/>
      <c r="H573" s="207"/>
      <c r="I573" s="205"/>
    </row>
    <row r="574" ht="15.4" customHeight="1">
      <c r="A574" s="208"/>
      <c r="B574" s="209"/>
      <c r="C574" s="208"/>
      <c r="D574" s="210"/>
      <c r="E574" s="205"/>
      <c r="F574" s="207"/>
      <c r="G574" s="205"/>
      <c r="H574" s="207"/>
      <c r="I574" s="205"/>
    </row>
    <row r="575" ht="15.4" customHeight="1">
      <c r="A575" s="208"/>
      <c r="B575" s="209"/>
      <c r="C575" s="208"/>
      <c r="D575" s="210"/>
      <c r="E575" s="205"/>
      <c r="F575" s="207"/>
      <c r="G575" s="205"/>
      <c r="H575" s="207"/>
      <c r="I575" s="205"/>
    </row>
    <row r="576" ht="15.4" customHeight="1">
      <c r="A576" s="208"/>
      <c r="B576" s="209"/>
      <c r="C576" s="208"/>
      <c r="D576" s="210"/>
      <c r="E576" s="205"/>
      <c r="F576" s="207"/>
      <c r="G576" s="205"/>
      <c r="H576" s="207"/>
      <c r="I576" s="205"/>
    </row>
    <row r="577" ht="15.4" customHeight="1">
      <c r="A577" s="208"/>
      <c r="B577" s="209"/>
      <c r="C577" s="208"/>
      <c r="D577" s="210"/>
      <c r="E577" s="205"/>
      <c r="F577" s="207"/>
      <c r="G577" s="205"/>
      <c r="H577" s="207"/>
      <c r="I577" s="205"/>
    </row>
    <row r="578" ht="15.4" customHeight="1">
      <c r="A578" s="208"/>
      <c r="B578" s="209"/>
      <c r="C578" s="208"/>
      <c r="D578" s="210"/>
      <c r="E578" s="205"/>
      <c r="F578" s="207"/>
      <c r="G578" s="205"/>
      <c r="H578" s="207"/>
      <c r="I578" s="205"/>
    </row>
    <row r="579" ht="15.4" customHeight="1">
      <c r="A579" s="208"/>
      <c r="B579" s="209"/>
      <c r="C579" s="208"/>
      <c r="D579" s="210"/>
      <c r="E579" s="205"/>
      <c r="F579" s="207"/>
      <c r="G579" s="205"/>
      <c r="H579" s="207"/>
      <c r="I579" s="205"/>
    </row>
    <row r="580" ht="15.4" customHeight="1">
      <c r="A580" s="208"/>
      <c r="B580" s="209"/>
      <c r="C580" s="208"/>
      <c r="D580" s="210"/>
      <c r="E580" s="205"/>
      <c r="F580" s="207"/>
      <c r="G580" s="205"/>
      <c r="H580" s="207"/>
      <c r="I580" s="205"/>
    </row>
    <row r="581" ht="15.4" customHeight="1">
      <c r="A581" s="208"/>
      <c r="B581" s="209"/>
      <c r="C581" s="208"/>
      <c r="D581" s="210"/>
      <c r="E581" s="205"/>
      <c r="F581" s="207"/>
      <c r="G581" s="205"/>
      <c r="H581" s="207"/>
      <c r="I581" s="205"/>
    </row>
    <row r="582" ht="15.4" customHeight="1">
      <c r="A582" s="208"/>
      <c r="B582" s="209"/>
      <c r="C582" s="208"/>
      <c r="D582" s="210"/>
      <c r="E582" s="205"/>
      <c r="F582" s="207"/>
      <c r="G582" s="205"/>
      <c r="H582" s="207"/>
      <c r="I582" s="205"/>
    </row>
    <row r="583" ht="15.4" customHeight="1">
      <c r="A583" s="208"/>
      <c r="B583" s="209"/>
      <c r="C583" s="208"/>
      <c r="D583" s="210"/>
      <c r="E583" s="205"/>
      <c r="F583" s="207"/>
      <c r="G583" s="205"/>
      <c r="H583" s="207"/>
      <c r="I583" s="205"/>
    </row>
    <row r="584" ht="15.4" customHeight="1">
      <c r="A584" s="211" t="s">
        <v>511</v>
      </c>
      <c r="B584" s="211"/>
      <c r="C584" s="211"/>
      <c r="D584" s="211"/>
      <c r="E584" s="211"/>
      <c r="F584" s="211"/>
      <c r="G584" s="211"/>
      <c r="H584" s="211"/>
      <c r="I584" s="211"/>
    </row>
    <row r="585" ht="15.4" customHeight="1">
      <c r="A585" s="341"/>
      <c r="B585" s="371"/>
      <c r="C585" s="371"/>
      <c r="D585" s="371"/>
      <c r="E585" s="371"/>
      <c r="F585" s="371"/>
      <c r="G585" s="371"/>
      <c r="H585" s="371"/>
      <c r="I585" s="371"/>
    </row>
    <row r="586" ht="15.4" customHeight="1">
      <c r="A586" s="138" t="s">
        <v>512</v>
      </c>
      <c r="B586" s="138"/>
      <c r="C586" s="138"/>
      <c r="D586" s="371"/>
      <c r="E586" s="371"/>
      <c r="F586" s="371"/>
      <c r="G586" s="371"/>
      <c r="H586" s="371"/>
      <c r="I586" s="371"/>
    </row>
    <row r="587" ht="15.4" customHeight="1">
      <c r="A587" s="341"/>
      <c r="B587" s="371"/>
      <c r="C587" s="371"/>
      <c r="D587" s="371"/>
      <c r="E587" s="371"/>
      <c r="F587" s="371"/>
      <c r="G587" s="371"/>
      <c r="H587" s="371"/>
      <c r="I587" s="371"/>
    </row>
    <row r="588" ht="15.4" customHeight="1">
      <c r="A588" s="341"/>
      <c r="B588" s="158" t="s">
        <v>513</v>
      </c>
      <c r="C588" s="158"/>
      <c r="D588" s="158"/>
      <c r="E588" s="371"/>
      <c r="F588" s="371"/>
      <c r="G588" s="371"/>
      <c r="H588" s="371"/>
      <c r="I588" s="371"/>
    </row>
    <row r="589" ht="15.4" customHeight="1">
      <c r="A589" s="341" t="s">
        <v>514</v>
      </c>
      <c r="B589" s="140" t="s">
        <v>515</v>
      </c>
      <c r="C589" s="140"/>
      <c r="D589" s="140"/>
      <c r="E589" s="140"/>
      <c r="F589" s="140"/>
      <c r="G589" s="196"/>
      <c r="H589" s="196"/>
      <c r="I589" s="371"/>
    </row>
    <row r="590" ht="15.4" customHeight="1">
      <c r="A590" s="341"/>
      <c r="B590" s="139"/>
      <c r="C590" s="139"/>
      <c r="D590" s="139"/>
      <c r="E590" s="139"/>
      <c r="F590" s="139"/>
      <c r="G590" s="371"/>
      <c r="H590" s="371"/>
      <c r="I590" s="371"/>
    </row>
    <row r="591" ht="15.4" customHeight="1">
      <c r="A591" s="341"/>
      <c r="B591" s="140" t="s">
        <v>516</v>
      </c>
      <c r="C591" s="140"/>
      <c r="D591" s="140"/>
      <c r="E591" s="140"/>
      <c r="F591" s="140"/>
      <c r="G591" s="371"/>
      <c r="H591" s="371"/>
      <c r="I591" s="371"/>
    </row>
    <row r="592" ht="15.4" customHeight="1">
      <c r="A592" s="341"/>
      <c r="B592" s="140"/>
      <c r="C592" s="140"/>
      <c r="D592" s="140"/>
      <c r="E592" s="140"/>
      <c r="F592" s="140"/>
      <c r="G592" s="196"/>
      <c r="H592" s="196"/>
      <c r="I592" s="371"/>
    </row>
    <row r="593" ht="15.4" customHeight="1">
      <c r="A593" s="341"/>
      <c r="B593" s="371"/>
      <c r="C593" s="371"/>
      <c r="D593" s="371"/>
      <c r="E593" s="371"/>
      <c r="F593" s="371"/>
      <c r="G593" s="371"/>
      <c r="H593" s="371"/>
      <c r="I593" s="371"/>
    </row>
    <row r="594" ht="15.4" customHeight="1">
      <c r="A594" s="341"/>
      <c r="B594" s="140" t="s">
        <v>517</v>
      </c>
      <c r="C594" s="140"/>
      <c r="D594" s="140"/>
      <c r="E594" s="140"/>
      <c r="F594" s="140"/>
      <c r="G594" s="371"/>
      <c r="H594" s="371"/>
      <c r="I594" s="371"/>
    </row>
    <row r="595" ht="15.4" customHeight="1">
      <c r="A595" s="341"/>
      <c r="B595" s="140"/>
      <c r="C595" s="140"/>
      <c r="D595" s="140"/>
      <c r="E595" s="140"/>
      <c r="F595" s="140"/>
      <c r="G595" s="196"/>
      <c r="H595" s="196"/>
      <c r="I595" s="371"/>
    </row>
    <row r="596" ht="15.4" customHeight="1">
      <c r="A596" s="341"/>
      <c r="B596" s="371"/>
      <c r="C596" s="371"/>
      <c r="D596" s="371"/>
      <c r="E596" s="371"/>
      <c r="F596" s="371"/>
      <c r="G596" s="371"/>
      <c r="H596" s="371"/>
      <c r="I596" s="371"/>
    </row>
    <row r="597" ht="15.4" customHeight="1">
      <c r="A597" s="341"/>
      <c r="B597" s="158" t="s">
        <v>518</v>
      </c>
      <c r="C597" s="158"/>
      <c r="D597" s="158"/>
      <c r="E597" s="371"/>
      <c r="F597" s="371"/>
      <c r="G597" s="371"/>
      <c r="H597" s="371"/>
      <c r="I597" s="371"/>
    </row>
    <row r="598" ht="15.4" customHeight="1">
      <c r="A598" s="341" t="s">
        <v>519</v>
      </c>
      <c r="B598" s="140" t="s">
        <v>520</v>
      </c>
      <c r="C598" s="140"/>
      <c r="D598" s="140"/>
      <c r="E598" s="140"/>
      <c r="F598" s="140"/>
      <c r="G598" s="371"/>
      <c r="H598" s="371"/>
      <c r="I598" s="371"/>
    </row>
    <row r="599" ht="15.4" customHeight="1">
      <c r="A599" s="341"/>
      <c r="B599" s="140"/>
      <c r="C599" s="140"/>
      <c r="D599" s="140"/>
      <c r="E599" s="140"/>
      <c r="F599" s="140"/>
      <c r="G599" s="196"/>
      <c r="H599" s="196"/>
      <c r="I599" s="371"/>
    </row>
    <row r="600" ht="15.4" customHeight="1">
      <c r="A600" s="341"/>
      <c r="B600" s="212" t="s">
        <v>521</v>
      </c>
      <c r="C600" s="196"/>
      <c r="D600" s="196"/>
      <c r="E600" s="196"/>
      <c r="F600" s="196"/>
      <c r="G600" s="196"/>
      <c r="H600" s="196"/>
      <c r="I600" s="371"/>
    </row>
    <row r="601" ht="15.4" customHeight="1">
      <c r="A601" s="341"/>
      <c r="B601" s="371"/>
      <c r="C601" s="196"/>
      <c r="D601" s="196"/>
      <c r="E601" s="196"/>
      <c r="F601" s="196"/>
      <c r="G601" s="196"/>
      <c r="H601" s="196"/>
      <c r="I601" s="371"/>
    </row>
    <row r="602" ht="15.4" customHeight="1">
      <c r="A602" s="341"/>
      <c r="B602" s="371"/>
      <c r="C602" s="371"/>
      <c r="D602" s="371"/>
      <c r="E602" s="371"/>
      <c r="F602" s="371"/>
      <c r="G602" s="141" t="s">
        <v>253</v>
      </c>
      <c r="H602" s="141" t="s">
        <v>254</v>
      </c>
      <c r="I602" s="371"/>
    </row>
    <row r="603" ht="15.4" customHeight="1">
      <c r="A603" s="341"/>
      <c r="B603" s="181" t="s">
        <v>522</v>
      </c>
      <c r="C603" s="181"/>
      <c r="D603" s="181"/>
      <c r="E603" s="181"/>
      <c r="F603" s="181"/>
      <c r="G603" s="142"/>
      <c r="H603" s="142"/>
      <c r="I603" s="371"/>
    </row>
    <row r="604" ht="15.4" customHeight="1">
      <c r="A604" s="341"/>
      <c r="B604" s="370"/>
      <c r="C604" s="357"/>
      <c r="D604" s="357"/>
      <c r="E604" s="371"/>
      <c r="F604" s="371"/>
      <c r="G604" s="141" t="s">
        <v>253</v>
      </c>
      <c r="H604" s="141" t="s">
        <v>254</v>
      </c>
      <c r="I604" s="371"/>
    </row>
    <row r="605" ht="15.4" customHeight="1">
      <c r="A605" s="341"/>
      <c r="B605" s="353" t="s">
        <v>523</v>
      </c>
      <c r="C605" s="213"/>
      <c r="D605" s="213"/>
      <c r="E605" s="371"/>
      <c r="F605" s="371"/>
      <c r="G605" s="142"/>
      <c r="H605" s="142"/>
      <c r="I605" s="371"/>
    </row>
    <row r="606" ht="15.4" customHeight="1">
      <c r="A606" s="341"/>
      <c r="B606" s="214" t="s">
        <v>524</v>
      </c>
      <c r="C606" s="214"/>
      <c r="D606" s="214"/>
      <c r="E606" s="214"/>
      <c r="F606" s="214"/>
      <c r="G606" s="214"/>
      <c r="H606" s="214"/>
      <c r="I606" s="371"/>
    </row>
    <row r="607" ht="15.4" customHeight="1">
      <c r="A607" s="341"/>
      <c r="B607" s="371"/>
      <c r="C607" s="371"/>
      <c r="D607" s="371"/>
      <c r="E607" s="371"/>
      <c r="F607" s="371"/>
      <c r="G607" s="371"/>
      <c r="H607" s="371"/>
      <c r="I607" s="371"/>
    </row>
    <row r="608" ht="15.4" customHeight="1">
      <c r="A608" s="341"/>
      <c r="B608" s="158" t="s">
        <v>525</v>
      </c>
      <c r="C608" s="158"/>
      <c r="D608" s="158"/>
      <c r="E608" s="215"/>
      <c r="F608" s="213"/>
      <c r="G608" s="371"/>
      <c r="H608" s="371"/>
      <c r="I608" s="371"/>
    </row>
    <row r="609" ht="15.4" customHeight="1">
      <c r="A609" s="341" t="s">
        <v>519</v>
      </c>
      <c r="B609" s="145" t="s">
        <v>526</v>
      </c>
      <c r="C609" s="145"/>
      <c r="D609" s="145"/>
      <c r="E609" s="145"/>
      <c r="F609" s="145"/>
      <c r="G609" s="196"/>
      <c r="H609" s="196"/>
      <c r="I609" s="371"/>
    </row>
    <row r="610" ht="15.4" customHeight="1">
      <c r="A610" s="341"/>
      <c r="B610" s="371"/>
      <c r="C610" s="371"/>
      <c r="D610" s="371"/>
      <c r="E610" s="371"/>
      <c r="F610" s="371"/>
      <c r="G610" s="371"/>
      <c r="H610" s="371"/>
      <c r="I610" s="371"/>
    </row>
    <row r="611" ht="15.4" customHeight="1">
      <c r="A611" s="341"/>
      <c r="B611" s="353" t="s">
        <v>527</v>
      </c>
      <c r="C611" s="353"/>
      <c r="D611" s="353"/>
      <c r="E611" s="353"/>
      <c r="F611" s="353"/>
      <c r="G611" s="196"/>
      <c r="H611" s="196"/>
      <c r="I611" s="371"/>
    </row>
    <row r="612" ht="15.4" customHeight="1">
      <c r="A612" s="341"/>
      <c r="B612" s="371"/>
      <c r="C612" s="371"/>
      <c r="D612" s="371"/>
      <c r="E612" s="371"/>
      <c r="F612" s="371"/>
      <c r="G612" s="371"/>
      <c r="H612" s="371"/>
      <c r="I612" s="371"/>
    </row>
    <row r="613" ht="15.4" customHeight="1">
      <c r="A613" s="341"/>
      <c r="B613" s="145" t="s">
        <v>528</v>
      </c>
      <c r="C613" s="145"/>
      <c r="D613" s="145"/>
      <c r="E613" s="145"/>
      <c r="F613" s="145"/>
      <c r="G613" s="196"/>
      <c r="H613" s="196"/>
      <c r="I613" s="371"/>
    </row>
    <row r="614" ht="15.4" customHeight="1">
      <c r="A614" s="341"/>
      <c r="B614" s="145"/>
      <c r="C614" s="145"/>
      <c r="D614" s="145"/>
      <c r="E614" s="145"/>
      <c r="F614" s="145"/>
      <c r="G614" s="145"/>
      <c r="H614" s="145"/>
      <c r="I614" s="145"/>
    </row>
    <row r="615" ht="15.4" customHeight="1">
      <c r="A615" s="341"/>
      <c r="B615" s="145"/>
      <c r="C615" s="145"/>
      <c r="D615" s="145"/>
      <c r="E615" s="145"/>
      <c r="F615" s="145"/>
      <c r="G615" s="141" t="s">
        <v>253</v>
      </c>
      <c r="H615" s="141" t="s">
        <v>254</v>
      </c>
      <c r="I615" s="371"/>
    </row>
    <row r="616" ht="15.4" customHeight="1">
      <c r="A616" s="341"/>
      <c r="B616" s="145" t="s">
        <v>529</v>
      </c>
      <c r="C616" s="145"/>
      <c r="D616" s="145"/>
      <c r="E616" s="145"/>
      <c r="F616" s="145"/>
      <c r="G616" s="142"/>
      <c r="H616" s="142"/>
      <c r="I616" s="371"/>
    </row>
    <row r="617" ht="15.4" customHeight="1">
      <c r="A617" s="341"/>
      <c r="B617" s="371"/>
      <c r="C617" s="371"/>
      <c r="D617" s="371"/>
      <c r="E617" s="371"/>
      <c r="F617" s="371"/>
      <c r="G617" s="371"/>
      <c r="H617" s="371"/>
      <c r="I617" s="371"/>
    </row>
    <row r="618" ht="15.4" customHeight="1">
      <c r="A618" s="341"/>
      <c r="B618" s="158" t="s">
        <v>530</v>
      </c>
      <c r="C618" s="158"/>
      <c r="D618" s="158"/>
      <c r="E618" s="371"/>
      <c r="F618" s="371"/>
      <c r="G618" s="141" t="s">
        <v>253</v>
      </c>
      <c r="H618" s="141" t="s">
        <v>254</v>
      </c>
      <c r="I618" s="371"/>
    </row>
    <row r="619" ht="15.4" customHeight="1">
      <c r="A619" s="341" t="s">
        <v>519</v>
      </c>
      <c r="B619" s="353" t="s">
        <v>531</v>
      </c>
      <c r="C619" s="371"/>
      <c r="D619" s="371"/>
      <c r="E619" s="371"/>
      <c r="F619" s="371"/>
      <c r="G619" s="142"/>
      <c r="H619" s="142"/>
      <c r="I619" s="371"/>
    </row>
    <row r="620" ht="15.4" customHeight="1">
      <c r="A620" s="341"/>
      <c r="B620" s="212" t="s">
        <v>521</v>
      </c>
      <c r="C620" s="196"/>
      <c r="D620" s="196"/>
      <c r="E620" s="196"/>
      <c r="F620" s="196"/>
      <c r="G620" s="196"/>
      <c r="H620" s="196"/>
      <c r="I620" s="371"/>
    </row>
    <row r="621" ht="15.4" customHeight="1">
      <c r="A621" s="341"/>
      <c r="B621" s="371"/>
      <c r="C621" s="196"/>
      <c r="D621" s="196"/>
      <c r="E621" s="196"/>
      <c r="F621" s="196"/>
      <c r="G621" s="196"/>
      <c r="H621" s="196"/>
      <c r="I621" s="371"/>
    </row>
    <row r="622" ht="15.4" customHeight="1">
      <c r="A622" s="341"/>
      <c r="B622" s="371"/>
      <c r="C622" s="371"/>
      <c r="D622" s="371"/>
      <c r="E622" s="371"/>
      <c r="F622" s="371"/>
      <c r="G622" s="371"/>
      <c r="H622" s="371"/>
      <c r="I622" s="371"/>
    </row>
    <row r="623" ht="15.4" customHeight="1">
      <c r="A623" s="341"/>
      <c r="B623" s="371"/>
      <c r="C623" s="371"/>
      <c r="D623" s="371"/>
      <c r="E623" s="371"/>
      <c r="F623" s="371"/>
      <c r="G623" s="371"/>
      <c r="H623" s="371"/>
      <c r="I623" s="371"/>
    </row>
    <row r="624" ht="15.4" customHeight="1">
      <c r="A624" s="341"/>
      <c r="B624" s="371"/>
      <c r="C624" s="371"/>
      <c r="D624" s="371"/>
      <c r="E624" s="371"/>
      <c r="F624" s="371"/>
      <c r="G624" s="371"/>
      <c r="H624" s="371"/>
      <c r="I624" s="371"/>
    </row>
    <row r="625" ht="15.4" customHeight="1">
      <c r="A625" s="341"/>
      <c r="B625" s="371"/>
      <c r="C625" s="371"/>
      <c r="D625" s="371"/>
      <c r="E625" s="371"/>
      <c r="F625" s="371"/>
      <c r="G625" s="371"/>
      <c r="H625" s="371"/>
      <c r="I625" s="371"/>
    </row>
    <row r="626" ht="15.4" customHeight="1">
      <c r="A626" s="138" t="s">
        <v>532</v>
      </c>
      <c r="B626" s="138"/>
      <c r="C626" s="138"/>
      <c r="D626" s="371"/>
      <c r="E626" s="371"/>
      <c r="F626" s="371"/>
      <c r="G626" s="371"/>
      <c r="H626" s="371"/>
      <c r="I626" s="371"/>
    </row>
    <row r="627" ht="15.4" customHeight="1">
      <c r="A627" s="341"/>
      <c r="B627" s="371"/>
      <c r="C627" s="371"/>
      <c r="D627" s="371"/>
      <c r="E627" s="371"/>
      <c r="F627" s="371"/>
      <c r="G627" s="371"/>
      <c r="H627" s="371"/>
      <c r="I627" s="371"/>
    </row>
    <row r="628" ht="15.4" customHeight="1">
      <c r="A628" s="341" t="s">
        <v>493</v>
      </c>
      <c r="B628" s="140" t="s">
        <v>533</v>
      </c>
      <c r="C628" s="140"/>
      <c r="D628" s="140"/>
      <c r="E628" s="140"/>
      <c r="F628" s="140" t="s">
        <v>534</v>
      </c>
      <c r="G628" s="371"/>
      <c r="H628" s="371"/>
      <c r="I628" s="371"/>
    </row>
    <row r="629" ht="15.4" customHeight="1">
      <c r="A629" s="341"/>
      <c r="B629" s="140"/>
      <c r="C629" s="140"/>
      <c r="D629" s="140"/>
      <c r="E629" s="140"/>
      <c r="F629" s="140"/>
      <c r="G629" s="196"/>
      <c r="H629" s="196"/>
      <c r="I629" s="371"/>
    </row>
    <row r="630" ht="15.4" customHeight="1">
      <c r="A630" s="341"/>
      <c r="B630" s="216" t="s">
        <v>535</v>
      </c>
      <c r="C630" s="216"/>
      <c r="D630" s="216"/>
      <c r="E630" s="216"/>
      <c r="F630" s="216"/>
      <c r="G630" s="216"/>
      <c r="H630" s="216"/>
      <c r="I630" s="371"/>
    </row>
    <row r="631" ht="15.4" customHeight="1">
      <c r="A631" s="341"/>
      <c r="B631" s="216"/>
      <c r="C631" s="216"/>
      <c r="D631" s="216"/>
      <c r="E631" s="216"/>
      <c r="F631" s="216"/>
      <c r="G631" s="216"/>
      <c r="H631" s="216"/>
      <c r="I631" s="371"/>
    </row>
    <row r="632" ht="15.4" customHeight="1">
      <c r="A632" s="341"/>
      <c r="I632" s="371"/>
    </row>
    <row r="633" ht="15.4" customHeight="1">
      <c r="A633" s="341" t="s">
        <v>493</v>
      </c>
      <c r="B633" s="140" t="s">
        <v>536</v>
      </c>
      <c r="C633" s="140"/>
      <c r="D633" s="140"/>
      <c r="E633" s="140"/>
      <c r="F633" s="140"/>
      <c r="G633" s="371"/>
      <c r="H633" s="371"/>
      <c r="I633" s="371"/>
    </row>
    <row r="634" ht="15" customHeight="1">
      <c r="A634" s="341"/>
      <c r="B634" s="140"/>
      <c r="C634" s="140"/>
      <c r="D634" s="140"/>
      <c r="E634" s="140"/>
      <c r="F634" s="140"/>
      <c r="G634" s="196"/>
      <c r="H634" s="196"/>
      <c r="I634" s="371"/>
    </row>
    <row r="635" ht="15.4" customHeight="1">
      <c r="A635" s="341"/>
      <c r="B635" s="144" t="s">
        <v>537</v>
      </c>
      <c r="C635" s="144"/>
      <c r="D635" s="144"/>
      <c r="E635" s="144"/>
      <c r="F635" s="144"/>
      <c r="G635" s="144"/>
      <c r="H635" s="144"/>
      <c r="I635" s="371"/>
    </row>
    <row r="636" ht="15.4" customHeight="1">
      <c r="A636" s="341"/>
      <c r="B636" s="144"/>
      <c r="C636" s="144"/>
      <c r="D636" s="144"/>
      <c r="E636" s="144"/>
      <c r="F636" s="144"/>
      <c r="G636" s="144"/>
      <c r="H636" s="144"/>
      <c r="I636" s="371"/>
    </row>
    <row r="637" ht="15.4" customHeight="1">
      <c r="A637" s="341"/>
      <c r="B637" s="144"/>
      <c r="C637" s="144"/>
      <c r="D637" s="144"/>
      <c r="E637" s="144"/>
      <c r="F637" s="144"/>
      <c r="G637" s="144"/>
      <c r="H637" s="144"/>
      <c r="I637" s="371"/>
    </row>
    <row r="638" ht="15.4" customHeight="1">
      <c r="A638" s="341"/>
      <c r="B638" s="144"/>
      <c r="C638" s="144"/>
      <c r="D638" s="144"/>
      <c r="E638" s="144"/>
      <c r="F638" s="144"/>
      <c r="G638" s="144"/>
      <c r="H638" s="144"/>
      <c r="I638" s="371"/>
    </row>
    <row r="639" ht="15.4" customHeight="1">
      <c r="A639" s="341"/>
      <c r="B639" s="216"/>
      <c r="C639" s="216"/>
      <c r="D639" s="216"/>
      <c r="E639" s="216"/>
      <c r="F639" s="216"/>
      <c r="G639" s="216"/>
      <c r="H639" s="216"/>
      <c r="I639" s="371"/>
    </row>
    <row r="640" ht="15.4" customHeight="1">
      <c r="A640" s="138" t="s">
        <v>538</v>
      </c>
      <c r="B640" s="138"/>
      <c r="C640" s="138"/>
      <c r="D640" s="371"/>
      <c r="E640" s="371"/>
      <c r="F640" s="371"/>
      <c r="G640" s="371"/>
      <c r="H640" s="371"/>
      <c r="I640" s="371"/>
    </row>
    <row r="641" ht="15.4" customHeight="1">
      <c r="A641" s="341"/>
      <c r="B641" s="371"/>
      <c r="C641" s="371"/>
      <c r="D641" s="371"/>
      <c r="E641" s="371"/>
      <c r="F641" s="371"/>
      <c r="G641" s="371"/>
      <c r="H641" s="371"/>
      <c r="I641" s="371"/>
    </row>
    <row r="642" ht="15.4" customHeight="1">
      <c r="A642" s="341" t="s">
        <v>483</v>
      </c>
      <c r="B642" s="140" t="s">
        <v>539</v>
      </c>
      <c r="C642" s="140"/>
      <c r="D642" s="140"/>
      <c r="E642" s="140"/>
      <c r="F642" s="140"/>
      <c r="G642" s="141" t="s">
        <v>253</v>
      </c>
      <c r="H642" s="141" t="s">
        <v>254</v>
      </c>
      <c r="I642" s="371"/>
    </row>
    <row r="643" ht="15.4" customHeight="1">
      <c r="A643" s="341"/>
      <c r="B643" s="140"/>
      <c r="C643" s="140"/>
      <c r="D643" s="140"/>
      <c r="E643" s="140"/>
      <c r="F643" s="140"/>
      <c r="G643" s="142"/>
      <c r="H643" s="142"/>
      <c r="I643" s="371"/>
    </row>
    <row r="644" ht="15.4" customHeight="1">
      <c r="A644" s="341"/>
      <c r="B644" s="212" t="s">
        <v>540</v>
      </c>
      <c r="C644" s="196"/>
      <c r="D644" s="196"/>
      <c r="E644" s="196"/>
      <c r="F644" s="196"/>
      <c r="G644" s="196"/>
      <c r="H644" s="196"/>
      <c r="I644" s="371"/>
    </row>
    <row r="645" ht="15.4" customHeight="1">
      <c r="A645" s="341"/>
      <c r="B645" s="371"/>
      <c r="C645" s="196"/>
      <c r="D645" s="196"/>
      <c r="E645" s="196"/>
      <c r="F645" s="196"/>
      <c r="G645" s="196"/>
      <c r="H645" s="196"/>
      <c r="I645" s="371"/>
    </row>
    <row r="646" ht="15.4" customHeight="1">
      <c r="A646" s="341"/>
      <c r="B646" s="371"/>
      <c r="C646" s="371"/>
      <c r="D646" s="371"/>
      <c r="E646" s="371"/>
      <c r="F646" s="371"/>
      <c r="G646" s="371"/>
      <c r="H646" s="371"/>
      <c r="I646" s="371"/>
    </row>
    <row r="647" ht="15.4" customHeight="1">
      <c r="A647" s="341" t="s">
        <v>541</v>
      </c>
      <c r="B647" s="217" t="s">
        <v>542</v>
      </c>
      <c r="C647" s="217"/>
      <c r="D647" s="217"/>
      <c r="E647" s="218" t="s">
        <v>543</v>
      </c>
      <c r="F647" s="219" t="s">
        <v>544</v>
      </c>
      <c r="G647" s="219"/>
      <c r="H647" s="371"/>
      <c r="I647" s="371"/>
    </row>
    <row r="648" ht="15.4" customHeight="1">
      <c r="A648" s="341"/>
      <c r="B648" s="220" t="s">
        <v>545</v>
      </c>
      <c r="C648" s="221"/>
      <c r="D648" s="176"/>
      <c r="E648" s="222" t="s">
        <v>546</v>
      </c>
      <c r="F648" s="223"/>
      <c r="G648" s="223"/>
      <c r="I648" s="224"/>
    </row>
    <row r="649" ht="15.4" customHeight="1">
      <c r="A649" s="341"/>
      <c r="B649" s="225" t="s">
        <v>547</v>
      </c>
      <c r="C649" s="226"/>
      <c r="D649" s="74"/>
      <c r="E649" s="227" t="s">
        <v>183</v>
      </c>
      <c r="F649" s="228"/>
      <c r="G649" s="228"/>
      <c r="H649" s="229" t="s">
        <v>548</v>
      </c>
      <c r="I649" s="229"/>
    </row>
    <row r="650" ht="15.4" customHeight="1">
      <c r="A650" s="341"/>
      <c r="B650" s="225" t="s">
        <v>549</v>
      </c>
      <c r="C650" s="226"/>
      <c r="D650" s="74"/>
      <c r="E650" s="227" t="s">
        <v>183</v>
      </c>
      <c r="F650" s="228"/>
      <c r="G650" s="228"/>
      <c r="H650" s="229"/>
      <c r="I650" s="229"/>
    </row>
    <row r="651" ht="15.4" customHeight="1">
      <c r="A651" s="341"/>
      <c r="B651" s="225" t="s">
        <v>550</v>
      </c>
      <c r="C651" s="226"/>
      <c r="D651" s="74"/>
      <c r="E651" s="227" t="s">
        <v>551</v>
      </c>
      <c r="F651" s="228"/>
      <c r="G651" s="228"/>
      <c r="H651" s="229"/>
      <c r="I651" s="229"/>
    </row>
    <row r="652" ht="15.4" customHeight="1">
      <c r="A652" s="341"/>
      <c r="B652" s="225" t="s">
        <v>552</v>
      </c>
      <c r="C652" s="226"/>
      <c r="D652" s="74"/>
      <c r="E652" s="227" t="s">
        <v>551</v>
      </c>
      <c r="F652" s="228"/>
      <c r="G652" s="228"/>
      <c r="H652" s="230"/>
      <c r="I652" s="224"/>
    </row>
    <row r="653" ht="15.4" customHeight="1">
      <c r="A653" s="341"/>
      <c r="B653" s="225" t="s">
        <v>553</v>
      </c>
      <c r="C653" s="226"/>
      <c r="D653" s="74"/>
      <c r="E653" s="227" t="s">
        <v>554</v>
      </c>
      <c r="F653" s="228"/>
      <c r="G653" s="228"/>
      <c r="H653" s="371"/>
      <c r="I653" s="371"/>
    </row>
    <row r="654" ht="15.4" customHeight="1">
      <c r="A654" s="341"/>
      <c r="B654" s="115" t="s">
        <v>555</v>
      </c>
      <c r="C654" s="231"/>
      <c r="D654" s="74"/>
      <c r="E654" s="227" t="s">
        <v>554</v>
      </c>
      <c r="F654" s="228"/>
      <c r="G654" s="228"/>
      <c r="H654" s="371"/>
      <c r="I654" s="371"/>
    </row>
    <row r="655" ht="15.4" customHeight="1">
      <c r="A655" s="341"/>
      <c r="B655" s="225" t="s">
        <v>556</v>
      </c>
      <c r="C655" s="226"/>
      <c r="D655" s="74"/>
      <c r="E655" s="227" t="s">
        <v>551</v>
      </c>
      <c r="F655" s="228"/>
      <c r="G655" s="228"/>
      <c r="H655" s="371"/>
      <c r="I655" s="371"/>
    </row>
    <row r="656" ht="15.4" customHeight="1">
      <c r="A656" s="341"/>
      <c r="B656" s="225" t="s">
        <v>557</v>
      </c>
      <c r="C656" s="226"/>
      <c r="D656" s="74"/>
      <c r="E656" s="227" t="s">
        <v>183</v>
      </c>
      <c r="F656" s="228"/>
      <c r="G656" s="228"/>
      <c r="H656" s="371"/>
      <c r="I656" s="371"/>
    </row>
    <row r="657" ht="15.4" customHeight="1">
      <c r="A657" s="341"/>
      <c r="B657" s="225" t="s">
        <v>558</v>
      </c>
      <c r="C657" s="226"/>
      <c r="D657" s="74"/>
      <c r="E657" s="227" t="s">
        <v>551</v>
      </c>
      <c r="F657" s="228"/>
      <c r="G657" s="228"/>
      <c r="H657" s="371"/>
      <c r="I657" s="371"/>
    </row>
    <row r="658" ht="15.4" customHeight="1">
      <c r="A658" s="341"/>
      <c r="B658" s="371"/>
      <c r="C658" s="371"/>
      <c r="D658" s="371"/>
      <c r="E658" s="371"/>
      <c r="F658" s="371"/>
      <c r="G658" s="371"/>
      <c r="H658" s="371"/>
      <c r="I658" s="371"/>
    </row>
    <row r="659" ht="15.4" customHeight="1">
      <c r="A659" s="341"/>
      <c r="B659" s="341"/>
      <c r="C659" s="341"/>
      <c r="D659" s="341"/>
      <c r="E659" s="341"/>
      <c r="F659" s="341"/>
      <c r="G659" s="341"/>
      <c r="H659" s="341"/>
      <c r="I659" s="371"/>
    </row>
    <row r="660" ht="15.4" customHeight="1">
      <c r="A660" s="341"/>
      <c r="B660" s="371"/>
      <c r="C660" s="371"/>
      <c r="D660" s="371"/>
      <c r="E660" s="371"/>
      <c r="F660" s="371"/>
      <c r="G660" s="371"/>
      <c r="H660" s="371"/>
      <c r="I660" s="371"/>
    </row>
    <row r="661" ht="15.4" customHeight="1">
      <c r="A661" s="341" t="s">
        <v>559</v>
      </c>
      <c r="B661" s="140" t="s">
        <v>560</v>
      </c>
      <c r="C661" s="140"/>
      <c r="D661" s="140"/>
      <c r="E661" s="140"/>
      <c r="F661" s="140"/>
      <c r="G661" s="196"/>
      <c r="H661" s="196"/>
      <c r="I661" s="371"/>
      <c r="L661" s="139"/>
      <c r="M661" s="139"/>
      <c r="N661" s="139"/>
      <c r="O661" s="139"/>
    </row>
    <row r="662" ht="15.4" customHeight="1">
      <c r="A662" s="341"/>
      <c r="B662" s="139"/>
      <c r="C662" s="139"/>
      <c r="D662" s="139"/>
      <c r="E662" s="139"/>
      <c r="F662" s="139"/>
      <c r="G662" s="371"/>
      <c r="H662" s="371"/>
      <c r="I662" s="371"/>
      <c r="K662" s="139"/>
      <c r="L662" s="139"/>
      <c r="M662" s="139"/>
      <c r="N662" s="139"/>
      <c r="O662" s="139"/>
    </row>
    <row r="663" ht="15.4" customHeight="1">
      <c r="A663" s="341" t="s">
        <v>227</v>
      </c>
      <c r="B663" s="140" t="s">
        <v>561</v>
      </c>
      <c r="C663" s="140"/>
      <c r="D663" s="140"/>
      <c r="E663" s="140"/>
      <c r="F663" s="140"/>
      <c r="G663" s="141" t="s">
        <v>253</v>
      </c>
      <c r="H663" s="141" t="s">
        <v>254</v>
      </c>
      <c r="I663" s="371"/>
    </row>
    <row r="664" ht="15.4" customHeight="1">
      <c r="A664" s="341"/>
      <c r="B664" s="140"/>
      <c r="C664" s="140"/>
      <c r="D664" s="140"/>
      <c r="E664" s="140"/>
      <c r="F664" s="140"/>
      <c r="G664" s="142"/>
      <c r="H664" s="142"/>
      <c r="I664" s="371"/>
    </row>
    <row r="665" ht="15.4" customHeight="1">
      <c r="A665" s="341"/>
      <c r="B665" s="232" t="s">
        <v>562</v>
      </c>
      <c r="C665" s="232"/>
      <c r="D665" s="232"/>
      <c r="E665" s="232"/>
      <c r="F665" s="232"/>
      <c r="G665" s="232"/>
      <c r="H665" s="232"/>
      <c r="I665" s="371"/>
    </row>
    <row r="666" ht="15.4" customHeight="1">
      <c r="A666" s="341"/>
      <c r="B666" s="140" t="s">
        <v>563</v>
      </c>
      <c r="C666" s="140"/>
      <c r="D666" s="140"/>
      <c r="E666" s="140"/>
      <c r="F666" s="140"/>
      <c r="G666" s="142"/>
      <c r="H666" s="142"/>
      <c r="I666" s="371"/>
    </row>
    <row r="667" ht="15.4" customHeight="1">
      <c r="A667" s="341"/>
      <c r="G667" s="371"/>
      <c r="H667" s="371"/>
      <c r="I667" s="371"/>
    </row>
    <row r="668" ht="15.4" customHeight="1">
      <c r="A668" s="138" t="s">
        <v>564</v>
      </c>
      <c r="B668" s="138"/>
      <c r="C668" s="138"/>
      <c r="D668" s="371"/>
      <c r="E668" s="371"/>
      <c r="F668" s="371"/>
      <c r="G668" s="371"/>
      <c r="H668" s="371"/>
      <c r="I668" s="371"/>
    </row>
    <row r="669" ht="15.4" customHeight="1">
      <c r="A669" s="341"/>
      <c r="B669" s="371"/>
      <c r="C669" s="371"/>
      <c r="D669" s="371"/>
      <c r="E669" s="371"/>
      <c r="F669" s="371"/>
      <c r="G669" s="371"/>
      <c r="H669" s="371"/>
      <c r="I669" s="371"/>
    </row>
    <row r="670" ht="15.4" customHeight="1">
      <c r="A670" s="341"/>
      <c r="B670" s="158" t="s">
        <v>565</v>
      </c>
      <c r="C670" s="158"/>
      <c r="D670" s="158"/>
      <c r="E670" s="371"/>
      <c r="F670" s="371"/>
      <c r="G670" s="141" t="s">
        <v>253</v>
      </c>
      <c r="H670" s="141" t="s">
        <v>254</v>
      </c>
      <c r="I670" s="371"/>
    </row>
    <row r="671" ht="15.4" customHeight="1">
      <c r="A671" s="341" t="s">
        <v>566</v>
      </c>
      <c r="B671" s="140" t="s">
        <v>567</v>
      </c>
      <c r="C671" s="140"/>
      <c r="D671" s="140"/>
      <c r="E671" s="140"/>
      <c r="F671" s="140"/>
      <c r="G671" s="142"/>
      <c r="H671" s="142"/>
      <c r="I671" s="371"/>
    </row>
    <row r="672" ht="15.4" customHeight="1">
      <c r="A672" s="341"/>
      <c r="B672" s="371"/>
      <c r="C672" s="371"/>
      <c r="D672" s="371"/>
      <c r="E672" s="371"/>
      <c r="F672" s="371"/>
      <c r="G672" s="371"/>
      <c r="H672" s="371"/>
      <c r="I672" s="371"/>
    </row>
    <row r="673" ht="15.4" customHeight="1">
      <c r="A673" s="341"/>
      <c r="B673" s="140" t="s">
        <v>568</v>
      </c>
      <c r="C673" s="140"/>
      <c r="D673" s="140"/>
      <c r="E673" s="139"/>
      <c r="F673" s="142"/>
      <c r="G673" s="233" t="s">
        <v>569</v>
      </c>
      <c r="H673" s="371"/>
      <c r="I673" s="371"/>
    </row>
    <row r="674" ht="15.4" customHeight="1">
      <c r="A674" s="341"/>
      <c r="B674" s="371"/>
      <c r="C674" s="371"/>
      <c r="D674" s="371"/>
      <c r="E674" s="371"/>
      <c r="F674" s="142"/>
      <c r="G674" s="233" t="s">
        <v>570</v>
      </c>
      <c r="H674" s="371"/>
      <c r="I674" s="371"/>
    </row>
    <row r="675" ht="15.4" customHeight="1">
      <c r="A675" s="341"/>
      <c r="B675" s="371"/>
      <c r="C675" s="371"/>
      <c r="D675" s="371"/>
      <c r="E675" s="371"/>
      <c r="F675" s="142"/>
      <c r="G675" s="233" t="s">
        <v>571</v>
      </c>
      <c r="H675" s="371"/>
      <c r="I675" s="371"/>
    </row>
    <row r="676" ht="15.4" customHeight="1">
      <c r="A676" s="341"/>
      <c r="B676" s="371"/>
      <c r="C676" s="371"/>
      <c r="D676" s="371"/>
      <c r="E676" s="371"/>
      <c r="F676" s="233"/>
      <c r="G676" s="233"/>
      <c r="H676" s="371"/>
      <c r="I676" s="371"/>
    </row>
    <row r="677" ht="15.4" customHeight="1">
      <c r="A677" s="341"/>
      <c r="B677" s="188" t="s">
        <v>572</v>
      </c>
      <c r="C677" s="188"/>
      <c r="D677" s="188"/>
      <c r="E677" s="188"/>
      <c r="F677" s="110"/>
      <c r="G677" s="110"/>
      <c r="H677" s="341" t="s">
        <v>573</v>
      </c>
      <c r="I677" s="371"/>
    </row>
    <row r="678" ht="15.4" customHeight="1">
      <c r="A678" s="341"/>
      <c r="B678" s="357"/>
      <c r="C678" s="233"/>
      <c r="D678" s="233"/>
      <c r="E678" s="234"/>
      <c r="F678" s="371"/>
      <c r="G678" s="371"/>
      <c r="H678" s="371"/>
      <c r="I678" s="371"/>
    </row>
    <row r="679" ht="15.4" customHeight="1">
      <c r="A679" s="341" t="s">
        <v>574</v>
      </c>
      <c r="B679" s="140" t="s">
        <v>575</v>
      </c>
      <c r="C679" s="140"/>
      <c r="D679" s="140"/>
      <c r="E679" s="140"/>
      <c r="F679" s="140"/>
      <c r="G679" s="141" t="s">
        <v>253</v>
      </c>
      <c r="H679" s="141" t="s">
        <v>254</v>
      </c>
      <c r="I679" s="371"/>
    </row>
    <row r="680" ht="15.4" customHeight="1">
      <c r="A680" s="341"/>
      <c r="B680" s="140"/>
      <c r="C680" s="140"/>
      <c r="D680" s="140"/>
      <c r="E680" s="140"/>
      <c r="F680" s="140"/>
      <c r="G680" s="142"/>
      <c r="H680" s="142"/>
      <c r="I680" s="371"/>
    </row>
    <row r="681" ht="15.4" customHeight="1">
      <c r="A681" s="341"/>
      <c r="B681" s="371"/>
      <c r="C681" s="371"/>
      <c r="D681" s="371"/>
      <c r="E681" s="371"/>
      <c r="F681" s="371"/>
      <c r="G681" s="371"/>
      <c r="H681" s="371"/>
      <c r="I681" s="371"/>
    </row>
    <row r="682" ht="15.4" customHeight="1">
      <c r="A682" s="341"/>
      <c r="B682" s="158" t="s">
        <v>576</v>
      </c>
      <c r="C682" s="158"/>
      <c r="D682" s="158"/>
      <c r="E682" s="371"/>
      <c r="F682" s="371"/>
      <c r="G682" s="141" t="s">
        <v>253</v>
      </c>
      <c r="H682" s="141" t="s">
        <v>254</v>
      </c>
      <c r="I682" s="371"/>
    </row>
    <row r="683" ht="15.4" customHeight="1">
      <c r="A683" s="341" t="s">
        <v>574</v>
      </c>
      <c r="B683" s="181" t="s">
        <v>577</v>
      </c>
      <c r="C683" s="181"/>
      <c r="D683" s="181"/>
      <c r="E683" s="181"/>
      <c r="F683" s="181"/>
      <c r="G683" s="142"/>
      <c r="H683" s="142"/>
      <c r="I683" s="371"/>
    </row>
    <row r="684" ht="15.4" customHeight="1">
      <c r="A684" s="341"/>
      <c r="B684" s="371"/>
      <c r="C684" s="371"/>
      <c r="D684" s="371"/>
      <c r="E684" s="371"/>
      <c r="F684" s="371"/>
      <c r="G684" s="371"/>
      <c r="H684" s="371"/>
      <c r="I684" s="371"/>
    </row>
    <row r="685" ht="15.4" customHeight="1">
      <c r="A685" s="341"/>
      <c r="B685" s="140" t="s">
        <v>578</v>
      </c>
      <c r="C685" s="140"/>
      <c r="D685" s="140"/>
      <c r="E685" s="140"/>
      <c r="F685" s="140"/>
      <c r="G685" s="141" t="s">
        <v>253</v>
      </c>
      <c r="H685" s="141" t="s">
        <v>254</v>
      </c>
      <c r="I685" s="371"/>
    </row>
    <row r="686" ht="15.4" customHeight="1">
      <c r="A686" s="341"/>
      <c r="B686" s="140"/>
      <c r="C686" s="140"/>
      <c r="D686" s="140"/>
      <c r="E686" s="140"/>
      <c r="F686" s="140"/>
      <c r="G686" s="142"/>
      <c r="H686" s="142"/>
      <c r="I686" s="371"/>
    </row>
    <row r="687" ht="15.4" customHeight="1">
      <c r="A687" s="341"/>
      <c r="B687" s="140"/>
      <c r="C687" s="140"/>
      <c r="D687" s="140"/>
      <c r="E687" s="140"/>
      <c r="F687" s="140"/>
      <c r="G687" s="140"/>
      <c r="H687" s="140"/>
      <c r="I687" s="371"/>
    </row>
    <row r="688" ht="15.4" customHeight="1">
      <c r="A688" s="341"/>
      <c r="B688" s="158" t="s">
        <v>579</v>
      </c>
      <c r="C688" s="158"/>
      <c r="D688" s="158"/>
      <c r="E688" s="371"/>
      <c r="F688" s="371"/>
      <c r="G688" s="371"/>
      <c r="H688" s="371"/>
      <c r="I688" s="371"/>
    </row>
    <row r="689" ht="15.4" customHeight="1">
      <c r="A689" s="341" t="s">
        <v>227</v>
      </c>
      <c r="B689" s="140" t="s">
        <v>580</v>
      </c>
      <c r="C689" s="140"/>
      <c r="D689" s="140"/>
      <c r="E689" s="140"/>
      <c r="F689" s="140"/>
      <c r="G689" s="141" t="s">
        <v>253</v>
      </c>
      <c r="H689" s="141" t="s">
        <v>254</v>
      </c>
      <c r="I689" s="371"/>
    </row>
    <row r="690" ht="15.4" customHeight="1">
      <c r="B690" s="140"/>
      <c r="C690" s="140"/>
      <c r="D690" s="140"/>
      <c r="E690" s="140"/>
      <c r="F690" s="140"/>
      <c r="G690" s="142"/>
      <c r="H690" s="142"/>
      <c r="I690" s="371"/>
    </row>
    <row r="691" ht="15.4" customHeight="1">
      <c r="A691" s="341"/>
      <c r="B691" s="371"/>
      <c r="C691" s="371"/>
      <c r="D691" s="371"/>
      <c r="E691" s="371"/>
      <c r="F691" s="371"/>
      <c r="G691" s="371"/>
      <c r="H691" s="371"/>
      <c r="I691" s="371"/>
    </row>
    <row r="692" ht="15.4" customHeight="1">
      <c r="A692" s="341" t="s">
        <v>574</v>
      </c>
      <c r="B692" s="140" t="s">
        <v>581</v>
      </c>
      <c r="C692" s="140"/>
      <c r="D692" s="140"/>
      <c r="E692" s="371"/>
      <c r="F692" s="371"/>
      <c r="G692" s="371"/>
      <c r="H692" s="371"/>
      <c r="I692" s="371"/>
    </row>
    <row r="693" ht="15.4" customHeight="1">
      <c r="A693" s="341"/>
      <c r="B693" s="142"/>
      <c r="C693" s="235" t="s">
        <v>582</v>
      </c>
      <c r="D693" s="235"/>
      <c r="E693" s="235"/>
      <c r="F693" s="235"/>
      <c r="G693" s="235"/>
      <c r="H693" s="235"/>
      <c r="I693" s="235"/>
    </row>
    <row r="694" ht="15.4" customHeight="1">
      <c r="A694" s="341"/>
      <c r="B694" s="142"/>
      <c r="C694" s="236" t="s">
        <v>583</v>
      </c>
      <c r="D694" s="236"/>
      <c r="E694" s="236"/>
      <c r="F694" s="236"/>
      <c r="G694" s="236"/>
      <c r="H694" s="236"/>
      <c r="I694" s="236"/>
    </row>
    <row r="695" ht="15.4" customHeight="1">
      <c r="A695" s="341"/>
      <c r="B695" s="142"/>
      <c r="C695" s="235" t="s">
        <v>584</v>
      </c>
      <c r="D695" s="235"/>
      <c r="E695" s="235"/>
      <c r="F695" s="235"/>
      <c r="G695" s="235"/>
      <c r="H695" s="235"/>
      <c r="I695" s="235"/>
    </row>
    <row r="696" ht="15.4" customHeight="1">
      <c r="A696" s="341"/>
      <c r="B696" s="142"/>
      <c r="C696" s="235" t="s">
        <v>585</v>
      </c>
      <c r="D696" s="235"/>
      <c r="E696" s="235"/>
      <c r="F696" s="235"/>
      <c r="G696" s="235"/>
      <c r="H696" s="235"/>
      <c r="I696" s="235"/>
    </row>
    <row r="697" ht="15.4" customHeight="1">
      <c r="A697" s="341"/>
      <c r="B697" s="371"/>
      <c r="C697" s="371"/>
      <c r="D697" s="371"/>
      <c r="E697" s="371"/>
      <c r="F697" s="371"/>
      <c r="G697" s="141" t="s">
        <v>253</v>
      </c>
      <c r="H697" s="141" t="s">
        <v>254</v>
      </c>
      <c r="I697" s="371"/>
    </row>
    <row r="698" ht="15.4" customHeight="1">
      <c r="A698" s="341"/>
      <c r="B698" s="140" t="s">
        <v>586</v>
      </c>
      <c r="C698" s="140"/>
      <c r="D698" s="140"/>
      <c r="E698" s="140"/>
      <c r="F698" s="140"/>
      <c r="G698" s="142"/>
      <c r="H698" s="142"/>
      <c r="I698" s="371"/>
    </row>
    <row r="699" ht="15.4" customHeight="1">
      <c r="A699" s="341"/>
      <c r="B699" s="232" t="s">
        <v>587</v>
      </c>
      <c r="C699" s="232"/>
      <c r="D699" s="232"/>
      <c r="E699" s="232"/>
      <c r="F699" s="232"/>
      <c r="G699" s="232"/>
      <c r="H699" s="232"/>
      <c r="I699" s="371"/>
    </row>
    <row r="700" ht="15.4" customHeight="1">
      <c r="A700" s="341"/>
      <c r="B700" s="371"/>
      <c r="C700" s="371"/>
      <c r="D700" s="371"/>
      <c r="E700" s="371"/>
      <c r="F700" s="371"/>
      <c r="G700" s="371"/>
      <c r="H700" s="371"/>
      <c r="I700" s="371"/>
    </row>
    <row r="701" ht="15.4" customHeight="1">
      <c r="A701" s="341"/>
      <c r="B701" s="140" t="s">
        <v>588</v>
      </c>
      <c r="C701" s="140"/>
      <c r="D701" s="140"/>
      <c r="E701" s="140"/>
      <c r="F701" s="140"/>
      <c r="G701" s="141" t="s">
        <v>253</v>
      </c>
      <c r="H701" s="141" t="s">
        <v>254</v>
      </c>
      <c r="I701" s="371"/>
    </row>
    <row r="702" ht="15.4" customHeight="1">
      <c r="A702" s="341"/>
      <c r="B702" s="140"/>
      <c r="C702" s="140"/>
      <c r="D702" s="140"/>
      <c r="E702" s="140"/>
      <c r="F702" s="140"/>
      <c r="G702" s="110"/>
      <c r="H702" s="110"/>
      <c r="I702" s="371"/>
    </row>
    <row r="703" ht="15.4" customHeight="1">
      <c r="A703" s="341"/>
      <c r="B703" s="140"/>
      <c r="C703" s="140"/>
      <c r="D703" s="140"/>
      <c r="E703" s="140"/>
      <c r="F703" s="140"/>
      <c r="G703" s="110"/>
      <c r="H703" s="110"/>
      <c r="I703" s="371"/>
    </row>
    <row r="704" ht="15.4" customHeight="1">
      <c r="A704" s="341"/>
      <c r="B704" s="371"/>
      <c r="C704" s="371"/>
      <c r="D704" s="371"/>
      <c r="E704" s="371"/>
      <c r="F704" s="371"/>
      <c r="G704" s="371"/>
      <c r="H704" s="371"/>
      <c r="I704" s="371"/>
    </row>
    <row r="705" ht="15.4" customHeight="1">
      <c r="A705" s="341"/>
      <c r="B705" s="158" t="s">
        <v>589</v>
      </c>
      <c r="C705" s="158"/>
      <c r="D705" s="158"/>
      <c r="E705" s="371"/>
      <c r="F705" s="371"/>
      <c r="G705" s="371"/>
      <c r="H705" s="371"/>
      <c r="I705" s="371"/>
    </row>
    <row r="706" ht="15.4" customHeight="1">
      <c r="A706" s="341" t="s">
        <v>574</v>
      </c>
      <c r="B706" s="140" t="s">
        <v>590</v>
      </c>
      <c r="C706" s="140"/>
      <c r="D706" s="140"/>
      <c r="E706" s="140"/>
      <c r="F706" s="140"/>
      <c r="G706" s="141" t="s">
        <v>253</v>
      </c>
      <c r="H706" s="141" t="s">
        <v>254</v>
      </c>
      <c r="I706" s="371"/>
    </row>
    <row r="707" ht="15.4" customHeight="1">
      <c r="A707" s="341"/>
      <c r="B707" s="140"/>
      <c r="C707" s="140"/>
      <c r="D707" s="140"/>
      <c r="E707" s="140"/>
      <c r="F707" s="140"/>
      <c r="G707" s="142"/>
      <c r="H707" s="142"/>
      <c r="I707" s="371"/>
    </row>
    <row r="708" ht="15.4" customHeight="1">
      <c r="A708" s="341"/>
      <c r="B708" s="140" t="s">
        <v>591</v>
      </c>
      <c r="C708" s="140"/>
      <c r="D708" s="140"/>
      <c r="E708" s="140"/>
      <c r="F708" s="140"/>
      <c r="G708" s="371"/>
      <c r="H708" s="371"/>
      <c r="I708" s="371"/>
    </row>
    <row r="709" ht="15.4" customHeight="1">
      <c r="A709" s="341"/>
      <c r="B709" s="140"/>
      <c r="C709" s="140"/>
      <c r="D709" s="140"/>
      <c r="E709" s="140"/>
      <c r="F709" s="140"/>
      <c r="G709" s="142"/>
      <c r="H709" s="142"/>
      <c r="I709" s="371"/>
    </row>
    <row r="710" ht="15.4" customHeight="1">
      <c r="A710" s="341"/>
      <c r="B710" s="371"/>
      <c r="C710" s="371"/>
      <c r="D710" s="371"/>
      <c r="E710" s="371"/>
      <c r="F710" s="371"/>
      <c r="G710" s="371"/>
      <c r="H710" s="371"/>
      <c r="I710" s="371"/>
    </row>
    <row r="711" ht="15.4" customHeight="1">
      <c r="A711" s="341" t="s">
        <v>574</v>
      </c>
      <c r="B711" s="140" t="s">
        <v>592</v>
      </c>
      <c r="C711" s="140"/>
      <c r="D711" s="140"/>
      <c r="E711" s="140"/>
      <c r="F711" s="140"/>
      <c r="G711" s="371"/>
      <c r="H711" s="371"/>
      <c r="I711" s="371"/>
    </row>
    <row r="712" ht="15.4" customHeight="1">
      <c r="A712" s="341" t="s">
        <v>227</v>
      </c>
      <c r="B712" s="140"/>
      <c r="C712" s="140"/>
      <c r="D712" s="140"/>
      <c r="E712" s="140"/>
      <c r="F712" s="140"/>
      <c r="G712" s="141" t="s">
        <v>253</v>
      </c>
      <c r="H712" s="141" t="s">
        <v>254</v>
      </c>
      <c r="I712" s="371"/>
    </row>
    <row r="713" ht="15.4" customHeight="1">
      <c r="A713" s="341"/>
      <c r="B713" s="140"/>
      <c r="C713" s="140"/>
      <c r="D713" s="140"/>
      <c r="E713" s="140"/>
      <c r="F713" s="140"/>
      <c r="G713" s="142"/>
      <c r="H713" s="142"/>
      <c r="I713" s="371"/>
    </row>
    <row r="714" ht="15.4" customHeight="1">
      <c r="A714" s="341"/>
      <c r="B714" s="371"/>
      <c r="C714" s="371"/>
      <c r="D714" s="371"/>
      <c r="E714" s="371"/>
      <c r="F714" s="371"/>
      <c r="G714" s="371"/>
      <c r="H714" s="371"/>
      <c r="I714" s="371"/>
    </row>
    <row r="715" ht="15.4" customHeight="1">
      <c r="A715" s="341"/>
      <c r="B715" s="158" t="s">
        <v>593</v>
      </c>
      <c r="C715" s="158"/>
      <c r="D715" s="158"/>
      <c r="E715" s="371"/>
      <c r="F715" s="371"/>
      <c r="G715" s="371"/>
      <c r="H715" s="371"/>
      <c r="I715" s="371"/>
    </row>
    <row r="716" ht="15.4" customHeight="1">
      <c r="A716" s="341" t="s">
        <v>594</v>
      </c>
      <c r="B716" s="140" t="s">
        <v>595</v>
      </c>
      <c r="C716" s="140"/>
      <c r="D716" s="140"/>
      <c r="E716" s="140"/>
      <c r="F716" s="140"/>
      <c r="G716" s="141" t="s">
        <v>253</v>
      </c>
      <c r="H716" s="141" t="s">
        <v>254</v>
      </c>
      <c r="I716" s="371"/>
    </row>
    <row r="717" ht="15.4" customHeight="1">
      <c r="A717" s="341"/>
      <c r="B717" s="140"/>
      <c r="C717" s="140"/>
      <c r="D717" s="140"/>
      <c r="E717" s="140"/>
      <c r="F717" s="140"/>
      <c r="G717" s="142"/>
      <c r="H717" s="142"/>
      <c r="I717" s="371"/>
    </row>
    <row r="718" ht="15.4" customHeight="1">
      <c r="A718" s="341"/>
      <c r="B718" s="371"/>
      <c r="C718" s="371"/>
      <c r="D718" s="371"/>
      <c r="E718" s="371"/>
      <c r="F718" s="371"/>
      <c r="G718" s="371"/>
      <c r="H718" s="371"/>
      <c r="I718" s="371"/>
    </row>
    <row r="719" ht="15.4" customHeight="1">
      <c r="A719" s="341"/>
      <c r="B719" s="140" t="s">
        <v>596</v>
      </c>
      <c r="C719" s="140"/>
      <c r="D719" s="140"/>
      <c r="E719" s="140"/>
      <c r="F719" s="140"/>
      <c r="G719" s="141" t="s">
        <v>253</v>
      </c>
      <c r="H719" s="141" t="s">
        <v>254</v>
      </c>
      <c r="I719" s="371"/>
    </row>
    <row r="720" ht="15.4" customHeight="1">
      <c r="A720" s="341"/>
      <c r="B720" s="140"/>
      <c r="C720" s="140"/>
      <c r="D720" s="140"/>
      <c r="E720" s="140"/>
      <c r="F720" s="140"/>
      <c r="G720" s="142"/>
      <c r="H720" s="142"/>
      <c r="I720" s="371"/>
    </row>
    <row r="721" ht="15.4" customHeight="1">
      <c r="A721" s="341"/>
      <c r="B721" s="216" t="s">
        <v>597</v>
      </c>
      <c r="C721" s="216"/>
      <c r="D721" s="216"/>
      <c r="E721" s="216"/>
      <c r="F721" s="216"/>
      <c r="G721" s="216"/>
      <c r="H721" s="216"/>
      <c r="I721" s="371"/>
    </row>
    <row r="722" ht="20.25" customHeight="1">
      <c r="A722" s="341"/>
      <c r="B722" s="216"/>
      <c r="C722" s="216"/>
      <c r="D722" s="216"/>
      <c r="E722" s="216"/>
      <c r="F722" s="216"/>
      <c r="G722" s="216"/>
      <c r="H722" s="216"/>
      <c r="I722" s="371"/>
    </row>
    <row r="723" ht="15" customHeight="1">
      <c r="A723" s="341"/>
      <c r="B723" s="371"/>
      <c r="C723" s="371"/>
      <c r="D723" s="371"/>
      <c r="E723" s="371"/>
      <c r="F723" s="371"/>
      <c r="G723" s="371"/>
      <c r="H723" s="371"/>
      <c r="I723" s="371"/>
    </row>
    <row r="724" ht="15.4" customHeight="1">
      <c r="A724" s="341"/>
      <c r="B724" s="140" t="s">
        <v>598</v>
      </c>
      <c r="C724" s="140"/>
      <c r="D724" s="140"/>
      <c r="E724" s="140"/>
      <c r="F724" s="140"/>
      <c r="G724" s="353"/>
      <c r="H724" s="371"/>
      <c r="I724" s="371"/>
    </row>
    <row r="725" ht="15.4" customHeight="1">
      <c r="A725" s="341"/>
      <c r="B725" s="140"/>
      <c r="C725" s="140"/>
      <c r="D725" s="140"/>
      <c r="E725" s="140"/>
      <c r="F725" s="140"/>
      <c r="G725" s="196"/>
      <c r="H725" s="196"/>
      <c r="I725" s="371"/>
    </row>
    <row r="726" ht="15.4" customHeight="1">
      <c r="A726" s="341"/>
      <c r="B726" s="237" t="s">
        <v>599</v>
      </c>
      <c r="C726" s="237"/>
      <c r="D726" s="237"/>
      <c r="E726" s="237"/>
      <c r="F726" s="237"/>
      <c r="G726" s="237"/>
      <c r="H726" s="237"/>
      <c r="I726" s="371"/>
    </row>
    <row r="727" ht="15.4" customHeight="1">
      <c r="A727" s="341"/>
      <c r="B727" s="237"/>
      <c r="C727" s="237"/>
      <c r="D727" s="237"/>
      <c r="E727" s="237"/>
      <c r="F727" s="237"/>
      <c r="G727" s="237"/>
      <c r="H727" s="237"/>
      <c r="I727" s="371"/>
    </row>
    <row r="728" ht="15.4" customHeight="1">
      <c r="A728" s="341"/>
      <c r="B728" s="237"/>
      <c r="C728" s="237"/>
      <c r="D728" s="237"/>
      <c r="E728" s="237"/>
      <c r="F728" s="237"/>
      <c r="G728" s="237"/>
      <c r="H728" s="237"/>
      <c r="I728" s="371"/>
    </row>
    <row r="729" ht="15.4" customHeight="1">
      <c r="A729" s="341"/>
      <c r="B729" s="237"/>
      <c r="C729" s="237"/>
      <c r="D729" s="237"/>
      <c r="E729" s="237"/>
      <c r="F729" s="237"/>
      <c r="G729" s="237"/>
      <c r="H729" s="237"/>
      <c r="I729" s="371"/>
    </row>
    <row r="730" ht="11.25" customHeight="1">
      <c r="A730" s="341"/>
      <c r="B730" s="237"/>
      <c r="C730" s="237"/>
      <c r="D730" s="237"/>
      <c r="E730" s="237"/>
      <c r="F730" s="237"/>
      <c r="G730" s="237"/>
      <c r="H730" s="237"/>
      <c r="I730" s="371"/>
    </row>
    <row r="731" ht="15.4" customHeight="1">
      <c r="A731" s="138" t="s">
        <v>600</v>
      </c>
      <c r="B731" s="138"/>
      <c r="C731" s="138"/>
      <c r="D731" s="371"/>
      <c r="E731" s="371"/>
      <c r="F731" s="371"/>
      <c r="G731" s="371"/>
      <c r="H731" s="371"/>
      <c r="I731" s="371"/>
    </row>
    <row r="732" ht="15.4" customHeight="1">
      <c r="A732" s="341"/>
      <c r="B732" s="371"/>
      <c r="C732" s="371"/>
      <c r="D732" s="371"/>
      <c r="E732" s="371"/>
      <c r="F732" s="371"/>
      <c r="G732" s="371"/>
      <c r="H732" s="371"/>
      <c r="I732" s="371"/>
    </row>
    <row r="733" ht="15.4" customHeight="1">
      <c r="A733" s="341"/>
      <c r="B733" s="158" t="s">
        <v>601</v>
      </c>
      <c r="C733" s="158"/>
      <c r="D733" s="158"/>
      <c r="E733" s="371"/>
      <c r="F733" s="371"/>
      <c r="G733" s="371"/>
      <c r="H733" s="371"/>
      <c r="I733" s="371"/>
    </row>
    <row r="734" ht="15.4" customHeight="1">
      <c r="A734" s="341" t="s">
        <v>480</v>
      </c>
      <c r="B734" s="234"/>
      <c r="C734" s="353"/>
      <c r="D734" s="150" t="s">
        <v>602</v>
      </c>
      <c r="E734" s="371"/>
      <c r="F734" s="371"/>
      <c r="G734" s="371"/>
      <c r="H734" s="150" t="s">
        <v>603</v>
      </c>
      <c r="I734" s="371"/>
    </row>
    <row r="735" ht="15.4" customHeight="1">
      <c r="A735" s="341"/>
      <c r="B735" s="341"/>
      <c r="C735" s="238"/>
      <c r="D735" s="151" t="s">
        <v>604</v>
      </c>
      <c r="E735" s="371"/>
      <c r="F735" s="341"/>
      <c r="G735" s="341"/>
      <c r="H735" s="151" t="s">
        <v>94</v>
      </c>
      <c r="I735" s="371"/>
    </row>
    <row r="736" ht="15.4" customHeight="1">
      <c r="A736" s="239" t="s">
        <v>605</v>
      </c>
      <c r="B736" s="239"/>
      <c r="C736" s="239"/>
      <c r="D736" s="240"/>
      <c r="E736" s="241" t="s">
        <v>606</v>
      </c>
      <c r="F736" s="241"/>
      <c r="G736" s="241"/>
      <c r="H736" s="240"/>
      <c r="I736" s="371"/>
    </row>
    <row r="737" ht="15.4" customHeight="1">
      <c r="A737" s="239" t="s">
        <v>607</v>
      </c>
      <c r="B737" s="239"/>
      <c r="C737" s="239"/>
      <c r="D737" s="242"/>
      <c r="E737" s="241" t="s">
        <v>608</v>
      </c>
      <c r="F737" s="241"/>
      <c r="G737" s="241"/>
      <c r="H737" s="242"/>
      <c r="I737" s="371"/>
    </row>
    <row r="738" ht="15.4" customHeight="1">
      <c r="A738" s="239" t="s">
        <v>609</v>
      </c>
      <c r="B738" s="239"/>
      <c r="C738" s="239"/>
      <c r="D738" s="242"/>
      <c r="E738" s="241" t="s">
        <v>610</v>
      </c>
      <c r="F738" s="241"/>
      <c r="G738" s="241"/>
      <c r="H738" s="243"/>
      <c r="I738" s="371"/>
    </row>
    <row r="739" ht="15.4" customHeight="1">
      <c r="A739" s="239" t="s">
        <v>611</v>
      </c>
      <c r="B739" s="239"/>
      <c r="C739" s="239"/>
      <c r="D739" s="242"/>
      <c r="E739" s="241" t="s">
        <v>370</v>
      </c>
      <c r="F739" s="241"/>
      <c r="G739" s="241"/>
      <c r="H739" s="243"/>
      <c r="I739" s="371"/>
    </row>
    <row r="740" ht="15.4" customHeight="1">
      <c r="A740" s="239" t="s">
        <v>612</v>
      </c>
      <c r="B740" s="239"/>
      <c r="C740" s="239"/>
      <c r="D740" s="242"/>
      <c r="E740" s="241" t="s">
        <v>613</v>
      </c>
      <c r="F740" s="241"/>
      <c r="G740" s="241"/>
      <c r="H740" s="243"/>
      <c r="I740" s="371"/>
    </row>
    <row r="741" ht="15.4" customHeight="1">
      <c r="A741" s="186" t="s">
        <v>614</v>
      </c>
      <c r="B741" s="186"/>
      <c r="C741" s="186"/>
      <c r="D741" s="242"/>
      <c r="E741" s="241" t="s">
        <v>615</v>
      </c>
      <c r="F741" s="241"/>
      <c r="G741" s="241"/>
      <c r="H741" s="244"/>
      <c r="I741" s="371"/>
    </row>
    <row r="742" ht="15.4" customHeight="1">
      <c r="A742" s="341"/>
      <c r="B742" s="371"/>
      <c r="C742" s="371"/>
      <c r="D742" s="371"/>
      <c r="E742" s="241"/>
      <c r="F742" s="241"/>
      <c r="G742" s="241"/>
      <c r="H742" s="244"/>
      <c r="I742" s="371"/>
    </row>
    <row r="743" ht="15.4" customHeight="1">
      <c r="A743" s="341"/>
      <c r="B743" s="371"/>
      <c r="C743" s="371"/>
      <c r="D743" s="371"/>
      <c r="E743" s="241"/>
      <c r="F743" s="241"/>
      <c r="G743" s="241"/>
      <c r="H743" s="244"/>
      <c r="I743" s="371"/>
    </row>
    <row r="744" ht="15.4" customHeight="1">
      <c r="A744" s="341"/>
      <c r="B744" s="371"/>
      <c r="C744" s="371"/>
      <c r="D744" s="371"/>
      <c r="E744" s="371"/>
      <c r="F744" s="371"/>
      <c r="G744" s="371"/>
      <c r="H744" s="371"/>
      <c r="I744" s="371"/>
    </row>
    <row r="745" ht="15.4" customHeight="1">
      <c r="A745" s="341" t="s">
        <v>480</v>
      </c>
      <c r="B745" s="140" t="s">
        <v>616</v>
      </c>
      <c r="C745" s="140"/>
      <c r="D745" s="140"/>
      <c r="E745" s="140"/>
      <c r="F745" s="140"/>
      <c r="G745" s="196"/>
      <c r="H745" s="196"/>
      <c r="I745" s="371"/>
    </row>
    <row r="746" ht="9" customHeight="1">
      <c r="A746" s="341"/>
      <c r="B746" s="371"/>
      <c r="C746" s="371"/>
      <c r="D746" s="371"/>
      <c r="E746" s="371"/>
      <c r="F746" s="139"/>
      <c r="G746" s="371"/>
      <c r="H746" s="371"/>
      <c r="I746" s="371"/>
    </row>
    <row r="747" ht="15.4" customHeight="1">
      <c r="A747" s="341"/>
      <c r="B747" s="143" t="s">
        <v>617</v>
      </c>
      <c r="C747" s="143"/>
      <c r="D747" s="143"/>
      <c r="E747" s="143"/>
      <c r="F747" s="143"/>
      <c r="G747" s="371"/>
      <c r="H747" s="371"/>
      <c r="I747" s="371"/>
    </row>
    <row r="748" ht="15.4" customHeight="1">
      <c r="A748" s="341"/>
      <c r="B748" s="143"/>
      <c r="C748" s="143"/>
      <c r="D748" s="143"/>
      <c r="E748" s="143"/>
      <c r="F748" s="143"/>
      <c r="G748" s="196"/>
      <c r="H748" s="196"/>
      <c r="I748" s="371"/>
    </row>
    <row r="749" ht="15.4" customHeight="1">
      <c r="A749" s="341"/>
      <c r="B749" s="371"/>
      <c r="C749" s="371"/>
      <c r="D749" s="371"/>
      <c r="E749" s="371"/>
      <c r="F749" s="371"/>
      <c r="G749" s="371"/>
      <c r="H749" s="371"/>
      <c r="I749" s="371"/>
    </row>
    <row r="750" ht="15.4" customHeight="1">
      <c r="A750" s="341" t="s">
        <v>271</v>
      </c>
      <c r="B750" s="140" t="s">
        <v>618</v>
      </c>
      <c r="C750" s="140"/>
      <c r="D750" s="140"/>
      <c r="E750" s="140"/>
      <c r="F750" s="140"/>
      <c r="G750" s="141" t="s">
        <v>253</v>
      </c>
      <c r="H750" s="141" t="s">
        <v>254</v>
      </c>
      <c r="I750" s="371"/>
    </row>
    <row r="751" ht="15.4" customHeight="1">
      <c r="A751" s="341"/>
      <c r="B751" s="140"/>
      <c r="C751" s="140"/>
      <c r="D751" s="140"/>
      <c r="E751" s="140"/>
      <c r="F751" s="140"/>
      <c r="G751" s="142"/>
      <c r="H751" s="142"/>
      <c r="I751" s="371"/>
    </row>
    <row r="752" ht="15.4" customHeight="1">
      <c r="A752" s="341"/>
      <c r="B752" s="371"/>
      <c r="C752" s="371"/>
      <c r="D752" s="371"/>
      <c r="E752" s="371"/>
      <c r="F752" s="371"/>
      <c r="G752" s="371"/>
      <c r="H752" s="371"/>
      <c r="I752" s="371"/>
    </row>
    <row r="753" ht="15.4" customHeight="1">
      <c r="A753" s="341"/>
      <c r="B753" s="245" t="s">
        <v>619</v>
      </c>
      <c r="C753" s="245"/>
      <c r="D753" s="245"/>
      <c r="E753" s="245"/>
      <c r="F753" s="142"/>
      <c r="G753" s="371" t="s">
        <v>620</v>
      </c>
      <c r="H753" s="371"/>
      <c r="I753" s="371"/>
    </row>
    <row r="754" ht="15.4" customHeight="1">
      <c r="A754" s="341"/>
      <c r="B754" s="371"/>
      <c r="C754" s="371"/>
      <c r="D754" s="371"/>
      <c r="E754" s="371"/>
      <c r="F754" s="142"/>
      <c r="G754" s="371" t="s">
        <v>621</v>
      </c>
      <c r="H754" s="371"/>
      <c r="I754" s="371"/>
    </row>
    <row r="755" ht="15.4" customHeight="1">
      <c r="A755" s="341"/>
      <c r="B755" s="371"/>
      <c r="C755" s="371"/>
      <c r="D755" s="371"/>
      <c r="E755" s="371"/>
      <c r="F755" s="142"/>
      <c r="G755" s="371" t="s">
        <v>622</v>
      </c>
      <c r="H755" s="371"/>
      <c r="I755" s="371"/>
    </row>
    <row r="756" ht="15.4" customHeight="1">
      <c r="A756" s="341"/>
      <c r="B756" s="371"/>
      <c r="C756" s="371"/>
      <c r="D756" s="371"/>
      <c r="E756" s="371"/>
      <c r="F756" s="142"/>
      <c r="G756" s="371" t="s">
        <v>623</v>
      </c>
      <c r="H756" s="371"/>
      <c r="I756" s="371"/>
    </row>
    <row r="757" ht="15.4" customHeight="1">
      <c r="A757" s="341"/>
      <c r="B757" s="371"/>
      <c r="C757" s="371"/>
      <c r="D757" s="371"/>
      <c r="E757" s="371"/>
      <c r="F757" s="371"/>
      <c r="G757" s="371"/>
      <c r="H757" s="371"/>
      <c r="I757" s="371"/>
    </row>
    <row r="758" ht="15.4" customHeight="1">
      <c r="A758" s="341" t="s">
        <v>624</v>
      </c>
      <c r="B758" s="158" t="s">
        <v>625</v>
      </c>
      <c r="C758" s="158"/>
      <c r="D758" s="158"/>
      <c r="E758" s="371"/>
      <c r="F758" s="371"/>
      <c r="G758" s="371"/>
      <c r="H758" s="371"/>
      <c r="I758" s="371"/>
    </row>
    <row r="759" ht="15.4" customHeight="1">
      <c r="A759" s="137" t="s">
        <v>626</v>
      </c>
      <c r="B759" s="137"/>
      <c r="C759" s="137"/>
      <c r="D759" s="137"/>
      <c r="E759" s="137"/>
      <c r="G759" s="141" t="s">
        <v>253</v>
      </c>
      <c r="H759" s="141" t="s">
        <v>254</v>
      </c>
    </row>
    <row r="760" ht="15.4" customHeight="1">
      <c r="A760" s="341"/>
      <c r="B760" s="371" t="s">
        <v>627</v>
      </c>
      <c r="C760" s="246"/>
      <c r="D760" s="9"/>
      <c r="G760" s="142"/>
      <c r="H760" s="142"/>
    </row>
    <row r="761" ht="11.25" customHeight="1">
      <c r="A761" s="341"/>
      <c r="B761" s="247" t="s">
        <v>628</v>
      </c>
      <c r="C761" s="247"/>
      <c r="D761" s="247"/>
      <c r="E761" s="247"/>
      <c r="F761" s="247"/>
      <c r="G761" s="110"/>
      <c r="H761" s="110"/>
    </row>
    <row r="762" ht="15.4" customHeight="1">
      <c r="A762" s="341"/>
      <c r="B762" s="247"/>
      <c r="C762" s="247"/>
      <c r="D762" s="247"/>
      <c r="E762" s="247"/>
      <c r="F762" s="247"/>
      <c r="G762" s="110"/>
      <c r="H762" s="110"/>
    </row>
    <row r="763" ht="15.4" customHeight="1">
      <c r="A763" s="341"/>
      <c r="B763" s="371" t="s">
        <v>629</v>
      </c>
      <c r="C763" s="38"/>
      <c r="D763" s="38"/>
      <c r="G763" s="142"/>
      <c r="H763" s="142"/>
    </row>
    <row r="764" ht="15.4" customHeight="1">
      <c r="A764" s="341"/>
      <c r="B764" s="371" t="s">
        <v>630</v>
      </c>
      <c r="C764" s="246"/>
      <c r="D764" s="9"/>
      <c r="G764" s="142"/>
      <c r="H764" s="142"/>
    </row>
    <row r="765" ht="22.5" customHeight="1">
      <c r="A765" s="341"/>
      <c r="B765" s="247" t="s">
        <v>631</v>
      </c>
      <c r="C765" s="247"/>
      <c r="D765" s="247"/>
      <c r="E765" s="247"/>
      <c r="F765" s="247"/>
      <c r="G765" s="110"/>
      <c r="H765" s="110"/>
      <c r="L765" s="9"/>
      <c r="M765" s="9"/>
    </row>
    <row r="766" ht="15.4" customHeight="1">
      <c r="A766" s="341"/>
      <c r="B766" s="247"/>
      <c r="C766" s="247"/>
      <c r="D766" s="247"/>
      <c r="E766" s="247"/>
      <c r="F766" s="247"/>
      <c r="G766" s="110"/>
      <c r="H766" s="110"/>
    </row>
    <row r="767" ht="15.4" customHeight="1">
      <c r="A767" s="341"/>
      <c r="B767" s="371" t="s">
        <v>632</v>
      </c>
      <c r="C767" s="246"/>
      <c r="D767" s="9"/>
      <c r="G767" s="142"/>
      <c r="H767" s="142"/>
    </row>
    <row r="768" ht="15.4" customHeight="1">
      <c r="A768" s="341"/>
      <c r="B768" s="371" t="s">
        <v>633</v>
      </c>
      <c r="C768" s="246"/>
      <c r="D768" s="9"/>
      <c r="G768" s="142"/>
      <c r="H768" s="142"/>
    </row>
    <row r="769" ht="15.4" customHeight="1">
      <c r="F769" s="9"/>
    </row>
    <row r="770" ht="15.4" customHeight="1">
      <c r="A770" s="137" t="s">
        <v>634</v>
      </c>
      <c r="B770" s="137"/>
      <c r="C770" s="137"/>
      <c r="D770" s="137"/>
      <c r="E770" s="137"/>
      <c r="G770" s="141" t="s">
        <v>253</v>
      </c>
      <c r="H770" s="141" t="s">
        <v>254</v>
      </c>
    </row>
    <row r="771" ht="12.75" customHeight="1">
      <c r="A771" s="341"/>
      <c r="B771" s="248" t="s">
        <v>635</v>
      </c>
      <c r="C771" s="248"/>
      <c r="D771" s="248"/>
      <c r="E771" s="248"/>
      <c r="F771" s="248"/>
      <c r="G771" s="110"/>
      <c r="H771" s="110"/>
      <c r="I771" s="371"/>
    </row>
    <row r="772" ht="15.4" customHeight="1">
      <c r="A772" s="341"/>
      <c r="B772" s="248"/>
      <c r="C772" s="248"/>
      <c r="D772" s="248"/>
      <c r="E772" s="248"/>
      <c r="F772" s="248"/>
      <c r="G772" s="110"/>
      <c r="H772" s="110"/>
      <c r="I772" s="371"/>
    </row>
    <row r="773" ht="12.75" customHeight="1">
      <c r="A773" s="341"/>
      <c r="B773" s="248" t="s">
        <v>636</v>
      </c>
      <c r="C773" s="248"/>
      <c r="D773" s="248"/>
      <c r="E773" s="248"/>
      <c r="F773" s="248"/>
      <c r="G773" s="110"/>
      <c r="H773" s="110"/>
      <c r="I773" s="371"/>
    </row>
    <row r="774" ht="15.4" customHeight="1">
      <c r="A774" s="341"/>
      <c r="B774" s="248"/>
      <c r="C774" s="248"/>
      <c r="D774" s="248"/>
      <c r="E774" s="248"/>
      <c r="F774" s="248"/>
      <c r="G774" s="110"/>
      <c r="H774" s="110"/>
      <c r="I774" s="371"/>
    </row>
    <row r="775" ht="13.5" customHeight="1">
      <c r="A775" s="341"/>
      <c r="B775" s="371" t="s">
        <v>637</v>
      </c>
      <c r="G775" s="142"/>
      <c r="H775" s="142"/>
      <c r="I775" s="371"/>
    </row>
    <row r="776" ht="11.25" customHeight="1">
      <c r="A776" s="341"/>
      <c r="B776" s="248" t="s">
        <v>638</v>
      </c>
      <c r="C776" s="248"/>
      <c r="D776" s="248"/>
      <c r="E776" s="248"/>
      <c r="F776" s="248"/>
      <c r="G776" s="110"/>
      <c r="H776" s="110"/>
      <c r="I776" s="371"/>
    </row>
    <row r="777" ht="15.4" customHeight="1">
      <c r="A777" s="341"/>
      <c r="B777" s="248"/>
      <c r="C777" s="248"/>
      <c r="D777" s="248"/>
      <c r="E777" s="248"/>
      <c r="F777" s="248"/>
      <c r="G777" s="110"/>
      <c r="H777" s="110"/>
      <c r="I777" s="371"/>
      <c r="L777" s="38"/>
      <c r="M777" s="38"/>
    </row>
    <row r="778" ht="10.5" customHeight="1">
      <c r="A778" s="341"/>
      <c r="B778" s="247" t="s">
        <v>639</v>
      </c>
      <c r="C778" s="247"/>
      <c r="D778" s="247"/>
      <c r="E778" s="247"/>
      <c r="F778" s="247"/>
      <c r="G778" s="110"/>
      <c r="H778" s="110"/>
      <c r="I778" s="371"/>
      <c r="K778" s="38"/>
      <c r="L778" s="38"/>
      <c r="M778" s="38"/>
    </row>
    <row r="779" ht="15.4" customHeight="1">
      <c r="A779" s="341"/>
      <c r="B779" s="247"/>
      <c r="C779" s="247"/>
      <c r="D779" s="247"/>
      <c r="E779" s="247"/>
      <c r="F779" s="247"/>
      <c r="G779" s="110"/>
      <c r="H779" s="110"/>
      <c r="I779" s="371"/>
      <c r="K779" s="38"/>
      <c r="L779" s="38"/>
      <c r="M779" s="38"/>
    </row>
    <row r="780" ht="15.4" customHeight="1">
      <c r="B780" s="247" t="s">
        <v>640</v>
      </c>
      <c r="C780" s="247"/>
      <c r="D780" s="247"/>
      <c r="E780" s="247"/>
      <c r="F780" s="247"/>
      <c r="G780" s="249"/>
      <c r="H780" s="249"/>
      <c r="I780" s="371"/>
    </row>
    <row r="781" ht="15.4" customHeight="1">
      <c r="A781" s="211" t="s">
        <v>641</v>
      </c>
      <c r="B781" s="211"/>
      <c r="C781" s="211"/>
      <c r="D781" s="211"/>
      <c r="E781" s="211"/>
      <c r="F781" s="211"/>
      <c r="G781" s="211"/>
      <c r="H781" s="211"/>
      <c r="I781" s="211"/>
    </row>
    <row r="782" ht="15.4" customHeight="1">
      <c r="A782" s="341"/>
      <c r="B782" s="371"/>
      <c r="C782" s="371"/>
      <c r="D782" s="371"/>
      <c r="E782" s="371"/>
      <c r="F782" s="371"/>
      <c r="G782" s="371"/>
      <c r="H782" s="371"/>
      <c r="I782" s="371"/>
    </row>
    <row r="783" ht="15.4" customHeight="1">
      <c r="A783" s="138" t="s">
        <v>642</v>
      </c>
      <c r="B783" s="138"/>
      <c r="C783" s="138"/>
      <c r="D783" s="371"/>
      <c r="E783" s="371"/>
      <c r="F783" s="371"/>
      <c r="G783" s="371"/>
      <c r="H783" s="371"/>
      <c r="I783" s="371"/>
    </row>
    <row r="784" ht="15.4" customHeight="1">
      <c r="A784" s="341" t="s">
        <v>248</v>
      </c>
      <c r="B784" s="140" t="s">
        <v>643</v>
      </c>
      <c r="C784" s="140"/>
      <c r="D784" s="140"/>
      <c r="E784" s="140"/>
      <c r="F784" s="140"/>
      <c r="G784" s="237" t="s">
        <v>644</v>
      </c>
      <c r="H784" s="237"/>
      <c r="I784" s="237"/>
    </row>
    <row r="785" ht="19.5" customHeight="1">
      <c r="A785" s="341"/>
      <c r="B785" s="140"/>
      <c r="C785" s="140"/>
      <c r="D785" s="140"/>
      <c r="E785" s="140"/>
      <c r="F785" s="140"/>
      <c r="G785" s="237"/>
      <c r="H785" s="237"/>
      <c r="I785" s="237"/>
    </row>
    <row r="786" ht="15.4" customHeight="1">
      <c r="A786" s="250"/>
      <c r="B786" s="365" t="s">
        <v>645</v>
      </c>
      <c r="C786" s="365"/>
      <c r="D786" s="251" t="s">
        <v>646</v>
      </c>
      <c r="E786" s="251"/>
      <c r="F786" s="251"/>
      <c r="G786" s="251"/>
      <c r="H786" s="251"/>
      <c r="I786" s="251"/>
    </row>
    <row r="787" ht="15.4" customHeight="1">
      <c r="A787" s="250"/>
      <c r="B787" s="365" t="s">
        <v>647</v>
      </c>
      <c r="C787" s="365"/>
      <c r="D787" s="251" t="s">
        <v>648</v>
      </c>
      <c r="E787" s="251"/>
      <c r="F787" s="251"/>
      <c r="G787" s="251"/>
      <c r="H787" s="251"/>
      <c r="I787" s="251"/>
    </row>
    <row r="788" ht="15.4" customHeight="1">
      <c r="A788" s="250"/>
      <c r="B788" s="365" t="s">
        <v>649</v>
      </c>
      <c r="C788" s="365"/>
      <c r="D788" s="251" t="s">
        <v>650</v>
      </c>
      <c r="E788" s="251"/>
      <c r="F788" s="251"/>
      <c r="G788" s="251"/>
      <c r="H788" s="251"/>
      <c r="I788" s="251"/>
    </row>
    <row r="789" ht="15.4" customHeight="1">
      <c r="A789" s="250"/>
      <c r="B789" s="365" t="s">
        <v>651</v>
      </c>
      <c r="C789" s="365"/>
      <c r="D789" s="251" t="s">
        <v>652</v>
      </c>
      <c r="E789" s="251"/>
      <c r="F789" s="251"/>
      <c r="G789" s="251"/>
      <c r="H789" s="251"/>
      <c r="I789" s="251"/>
    </row>
    <row r="790" ht="15.4" customHeight="1">
      <c r="A790" s="341"/>
      <c r="B790" s="371"/>
      <c r="C790" s="371"/>
      <c r="D790" s="371"/>
      <c r="E790" s="371"/>
      <c r="F790" s="371"/>
      <c r="G790" s="371"/>
      <c r="H790" s="371"/>
      <c r="I790" s="371"/>
    </row>
    <row r="791" ht="15.4" customHeight="1">
      <c r="A791" s="341"/>
      <c r="B791" s="140" t="s">
        <v>653</v>
      </c>
      <c r="C791" s="140"/>
      <c r="D791" s="140"/>
      <c r="E791" s="140"/>
      <c r="F791" s="140"/>
      <c r="G791" s="237" t="s">
        <v>654</v>
      </c>
      <c r="H791" s="237"/>
      <c r="I791" s="237"/>
    </row>
    <row r="792" ht="18.75" customHeight="1">
      <c r="A792" s="341"/>
      <c r="B792" s="140"/>
      <c r="C792" s="140"/>
      <c r="D792" s="140"/>
      <c r="E792" s="140"/>
      <c r="F792" s="140"/>
      <c r="G792" s="237"/>
      <c r="H792" s="237"/>
      <c r="I792" s="237"/>
    </row>
    <row r="793" ht="15.4" customHeight="1">
      <c r="A793" s="250"/>
      <c r="B793" s="365" t="s">
        <v>645</v>
      </c>
      <c r="C793" s="365"/>
      <c r="D793" s="251" t="s">
        <v>655</v>
      </c>
      <c r="E793" s="251"/>
      <c r="F793" s="251"/>
      <c r="G793" s="251"/>
      <c r="H793" s="251"/>
      <c r="I793" s="251"/>
    </row>
    <row r="794" ht="15.4" customHeight="1">
      <c r="A794" s="250"/>
      <c r="B794" s="365" t="s">
        <v>647</v>
      </c>
      <c r="C794" s="365"/>
      <c r="D794" s="251" t="s">
        <v>656</v>
      </c>
      <c r="E794" s="251"/>
      <c r="F794" s="251"/>
      <c r="G794" s="251"/>
      <c r="H794" s="251"/>
      <c r="I794" s="251"/>
    </row>
    <row r="795" ht="15.4" customHeight="1">
      <c r="A795" s="250"/>
      <c r="B795" s="365" t="s">
        <v>649</v>
      </c>
      <c r="C795" s="365"/>
      <c r="D795" s="251" t="s">
        <v>657</v>
      </c>
      <c r="E795" s="251"/>
      <c r="F795" s="251"/>
      <c r="G795" s="251"/>
      <c r="H795" s="251"/>
      <c r="I795" s="251"/>
    </row>
    <row r="796" ht="15.4" customHeight="1">
      <c r="A796" s="250"/>
      <c r="B796" s="365" t="s">
        <v>651</v>
      </c>
      <c r="C796" s="365"/>
      <c r="D796" s="251" t="s">
        <v>658</v>
      </c>
      <c r="E796" s="251"/>
      <c r="F796" s="251"/>
      <c r="G796" s="251"/>
      <c r="H796" s="251"/>
      <c r="I796" s="251"/>
    </row>
    <row r="797" ht="15.4" customHeight="1">
      <c r="A797" s="341"/>
      <c r="B797" s="365"/>
      <c r="C797" s="365"/>
      <c r="D797" s="251"/>
      <c r="E797" s="251"/>
      <c r="F797" s="251"/>
      <c r="G797" s="251"/>
      <c r="H797" s="251"/>
      <c r="I797" s="251"/>
    </row>
    <row r="798" ht="15.4" customHeight="1">
      <c r="A798" s="341" t="s">
        <v>227</v>
      </c>
      <c r="B798" s="140" t="s">
        <v>659</v>
      </c>
      <c r="C798" s="140"/>
      <c r="D798" s="140"/>
      <c r="E798" s="140"/>
      <c r="F798" s="140"/>
      <c r="G798" s="141" t="s">
        <v>253</v>
      </c>
      <c r="H798" s="141" t="s">
        <v>254</v>
      </c>
      <c r="I798" s="371"/>
    </row>
    <row r="799" ht="15.4" customHeight="1">
      <c r="A799" s="341"/>
      <c r="B799" s="140"/>
      <c r="C799" s="140"/>
      <c r="D799" s="140"/>
      <c r="E799" s="140"/>
      <c r="F799" s="140"/>
      <c r="G799" s="142"/>
      <c r="H799" s="142"/>
      <c r="I799" s="371"/>
    </row>
    <row r="800" ht="15.4" customHeight="1">
      <c r="A800" s="341"/>
      <c r="B800" s="140"/>
      <c r="C800" s="140"/>
      <c r="D800" s="140"/>
      <c r="E800" s="140"/>
      <c r="F800" s="140"/>
      <c r="I800" s="371"/>
    </row>
    <row r="801" ht="15.4" customHeight="1">
      <c r="A801" s="160" t="s">
        <v>660</v>
      </c>
      <c r="B801" s="160"/>
      <c r="C801" s="160"/>
      <c r="D801" s="160"/>
      <c r="E801" s="160"/>
      <c r="F801" s="371"/>
      <c r="H801" s="371"/>
      <c r="I801" s="371"/>
    </row>
    <row r="802" ht="15.4" customHeight="1">
      <c r="A802" s="341" t="s">
        <v>483</v>
      </c>
      <c r="B802" s="140" t="s">
        <v>661</v>
      </c>
      <c r="C802" s="140"/>
      <c r="D802" s="140"/>
      <c r="E802" s="140"/>
      <c r="F802" s="140"/>
      <c r="G802" s="141" t="s">
        <v>253</v>
      </c>
      <c r="H802" s="141" t="s">
        <v>254</v>
      </c>
      <c r="I802" s="371"/>
    </row>
    <row r="803" ht="15.4" customHeight="1">
      <c r="A803" s="341"/>
      <c r="B803" s="140"/>
      <c r="C803" s="140"/>
      <c r="D803" s="140"/>
      <c r="E803" s="140"/>
      <c r="F803" s="140"/>
      <c r="G803" s="142"/>
      <c r="H803" s="142"/>
      <c r="I803" s="371"/>
    </row>
    <row r="804" ht="15.4" customHeight="1">
      <c r="A804" s="341"/>
      <c r="B804" s="140" t="s">
        <v>662</v>
      </c>
      <c r="C804" s="140"/>
      <c r="D804" s="140"/>
      <c r="E804" s="140"/>
      <c r="F804" s="140"/>
      <c r="G804" s="141" t="s">
        <v>253</v>
      </c>
      <c r="H804" s="141" t="s">
        <v>254</v>
      </c>
      <c r="I804" s="371"/>
    </row>
    <row r="805" ht="15.4" customHeight="1">
      <c r="A805" s="341"/>
      <c r="B805" s="140"/>
      <c r="C805" s="140"/>
      <c r="D805" s="140"/>
      <c r="E805" s="140"/>
      <c r="F805" s="140"/>
      <c r="G805" s="142"/>
      <c r="H805" s="142"/>
      <c r="I805" s="371"/>
    </row>
    <row r="806" ht="15.4" customHeight="1">
      <c r="A806" s="341"/>
      <c r="B806" s="140" t="s">
        <v>663</v>
      </c>
      <c r="C806" s="140"/>
      <c r="D806" s="140"/>
      <c r="E806" s="140"/>
      <c r="F806" s="140"/>
      <c r="G806" s="141" t="s">
        <v>253</v>
      </c>
      <c r="H806" s="141" t="s">
        <v>254</v>
      </c>
      <c r="I806" s="371"/>
    </row>
    <row r="807" ht="15.4" customHeight="1">
      <c r="A807" s="341"/>
      <c r="B807" s="139"/>
      <c r="C807" s="188" t="s">
        <v>664</v>
      </c>
      <c r="D807" s="188"/>
      <c r="E807" s="188"/>
      <c r="F807" s="188"/>
      <c r="G807" s="142"/>
      <c r="H807" s="142"/>
      <c r="I807" s="371"/>
    </row>
    <row r="808" ht="15.4" customHeight="1">
      <c r="A808" s="341" t="s">
        <v>227</v>
      </c>
      <c r="B808" s="371"/>
      <c r="C808" s="188" t="s">
        <v>665</v>
      </c>
      <c r="D808" s="188"/>
      <c r="E808" s="188"/>
      <c r="F808" s="188"/>
      <c r="G808" s="142"/>
      <c r="H808" s="142"/>
      <c r="I808" s="371"/>
    </row>
    <row r="809" ht="15.4" customHeight="1">
      <c r="A809" s="341"/>
      <c r="B809" s="371"/>
      <c r="C809" s="140"/>
      <c r="D809" s="140"/>
      <c r="E809" s="140"/>
      <c r="F809" s="140"/>
      <c r="G809" s="371"/>
      <c r="H809" s="371"/>
      <c r="I809" s="371"/>
    </row>
    <row r="810" ht="15.4" customHeight="1">
      <c r="A810" s="341" t="s">
        <v>666</v>
      </c>
      <c r="B810" s="140" t="s">
        <v>667</v>
      </c>
      <c r="C810" s="140"/>
      <c r="D810" s="140"/>
      <c r="E810" s="140"/>
      <c r="F810" s="140"/>
      <c r="G810" s="141" t="s">
        <v>253</v>
      </c>
      <c r="H810" s="141" t="s">
        <v>254</v>
      </c>
      <c r="I810" s="371"/>
    </row>
    <row r="811" ht="15.4" customHeight="1">
      <c r="A811" s="341"/>
      <c r="B811" s="140"/>
      <c r="C811" s="140"/>
      <c r="D811" s="140"/>
      <c r="E811" s="140"/>
      <c r="F811" s="140"/>
      <c r="G811" s="142"/>
      <c r="H811" s="142"/>
      <c r="I811" s="371"/>
    </row>
    <row r="812" ht="15.4" customHeight="1">
      <c r="A812" s="341"/>
      <c r="B812" s="251" t="s">
        <v>668</v>
      </c>
      <c r="C812" s="251"/>
      <c r="D812" s="251"/>
      <c r="E812" s="251"/>
      <c r="F812" s="251"/>
      <c r="G812" s="371"/>
      <c r="H812" s="371"/>
      <c r="I812" s="371"/>
    </row>
    <row r="813" ht="15.4" customHeight="1">
      <c r="A813" s="341"/>
      <c r="B813" s="251"/>
      <c r="C813" s="251"/>
      <c r="D813" s="251"/>
      <c r="E813" s="251"/>
      <c r="F813" s="251"/>
      <c r="G813" s="141" t="s">
        <v>253</v>
      </c>
      <c r="H813" s="141" t="s">
        <v>254</v>
      </c>
      <c r="I813" s="371"/>
    </row>
    <row r="814" ht="15.4" customHeight="1">
      <c r="A814" s="341" t="s">
        <v>669</v>
      </c>
      <c r="B814" s="353" t="s">
        <v>670</v>
      </c>
      <c r="C814" s="341"/>
      <c r="D814" s="341"/>
      <c r="E814" s="371"/>
      <c r="F814" s="365"/>
      <c r="G814" s="142"/>
      <c r="H814" s="142"/>
      <c r="I814" s="371"/>
    </row>
    <row r="815" ht="15.4" customHeight="1">
      <c r="A815" s="371"/>
      <c r="B815" s="252" t="s">
        <v>671</v>
      </c>
      <c r="C815" s="252"/>
      <c r="D815" s="252"/>
      <c r="E815" s="252"/>
      <c r="F815" s="252"/>
      <c r="G815" s="371"/>
      <c r="H815" s="371"/>
      <c r="I815" s="371"/>
    </row>
    <row r="816" ht="15.4" customHeight="1">
      <c r="A816" s="371"/>
      <c r="B816" s="371"/>
      <c r="C816" s="371"/>
      <c r="D816" s="371"/>
      <c r="E816" s="371"/>
      <c r="F816" s="371"/>
      <c r="G816" s="371"/>
      <c r="H816" s="371"/>
      <c r="I816" s="371"/>
    </row>
    <row r="817" ht="15.4" customHeight="1">
      <c r="A817" s="138" t="s">
        <v>672</v>
      </c>
      <c r="B817" s="138"/>
      <c r="C817" s="138"/>
      <c r="D817" s="371"/>
      <c r="E817" s="371"/>
      <c r="F817" s="371"/>
      <c r="G817" s="371"/>
      <c r="H817" s="371"/>
      <c r="I817" s="371"/>
    </row>
    <row r="818" ht="15.4" customHeight="1">
      <c r="A818" s="341" t="s">
        <v>673</v>
      </c>
      <c r="B818" s="253" t="s">
        <v>674</v>
      </c>
      <c r="C818" s="371"/>
      <c r="D818" s="371"/>
      <c r="E818" s="371"/>
      <c r="F818" s="371"/>
      <c r="G818" s="141" t="s">
        <v>253</v>
      </c>
      <c r="H818" s="141" t="s">
        <v>254</v>
      </c>
      <c r="I818" s="371"/>
    </row>
    <row r="819" ht="15.4" customHeight="1">
      <c r="A819" s="341"/>
      <c r="B819" s="140" t="s">
        <v>675</v>
      </c>
      <c r="C819" s="140"/>
      <c r="D819" s="140"/>
      <c r="E819" s="140"/>
      <c r="F819" s="140"/>
      <c r="G819" s="142"/>
      <c r="H819" s="142"/>
      <c r="I819" s="371"/>
    </row>
    <row r="820" ht="15.4" customHeight="1">
      <c r="A820" s="341"/>
      <c r="B820" s="188" t="s">
        <v>676</v>
      </c>
      <c r="C820" s="188"/>
      <c r="D820" s="188"/>
      <c r="E820" s="188"/>
      <c r="F820" s="188"/>
      <c r="G820" s="142"/>
      <c r="H820" s="142"/>
      <c r="I820" s="371"/>
    </row>
    <row r="821" ht="15.4" customHeight="1">
      <c r="A821" s="341"/>
      <c r="B821" s="140" t="s">
        <v>677</v>
      </c>
      <c r="C821" s="140"/>
      <c r="D821" s="140"/>
      <c r="E821" s="140"/>
      <c r="F821" s="140"/>
      <c r="G821" s="142"/>
      <c r="H821" s="142"/>
      <c r="I821" s="371"/>
    </row>
    <row r="822" ht="15.4" customHeight="1">
      <c r="A822" s="341"/>
      <c r="B822" s="140" t="s">
        <v>678</v>
      </c>
      <c r="C822" s="140"/>
      <c r="D822" s="140"/>
      <c r="E822" s="140"/>
      <c r="F822" s="140"/>
      <c r="G822" s="110"/>
      <c r="H822" s="110"/>
      <c r="I822" s="371"/>
    </row>
    <row r="823" ht="15.4" customHeight="1">
      <c r="A823" s="341"/>
      <c r="B823" s="140"/>
      <c r="C823" s="140"/>
      <c r="D823" s="140"/>
      <c r="E823" s="140"/>
      <c r="F823" s="140"/>
      <c r="G823" s="110"/>
      <c r="H823" s="110"/>
      <c r="I823" s="371"/>
    </row>
    <row r="824" ht="15.4" customHeight="1">
      <c r="A824" s="341"/>
      <c r="B824" s="140" t="s">
        <v>679</v>
      </c>
      <c r="C824" s="140"/>
      <c r="D824" s="140"/>
      <c r="E824" s="140"/>
      <c r="F824" s="140"/>
      <c r="G824" s="142"/>
      <c r="H824" s="142"/>
      <c r="I824" s="371"/>
    </row>
    <row r="825" ht="15.4" customHeight="1">
      <c r="A825" s="341"/>
      <c r="B825" s="371"/>
      <c r="C825" s="371"/>
      <c r="D825" s="371"/>
      <c r="E825" s="371"/>
      <c r="F825" s="371"/>
      <c r="G825" s="371"/>
      <c r="H825" s="371"/>
      <c r="I825" s="371"/>
    </row>
    <row r="826" ht="15.4" customHeight="1">
      <c r="A826" s="341" t="s">
        <v>680</v>
      </c>
      <c r="B826" s="140" t="s">
        <v>681</v>
      </c>
      <c r="C826" s="140"/>
      <c r="D826" s="140"/>
      <c r="E826" s="140"/>
      <c r="F826" s="140"/>
      <c r="G826" s="141" t="s">
        <v>253</v>
      </c>
      <c r="H826" s="141" t="s">
        <v>254</v>
      </c>
      <c r="I826" s="371"/>
    </row>
    <row r="827" ht="15.4" customHeight="1">
      <c r="A827" s="341"/>
      <c r="B827" s="140"/>
      <c r="C827" s="140"/>
      <c r="D827" s="140"/>
      <c r="E827" s="140"/>
      <c r="F827" s="140"/>
      <c r="G827" s="142"/>
      <c r="H827" s="142"/>
      <c r="I827" s="371"/>
    </row>
    <row r="828" ht="15.4" customHeight="1">
      <c r="A828" s="341"/>
      <c r="B828" s="251" t="s">
        <v>682</v>
      </c>
      <c r="C828" s="251"/>
      <c r="D828" s="251"/>
      <c r="E828" s="251"/>
      <c r="F828" s="251"/>
      <c r="G828" s="251"/>
      <c r="H828" s="251"/>
      <c r="I828" s="251"/>
    </row>
    <row r="829" ht="19.15" customHeight="1">
      <c r="A829" s="341" t="s">
        <v>680</v>
      </c>
      <c r="B829" s="140" t="s">
        <v>683</v>
      </c>
      <c r="C829" s="140"/>
      <c r="D829" s="140"/>
      <c r="E829" s="140"/>
      <c r="F829" s="139"/>
      <c r="G829" s="254" t="s">
        <v>684</v>
      </c>
      <c r="H829" s="254" t="s">
        <v>685</v>
      </c>
      <c r="I829" s="371"/>
    </row>
    <row r="830" ht="15.75" customHeight="1">
      <c r="A830" s="341"/>
      <c r="B830" s="140"/>
      <c r="C830" s="140"/>
      <c r="D830" s="140"/>
      <c r="E830" s="140"/>
      <c r="F830" s="141" t="s">
        <v>254</v>
      </c>
      <c r="G830" s="254"/>
      <c r="H830" s="254"/>
      <c r="I830" s="371"/>
    </row>
    <row r="831" ht="15.4" customHeight="1">
      <c r="A831" s="341"/>
      <c r="B831" s="140"/>
      <c r="C831" s="140"/>
      <c r="D831" s="140"/>
      <c r="E831" s="140"/>
      <c r="F831" s="142"/>
      <c r="G831" s="142"/>
      <c r="H831" s="142"/>
      <c r="I831" s="371"/>
    </row>
    <row r="832" ht="47.25" customHeight="1">
      <c r="A832" s="341"/>
      <c r="B832" s="255" t="s">
        <v>686</v>
      </c>
      <c r="C832" s="255"/>
      <c r="D832" s="255"/>
      <c r="E832" s="255"/>
      <c r="F832" s="255"/>
      <c r="G832" s="255"/>
      <c r="H832" s="255"/>
      <c r="I832" s="255"/>
    </row>
    <row r="833" ht="15.4" customHeight="1">
      <c r="A833" s="341"/>
      <c r="B833" s="255"/>
      <c r="C833" s="255"/>
      <c r="D833" s="255"/>
      <c r="E833" s="255"/>
      <c r="F833" s="255"/>
      <c r="G833" s="255"/>
      <c r="H833" s="255"/>
      <c r="I833" s="255"/>
    </row>
    <row r="834" ht="15.4" customHeight="1">
      <c r="A834" s="138" t="s">
        <v>687</v>
      </c>
      <c r="B834" s="138"/>
      <c r="C834" s="138"/>
      <c r="D834" s="371"/>
      <c r="E834" s="371"/>
      <c r="F834" s="371"/>
      <c r="G834" s="371"/>
      <c r="H834" s="371"/>
      <c r="I834" s="371"/>
    </row>
    <row r="835" ht="15.4" customHeight="1">
      <c r="A835" s="341"/>
      <c r="B835" s="371"/>
      <c r="C835" s="371"/>
      <c r="D835" s="371"/>
      <c r="E835" s="371"/>
      <c r="F835" s="371"/>
      <c r="G835" s="371"/>
      <c r="H835" s="371"/>
      <c r="I835" s="371"/>
    </row>
    <row r="836" ht="15.4" customHeight="1">
      <c r="A836" s="341" t="s">
        <v>688</v>
      </c>
      <c r="B836" s="357" t="s">
        <v>689</v>
      </c>
      <c r="C836" s="148"/>
      <c r="D836" s="148"/>
      <c r="E836" s="148"/>
      <c r="F836" s="148"/>
      <c r="G836" s="256" t="s">
        <v>253</v>
      </c>
      <c r="H836" s="256" t="s">
        <v>254</v>
      </c>
      <c r="I836" s="371"/>
    </row>
    <row r="837" ht="15.4" customHeight="1">
      <c r="A837" s="257" t="s">
        <v>690</v>
      </c>
      <c r="B837" s="257"/>
      <c r="C837" s="257"/>
      <c r="D837" s="257"/>
      <c r="E837" s="257"/>
      <c r="F837" s="257"/>
      <c r="G837" s="142"/>
      <c r="H837" s="142"/>
      <c r="I837" s="371"/>
    </row>
    <row r="838" ht="15.4" customHeight="1">
      <c r="A838" s="257" t="s">
        <v>691</v>
      </c>
      <c r="B838" s="257"/>
      <c r="C838" s="257"/>
      <c r="D838" s="257"/>
      <c r="E838" s="257"/>
      <c r="F838" s="257"/>
      <c r="G838" s="142"/>
      <c r="H838" s="142"/>
      <c r="I838" s="371"/>
    </row>
    <row r="839" ht="15.4" customHeight="1">
      <c r="A839" s="258" t="s">
        <v>692</v>
      </c>
      <c r="B839" s="258"/>
      <c r="C839" s="258"/>
      <c r="D839" s="258"/>
      <c r="E839" s="258"/>
      <c r="F839" s="258"/>
      <c r="G839" s="110"/>
      <c r="H839" s="110"/>
      <c r="I839" s="371"/>
    </row>
    <row r="840" ht="15.4" customHeight="1">
      <c r="A840" s="258"/>
      <c r="B840" s="258"/>
      <c r="C840" s="258"/>
      <c r="D840" s="258"/>
      <c r="E840" s="258"/>
      <c r="F840" s="258"/>
      <c r="G840" s="110"/>
      <c r="H840" s="110"/>
      <c r="I840" s="371"/>
    </row>
    <row r="841" ht="15.4" customHeight="1">
      <c r="A841" s="257" t="s">
        <v>693</v>
      </c>
      <c r="B841" s="257"/>
      <c r="C841" s="257"/>
      <c r="D841" s="257"/>
      <c r="E841" s="257"/>
      <c r="F841" s="257"/>
      <c r="G841" s="142"/>
      <c r="H841" s="142"/>
      <c r="I841" s="371"/>
    </row>
    <row r="842" ht="15.4" customHeight="1">
      <c r="A842" s="257" t="s">
        <v>694</v>
      </c>
      <c r="B842" s="257"/>
      <c r="C842" s="257"/>
      <c r="D842" s="257"/>
      <c r="E842" s="257"/>
      <c r="F842" s="257"/>
      <c r="G842" s="142"/>
      <c r="H842" s="142"/>
      <c r="I842" s="371"/>
    </row>
    <row r="843" ht="15" customHeight="1">
      <c r="A843" s="258" t="s">
        <v>695</v>
      </c>
      <c r="B843" s="258"/>
      <c r="C843" s="258"/>
      <c r="D843" s="258"/>
      <c r="E843" s="258"/>
      <c r="F843" s="258"/>
      <c r="G843" s="110"/>
      <c r="H843" s="110"/>
      <c r="I843" s="371"/>
    </row>
    <row r="844" ht="15" customHeight="1">
      <c r="A844" s="258"/>
      <c r="B844" s="258"/>
      <c r="C844" s="258"/>
      <c r="D844" s="258"/>
      <c r="E844" s="258"/>
      <c r="F844" s="258"/>
      <c r="G844" s="110"/>
      <c r="H844" s="110"/>
      <c r="I844" s="371"/>
    </row>
    <row r="845" ht="15" customHeight="1">
      <c r="A845" s="258"/>
      <c r="B845" s="258"/>
      <c r="C845" s="258"/>
      <c r="D845" s="258"/>
      <c r="E845" s="258"/>
      <c r="F845" s="258"/>
      <c r="G845" s="110"/>
      <c r="H845" s="110"/>
      <c r="I845" s="371"/>
    </row>
    <row r="846" ht="15" customHeight="1">
      <c r="A846" s="258"/>
      <c r="B846" s="258"/>
      <c r="C846" s="258"/>
      <c r="D846" s="258"/>
      <c r="E846" s="258"/>
      <c r="F846" s="258"/>
      <c r="G846" s="110"/>
      <c r="H846" s="110"/>
      <c r="I846" s="371"/>
    </row>
    <row r="847" ht="15.4" customHeight="1">
      <c r="A847" s="258" t="s">
        <v>696</v>
      </c>
      <c r="B847" s="258"/>
      <c r="C847" s="258"/>
      <c r="D847" s="258"/>
      <c r="E847" s="258"/>
      <c r="F847" s="258"/>
      <c r="G847" s="110"/>
      <c r="H847" s="110"/>
      <c r="I847" s="371"/>
    </row>
    <row r="848" ht="15.4" customHeight="1">
      <c r="A848" s="258"/>
      <c r="B848" s="258"/>
      <c r="C848" s="258"/>
      <c r="D848" s="258"/>
      <c r="E848" s="258"/>
      <c r="F848" s="258"/>
      <c r="G848" s="110"/>
      <c r="H848" s="110"/>
      <c r="I848" s="371"/>
    </row>
    <row r="849" ht="15.4" customHeight="1">
      <c r="A849" s="259" t="s">
        <v>697</v>
      </c>
      <c r="B849" s="260"/>
      <c r="C849" s="260"/>
      <c r="D849" s="260"/>
      <c r="E849" s="260"/>
      <c r="F849" s="260"/>
      <c r="G849" s="260"/>
      <c r="H849" s="260"/>
      <c r="I849" s="371"/>
    </row>
    <row r="850" ht="15.4" customHeight="1">
      <c r="B850" s="371"/>
      <c r="C850" s="371"/>
      <c r="D850" s="371"/>
      <c r="E850" s="371"/>
      <c r="F850" s="371"/>
      <c r="G850" s="371"/>
      <c r="H850" s="371"/>
      <c r="I850" s="371"/>
    </row>
    <row r="851" ht="15.4" customHeight="1">
      <c r="A851" s="138" t="s">
        <v>698</v>
      </c>
      <c r="B851" s="138"/>
      <c r="C851" s="138"/>
      <c r="D851" s="371"/>
      <c r="E851" s="371"/>
      <c r="F851" s="371"/>
      <c r="G851" s="120" t="s">
        <v>699</v>
      </c>
      <c r="H851" s="120" t="s">
        <v>700</v>
      </c>
      <c r="I851" s="371"/>
    </row>
    <row r="852" ht="15.4" customHeight="1">
      <c r="A852" s="341" t="s">
        <v>701</v>
      </c>
      <c r="B852" s="341"/>
      <c r="C852" s="341"/>
      <c r="D852" s="341"/>
      <c r="E852" s="371"/>
      <c r="F852" s="371"/>
      <c r="G852" s="173" t="s">
        <v>702</v>
      </c>
      <c r="H852" s="173" t="s">
        <v>703</v>
      </c>
      <c r="I852" s="371"/>
    </row>
    <row r="853" ht="15.4" customHeight="1">
      <c r="A853" s="120" t="s">
        <v>704</v>
      </c>
      <c r="B853" s="120"/>
      <c r="C853" s="120"/>
      <c r="D853" s="120"/>
      <c r="E853" s="120"/>
      <c r="F853" s="120"/>
      <c r="G853" s="173"/>
      <c r="H853" s="173"/>
      <c r="I853" s="371"/>
    </row>
    <row r="854" ht="15.4" customHeight="1">
      <c r="A854" s="261" t="s">
        <v>705</v>
      </c>
      <c r="B854" s="262" t="s">
        <v>706</v>
      </c>
      <c r="C854" s="262"/>
      <c r="D854" s="262"/>
      <c r="E854" s="262"/>
      <c r="F854" s="262"/>
      <c r="G854" s="142"/>
      <c r="H854" s="142"/>
      <c r="I854" s="371"/>
    </row>
    <row r="855" ht="15.4" customHeight="1">
      <c r="A855" s="261"/>
      <c r="B855" s="263" t="s">
        <v>707</v>
      </c>
      <c r="C855" s="263"/>
      <c r="D855" s="263"/>
      <c r="E855" s="263"/>
      <c r="F855" s="263"/>
      <c r="G855" s="110"/>
      <c r="H855" s="110"/>
      <c r="I855" s="371"/>
    </row>
    <row r="856" ht="15.4" customHeight="1">
      <c r="A856" s="261"/>
      <c r="B856" s="263"/>
      <c r="C856" s="263"/>
      <c r="D856" s="263"/>
      <c r="E856" s="263"/>
      <c r="F856" s="263"/>
      <c r="G856" s="110"/>
      <c r="H856" s="110"/>
      <c r="I856" s="371"/>
    </row>
    <row r="857" ht="15.4" customHeight="1">
      <c r="A857" s="261"/>
      <c r="B857" s="263"/>
      <c r="C857" s="263"/>
      <c r="D857" s="263"/>
      <c r="E857" s="263"/>
      <c r="F857" s="263"/>
      <c r="G857" s="110"/>
      <c r="H857" s="110"/>
      <c r="I857" s="371"/>
    </row>
    <row r="858" ht="15.4" customHeight="1">
      <c r="A858" s="261"/>
      <c r="B858" s="263" t="s">
        <v>708</v>
      </c>
      <c r="C858" s="263"/>
      <c r="D858" s="263"/>
      <c r="E858" s="263"/>
      <c r="F858" s="263"/>
      <c r="G858" s="110"/>
      <c r="H858" s="110"/>
      <c r="I858" s="371"/>
    </row>
    <row r="859" ht="15.4" customHeight="1">
      <c r="A859" s="261"/>
      <c r="B859" s="263"/>
      <c r="C859" s="263"/>
      <c r="D859" s="263"/>
      <c r="E859" s="263"/>
      <c r="F859" s="263"/>
      <c r="G859" s="110"/>
      <c r="H859" s="110"/>
      <c r="I859" s="371"/>
    </row>
    <row r="860" ht="15.4" customHeight="1">
      <c r="A860" s="373" t="s">
        <v>709</v>
      </c>
      <c r="B860" s="262" t="s">
        <v>710</v>
      </c>
      <c r="C860" s="262"/>
      <c r="D860" s="262"/>
      <c r="E860" s="262"/>
      <c r="F860" s="262"/>
      <c r="G860" s="110"/>
      <c r="H860" s="110"/>
      <c r="I860" s="371"/>
    </row>
    <row r="861" ht="15" customHeight="1">
      <c r="A861" s="373"/>
      <c r="B861" s="262"/>
      <c r="C861" s="262"/>
      <c r="D861" s="262"/>
      <c r="E861" s="262"/>
      <c r="F861" s="262"/>
      <c r="G861" s="110"/>
      <c r="H861" s="110"/>
      <c r="I861" s="371"/>
    </row>
    <row r="862" ht="15" customHeight="1">
      <c r="I862" s="371"/>
    </row>
    <row r="863" ht="15.4" customHeight="1">
      <c r="A863" s="341" t="s">
        <v>701</v>
      </c>
      <c r="B863" s="145" t="s">
        <v>711</v>
      </c>
      <c r="C863" s="145"/>
      <c r="D863" s="145"/>
      <c r="E863" s="145"/>
      <c r="F863" s="145"/>
      <c r="G863" s="141" t="s">
        <v>253</v>
      </c>
      <c r="H863" s="141" t="s">
        <v>254</v>
      </c>
      <c r="I863" s="371"/>
    </row>
    <row r="864" ht="15.4" customHeight="1">
      <c r="A864" s="341"/>
      <c r="B864" s="264" t="s">
        <v>712</v>
      </c>
      <c r="C864" s="341"/>
      <c r="D864" s="371"/>
      <c r="E864" s="371"/>
      <c r="F864" s="371"/>
      <c r="G864" s="142"/>
      <c r="H864" s="142"/>
      <c r="I864" s="371"/>
    </row>
    <row r="865" ht="15.4" customHeight="1">
      <c r="I865" s="371"/>
    </row>
    <row r="866" ht="15.4" customHeight="1">
      <c r="A866" s="341" t="s">
        <v>227</v>
      </c>
      <c r="B866" s="140" t="s">
        <v>713</v>
      </c>
      <c r="C866" s="140"/>
      <c r="D866" s="140"/>
      <c r="E866" s="140"/>
      <c r="F866" s="140"/>
      <c r="G866" s="141" t="s">
        <v>253</v>
      </c>
      <c r="H866" s="141" t="s">
        <v>254</v>
      </c>
      <c r="I866" s="371"/>
    </row>
    <row r="867" ht="15.4" customHeight="1">
      <c r="B867" s="140"/>
      <c r="C867" s="140"/>
      <c r="D867" s="140"/>
      <c r="E867" s="140"/>
      <c r="F867" s="140"/>
      <c r="G867" s="142"/>
      <c r="H867" s="142"/>
      <c r="I867" s="371"/>
    </row>
    <row r="868" ht="15.4" customHeight="1">
      <c r="A868" s="341"/>
      <c r="B868" s="145" t="s">
        <v>714</v>
      </c>
      <c r="G868" s="142"/>
      <c r="H868" s="142"/>
      <c r="I868" s="371"/>
    </row>
    <row r="869" ht="15.4" customHeight="1">
      <c r="A869" s="341"/>
      <c r="B869" s="212" t="s">
        <v>521</v>
      </c>
      <c r="C869" s="196"/>
      <c r="D869" s="196"/>
      <c r="E869" s="196"/>
      <c r="F869" s="196"/>
      <c r="G869" s="196"/>
      <c r="H869" s="196"/>
      <c r="I869" s="371"/>
    </row>
    <row r="870" ht="15.4" customHeight="1">
      <c r="A870" s="341"/>
      <c r="B870" s="145"/>
      <c r="I870" s="371"/>
    </row>
    <row r="871" ht="15.4" customHeight="1">
      <c r="A871" s="341"/>
      <c r="B871" s="371"/>
      <c r="C871" s="371"/>
      <c r="D871" s="371"/>
      <c r="E871" s="371"/>
      <c r="F871" s="371"/>
      <c r="G871" s="371"/>
      <c r="H871" s="371"/>
      <c r="I871" s="371"/>
    </row>
    <row r="872" ht="15.4" customHeight="1">
      <c r="A872" s="138" t="s">
        <v>715</v>
      </c>
      <c r="B872" s="138"/>
      <c r="C872" s="138"/>
      <c r="D872" s="371"/>
      <c r="E872" s="371"/>
      <c r="F872" s="371"/>
      <c r="G872" s="371"/>
      <c r="H872" s="371"/>
      <c r="I872" s="371"/>
    </row>
    <row r="873" ht="15.4" customHeight="1">
      <c r="A873" s="341" t="s">
        <v>716</v>
      </c>
      <c r="B873" s="357" t="s">
        <v>717</v>
      </c>
      <c r="C873" s="353"/>
      <c r="D873" s="353"/>
      <c r="E873" s="371"/>
      <c r="F873" s="371"/>
      <c r="G873" s="141" t="s">
        <v>253</v>
      </c>
      <c r="H873" s="141" t="s">
        <v>254</v>
      </c>
      <c r="I873" s="371"/>
    </row>
    <row r="874" ht="15.4" customHeight="1">
      <c r="A874" s="341"/>
      <c r="B874" s="145" t="s">
        <v>718</v>
      </c>
      <c r="C874" s="145"/>
      <c r="D874" s="145"/>
      <c r="E874" s="145"/>
      <c r="F874" s="145"/>
      <c r="G874" s="142"/>
      <c r="H874" s="142"/>
      <c r="I874" s="371"/>
    </row>
    <row r="875" ht="15.4" customHeight="1">
      <c r="A875" s="341"/>
      <c r="B875" s="145" t="s">
        <v>719</v>
      </c>
      <c r="C875" s="145"/>
      <c r="D875" s="145"/>
      <c r="E875" s="145"/>
      <c r="F875" s="145"/>
      <c r="G875" s="142"/>
      <c r="H875" s="142"/>
      <c r="I875" s="371"/>
    </row>
    <row r="876" ht="15.4" customHeight="1">
      <c r="A876" s="341" t="s">
        <v>716</v>
      </c>
      <c r="B876" s="145" t="s">
        <v>720</v>
      </c>
      <c r="C876" s="145"/>
      <c r="D876" s="145"/>
      <c r="E876" s="145"/>
      <c r="F876" s="145"/>
      <c r="G876" s="142"/>
      <c r="H876" s="142"/>
      <c r="I876" s="371"/>
    </row>
    <row r="877" ht="15.4" customHeight="1">
      <c r="A877" s="341"/>
      <c r="B877" s="212" t="s">
        <v>521</v>
      </c>
      <c r="C877" s="196"/>
      <c r="D877" s="196"/>
      <c r="E877" s="196"/>
      <c r="F877" s="196"/>
      <c r="G877" s="196"/>
      <c r="H877" s="196"/>
      <c r="I877" s="371"/>
    </row>
    <row r="878" ht="15.4" customHeight="1">
      <c r="A878" s="341"/>
      <c r="B878" s="212"/>
      <c r="C878" s="341"/>
      <c r="D878" s="341"/>
      <c r="E878" s="341"/>
      <c r="F878" s="341"/>
      <c r="G878" s="341"/>
      <c r="H878" s="341"/>
      <c r="I878" s="371"/>
    </row>
    <row r="879" ht="15.4" customHeight="1">
      <c r="A879" s="341" t="s">
        <v>721</v>
      </c>
      <c r="B879" s="357" t="s">
        <v>722</v>
      </c>
      <c r="C879" s="371"/>
      <c r="D879" s="371"/>
      <c r="E879" s="371"/>
      <c r="F879" s="371"/>
      <c r="G879" s="141" t="s">
        <v>253</v>
      </c>
      <c r="H879" s="141" t="s">
        <v>254</v>
      </c>
      <c r="I879" s="371"/>
    </row>
    <row r="880" ht="15" customHeight="1">
      <c r="A880" s="341"/>
      <c r="B880" s="188" t="s">
        <v>723</v>
      </c>
      <c r="C880" s="188"/>
      <c r="D880" s="188"/>
      <c r="E880" s="188"/>
      <c r="F880" s="188"/>
      <c r="G880" s="142"/>
      <c r="H880" s="142"/>
      <c r="I880" s="371"/>
    </row>
    <row r="881" ht="15" customHeight="1">
      <c r="A881" s="341"/>
      <c r="B881" s="265" t="s">
        <v>724</v>
      </c>
      <c r="C881" s="265"/>
      <c r="D881" s="265"/>
      <c r="E881" s="265"/>
      <c r="F881" s="265"/>
      <c r="G881" s="265"/>
      <c r="H881" s="265"/>
      <c r="I881" s="371"/>
    </row>
    <row r="882" ht="15.4" customHeight="1">
      <c r="A882" s="341"/>
      <c r="B882" s="140" t="s">
        <v>725</v>
      </c>
      <c r="C882" s="140"/>
      <c r="D882" s="140"/>
      <c r="E882" s="140"/>
      <c r="F882" s="140"/>
      <c r="G882" s="142"/>
      <c r="H882" s="142"/>
      <c r="I882" s="371"/>
    </row>
    <row r="883" ht="15.4" customHeight="1">
      <c r="A883" s="341"/>
      <c r="B883" s="265" t="s">
        <v>726</v>
      </c>
      <c r="C883" s="265"/>
      <c r="D883" s="265"/>
      <c r="E883" s="265"/>
      <c r="F883" s="265"/>
      <c r="G883" s="371"/>
      <c r="H883" s="371"/>
      <c r="I883" s="371"/>
    </row>
    <row r="884" ht="15.4" customHeight="1">
      <c r="A884" s="341"/>
      <c r="B884" s="145" t="s">
        <v>727</v>
      </c>
      <c r="C884" s="145"/>
      <c r="D884" s="145"/>
      <c r="E884" s="145"/>
      <c r="F884" s="145"/>
      <c r="G884" s="142"/>
      <c r="H884" s="142"/>
      <c r="I884" s="371"/>
    </row>
    <row r="885" ht="15.4" customHeight="1">
      <c r="A885" s="371"/>
      <c r="B885" s="371"/>
      <c r="C885" s="371"/>
      <c r="D885" s="371"/>
      <c r="E885" s="371"/>
      <c r="F885" s="371"/>
      <c r="G885" s="371"/>
      <c r="H885" s="371"/>
      <c r="I885" s="371"/>
    </row>
    <row r="886" ht="15.4" customHeight="1">
      <c r="A886" s="138" t="s">
        <v>728</v>
      </c>
      <c r="B886" s="138"/>
      <c r="C886" s="138"/>
      <c r="D886" s="371"/>
      <c r="E886" s="371"/>
      <c r="F886" s="371"/>
      <c r="G886" s="371"/>
      <c r="H886" s="371"/>
      <c r="I886" s="371"/>
    </row>
    <row r="887" ht="15.4" customHeight="1">
      <c r="A887" s="341" t="s">
        <v>257</v>
      </c>
      <c r="B887" s="266" t="s">
        <v>729</v>
      </c>
      <c r="C887" s="357"/>
      <c r="D887" s="357"/>
      <c r="E887" s="357"/>
      <c r="F887" s="357"/>
      <c r="G887" s="141" t="s">
        <v>253</v>
      </c>
      <c r="H887" s="141" t="s">
        <v>254</v>
      </c>
      <c r="I887" s="371"/>
    </row>
    <row r="888" ht="15.4" customHeight="1">
      <c r="A888" s="341"/>
      <c r="B888" s="145" t="s">
        <v>730</v>
      </c>
      <c r="C888" s="145"/>
      <c r="D888" s="145"/>
      <c r="E888" s="145"/>
      <c r="F888" s="145"/>
      <c r="G888" s="142"/>
      <c r="H888" s="142"/>
      <c r="I888" s="371"/>
    </row>
    <row r="889" ht="15.4" customHeight="1">
      <c r="A889" s="341"/>
      <c r="B889" s="145" t="s">
        <v>731</v>
      </c>
      <c r="C889" s="145"/>
      <c r="D889" s="145"/>
      <c r="E889" s="145"/>
      <c r="F889" s="145"/>
      <c r="G889" s="142"/>
      <c r="H889" s="142"/>
      <c r="I889" s="371"/>
    </row>
    <row r="890" ht="15.4" customHeight="1">
      <c r="A890" s="341"/>
      <c r="B890" s="341"/>
      <c r="C890" s="341"/>
      <c r="D890" s="341"/>
      <c r="E890" s="341"/>
      <c r="F890" s="341"/>
      <c r="G890" s="341"/>
      <c r="H890" s="341"/>
      <c r="I890" s="371"/>
    </row>
    <row r="891" ht="15.4" customHeight="1">
      <c r="A891" s="341" t="s">
        <v>257</v>
      </c>
      <c r="B891" s="357" t="s">
        <v>732</v>
      </c>
      <c r="C891" s="341"/>
      <c r="D891" s="341"/>
      <c r="E891" s="341"/>
      <c r="F891" s="371"/>
      <c r="G891" s="141" t="s">
        <v>253</v>
      </c>
      <c r="H891" s="141" t="s">
        <v>254</v>
      </c>
      <c r="I891" s="371"/>
    </row>
    <row r="892" ht="15.4" customHeight="1">
      <c r="A892" s="341"/>
      <c r="B892" s="267" t="s">
        <v>733</v>
      </c>
      <c r="C892" s="267"/>
      <c r="D892" s="267"/>
      <c r="E892" s="267"/>
      <c r="F892" s="267"/>
      <c r="G892" s="250"/>
      <c r="H892" s="250"/>
      <c r="I892" s="371"/>
    </row>
    <row r="893" ht="15.4" customHeight="1">
      <c r="A893" s="341"/>
      <c r="B893" s="267" t="s">
        <v>734</v>
      </c>
      <c r="C893" s="267"/>
      <c r="D893" s="267"/>
      <c r="E893" s="267"/>
      <c r="F893" s="267"/>
      <c r="G893" s="250"/>
      <c r="H893" s="250"/>
      <c r="I893" s="371"/>
    </row>
    <row r="894" ht="15.4" customHeight="1">
      <c r="A894" s="341"/>
      <c r="B894" s="268" t="s">
        <v>735</v>
      </c>
      <c r="C894" s="268"/>
      <c r="D894" s="268"/>
      <c r="E894" s="268"/>
      <c r="F894" s="268"/>
      <c r="G894" s="268"/>
      <c r="H894" s="268"/>
      <c r="I894" s="371"/>
    </row>
    <row r="895" ht="15.4" customHeight="1">
      <c r="A895" s="341"/>
      <c r="B895" s="267" t="s">
        <v>736</v>
      </c>
      <c r="C895" s="267"/>
      <c r="D895" s="267"/>
      <c r="E895" s="267"/>
      <c r="F895" s="267"/>
      <c r="G895" s="250"/>
      <c r="H895" s="250"/>
      <c r="I895" s="371"/>
    </row>
    <row r="896" ht="15.4" customHeight="1">
      <c r="A896" s="341"/>
      <c r="B896" s="269" t="s">
        <v>737</v>
      </c>
      <c r="C896" s="269"/>
      <c r="D896" s="269"/>
      <c r="E896" s="269"/>
      <c r="F896" s="269"/>
      <c r="G896" s="250"/>
      <c r="H896" s="250"/>
      <c r="I896" s="371"/>
    </row>
    <row r="897" ht="15.4" customHeight="1">
      <c r="A897" s="341"/>
      <c r="B897" s="371"/>
      <c r="C897" s="371"/>
      <c r="D897" s="371"/>
      <c r="E897" s="371"/>
      <c r="F897" s="371"/>
      <c r="G897" s="371"/>
      <c r="H897" s="371"/>
      <c r="I897" s="371"/>
    </row>
    <row r="898" ht="15.4" customHeight="1">
      <c r="A898" s="341" t="s">
        <v>257</v>
      </c>
      <c r="B898" s="140" t="s">
        <v>738</v>
      </c>
      <c r="C898" s="140"/>
      <c r="D898" s="140"/>
      <c r="E898" s="140"/>
      <c r="F898" s="140"/>
      <c r="G898" s="141" t="s">
        <v>253</v>
      </c>
      <c r="H898" s="141" t="s">
        <v>254</v>
      </c>
      <c r="I898" s="371"/>
    </row>
    <row r="899" ht="15.4" customHeight="1">
      <c r="A899" s="341"/>
      <c r="B899" s="140"/>
      <c r="C899" s="140"/>
      <c r="D899" s="140"/>
      <c r="E899" s="140"/>
      <c r="F899" s="140"/>
      <c r="G899" s="142"/>
      <c r="H899" s="142"/>
      <c r="I899" s="371"/>
    </row>
    <row r="900" ht="15.4" customHeight="1">
      <c r="A900" s="341"/>
      <c r="B900" s="180" t="s">
        <v>739</v>
      </c>
      <c r="C900" s="196"/>
      <c r="D900" s="196"/>
      <c r="E900" s="196"/>
      <c r="F900" s="196"/>
      <c r="G900" s="196"/>
      <c r="H900" s="196"/>
      <c r="I900" s="371"/>
    </row>
    <row r="901" ht="15.4" customHeight="1">
      <c r="A901" s="341"/>
      <c r="B901" s="371"/>
      <c r="C901" s="371"/>
      <c r="D901" s="371"/>
      <c r="E901" s="371"/>
      <c r="F901" s="371"/>
      <c r="G901" s="371"/>
      <c r="H901" s="371"/>
      <c r="I901" s="371"/>
    </row>
    <row r="902" ht="15.4" customHeight="1">
      <c r="A902" s="341" t="s">
        <v>740</v>
      </c>
      <c r="B902" s="357" t="s">
        <v>741</v>
      </c>
      <c r="C902" s="371"/>
      <c r="D902" s="371"/>
      <c r="E902" s="371"/>
      <c r="F902" s="371"/>
      <c r="G902" s="371"/>
      <c r="H902" s="371"/>
      <c r="I902" s="371"/>
    </row>
    <row r="903" ht="15.4" customHeight="1">
      <c r="A903" s="341"/>
      <c r="B903" s="140" t="s">
        <v>742</v>
      </c>
      <c r="C903" s="140"/>
      <c r="D903" s="140"/>
      <c r="E903" s="140"/>
      <c r="F903" s="140"/>
      <c r="G903" s="141" t="s">
        <v>253</v>
      </c>
      <c r="H903" s="141" t="s">
        <v>254</v>
      </c>
      <c r="I903" s="371"/>
    </row>
    <row r="904" ht="15.4" customHeight="1">
      <c r="A904" s="341"/>
      <c r="B904" s="140"/>
      <c r="C904" s="140"/>
      <c r="D904" s="140"/>
      <c r="E904" s="140"/>
      <c r="F904" s="140"/>
      <c r="G904" s="142"/>
      <c r="H904" s="142"/>
      <c r="I904" s="371"/>
    </row>
    <row r="905" ht="34.9" customHeight="1">
      <c r="A905" s="341"/>
      <c r="B905" s="237" t="s">
        <v>743</v>
      </c>
      <c r="C905" s="237"/>
      <c r="D905" s="237"/>
      <c r="E905" s="237"/>
      <c r="F905" s="237"/>
      <c r="G905" s="237"/>
      <c r="H905" s="237"/>
      <c r="I905" s="237"/>
    </row>
    <row r="906" ht="15.4" customHeight="1">
      <c r="A906" s="341"/>
      <c r="B906" s="140" t="s">
        <v>744</v>
      </c>
      <c r="C906" s="140"/>
      <c r="D906" s="140"/>
      <c r="E906" s="140"/>
      <c r="F906" s="140"/>
      <c r="G906" s="141" t="s">
        <v>253</v>
      </c>
      <c r="H906" s="141" t="s">
        <v>254</v>
      </c>
      <c r="I906" s="371"/>
    </row>
    <row r="907" ht="15.4" customHeight="1">
      <c r="A907" s="341"/>
      <c r="B907" s="140"/>
      <c r="C907" s="140"/>
      <c r="D907" s="140"/>
      <c r="E907" s="140"/>
      <c r="F907" s="140"/>
      <c r="G907" s="142"/>
      <c r="H907" s="142"/>
      <c r="I907" s="371"/>
    </row>
    <row r="908" ht="23.45" customHeight="1">
      <c r="A908" s="341"/>
      <c r="B908" s="237" t="s">
        <v>745</v>
      </c>
      <c r="C908" s="237"/>
      <c r="D908" s="237"/>
      <c r="E908" s="237"/>
      <c r="F908" s="237"/>
      <c r="G908" s="237"/>
      <c r="H908" s="237"/>
      <c r="I908" s="237"/>
    </row>
    <row r="909" ht="15.4" customHeight="1">
      <c r="A909" s="341"/>
      <c r="B909" s="140" t="s">
        <v>746</v>
      </c>
      <c r="C909" s="140"/>
      <c r="D909" s="140"/>
      <c r="E909" s="140"/>
      <c r="F909" s="140"/>
      <c r="I909" s="371"/>
    </row>
    <row r="910" ht="15.4" customHeight="1">
      <c r="A910" s="341"/>
      <c r="B910" s="140"/>
      <c r="C910" s="140"/>
      <c r="D910" s="140"/>
      <c r="E910" s="140"/>
      <c r="F910" s="140"/>
      <c r="G910" s="141" t="s">
        <v>253</v>
      </c>
      <c r="H910" s="141" t="s">
        <v>254</v>
      </c>
      <c r="I910" s="371"/>
    </row>
    <row r="911" ht="15.4" customHeight="1">
      <c r="A911" s="341"/>
      <c r="B911" s="140"/>
      <c r="C911" s="140"/>
      <c r="D911" s="140"/>
      <c r="E911" s="140"/>
      <c r="F911" s="140"/>
      <c r="G911" s="142"/>
      <c r="H911" s="142"/>
      <c r="I911" s="371"/>
    </row>
    <row r="912" ht="15.4" customHeight="1">
      <c r="A912" s="341"/>
      <c r="B912" s="371"/>
      <c r="C912" s="371"/>
      <c r="D912" s="371"/>
      <c r="E912" s="371"/>
      <c r="F912" s="371"/>
      <c r="G912" s="371"/>
      <c r="H912" s="371"/>
      <c r="I912" s="371"/>
    </row>
    <row r="913" ht="15.4" customHeight="1">
      <c r="A913" s="138" t="s">
        <v>747</v>
      </c>
      <c r="B913" s="138"/>
      <c r="C913" s="138"/>
      <c r="D913" s="371"/>
      <c r="E913" s="371"/>
      <c r="F913" s="371"/>
      <c r="G913" s="371"/>
      <c r="H913" s="371"/>
      <c r="I913" s="371"/>
    </row>
    <row r="914" ht="15.4" customHeight="1">
      <c r="A914" s="341" t="s">
        <v>666</v>
      </c>
      <c r="B914" s="181" t="s">
        <v>748</v>
      </c>
      <c r="C914" s="181"/>
      <c r="D914" s="181"/>
      <c r="E914" s="181"/>
      <c r="F914" s="181"/>
      <c r="G914" s="142"/>
      <c r="H914" s="142"/>
      <c r="I914" s="371"/>
    </row>
    <row r="915" ht="25.15" customHeight="1">
      <c r="A915" s="341"/>
      <c r="B915" s="237" t="s">
        <v>749</v>
      </c>
      <c r="C915" s="237"/>
      <c r="D915" s="237"/>
      <c r="E915" s="237"/>
      <c r="F915" s="237"/>
      <c r="G915" s="237"/>
      <c r="H915" s="237"/>
      <c r="I915" s="371"/>
    </row>
    <row r="916" ht="15.4" customHeight="1">
      <c r="A916" s="341"/>
      <c r="B916" s="353" t="s">
        <v>750</v>
      </c>
      <c r="C916" s="270"/>
      <c r="D916" s="270"/>
      <c r="E916" s="270"/>
      <c r="F916" s="270"/>
      <c r="G916" s="270"/>
      <c r="H916" s="270"/>
      <c r="I916" s="371"/>
    </row>
    <row r="917" ht="15.4" customHeight="1">
      <c r="A917" s="341"/>
      <c r="B917" s="371"/>
      <c r="C917" s="371"/>
      <c r="D917" s="371"/>
      <c r="E917" s="371"/>
      <c r="F917" s="371"/>
      <c r="G917" s="371"/>
      <c r="H917" s="371"/>
      <c r="I917" s="371"/>
    </row>
    <row r="918" ht="15.4" customHeight="1">
      <c r="A918" s="341" t="s">
        <v>751</v>
      </c>
      <c r="B918" s="140" t="s">
        <v>752</v>
      </c>
      <c r="C918" s="140"/>
      <c r="D918" s="140"/>
      <c r="E918" s="140"/>
      <c r="F918" s="140"/>
      <c r="G918" s="371"/>
      <c r="H918" s="371"/>
      <c r="I918" s="371"/>
    </row>
    <row r="919" ht="15.4" customHeight="1">
      <c r="A919" s="341"/>
      <c r="B919" s="140"/>
      <c r="C919" s="140"/>
      <c r="D919" s="140"/>
      <c r="E919" s="140"/>
      <c r="F919" s="140"/>
      <c r="G919" s="196"/>
      <c r="H919" s="196"/>
      <c r="I919" s="371"/>
    </row>
    <row r="920" ht="15.4" customHeight="1">
      <c r="A920" s="341"/>
      <c r="B920" s="140" t="s">
        <v>753</v>
      </c>
      <c r="C920" s="140"/>
      <c r="D920" s="140"/>
      <c r="E920" s="140"/>
      <c r="F920" s="140"/>
      <c r="G920" s="371"/>
      <c r="H920" s="371"/>
      <c r="I920" s="371"/>
    </row>
    <row r="921" ht="15.4" customHeight="1">
      <c r="A921" s="341"/>
      <c r="B921" s="140"/>
      <c r="C921" s="140"/>
      <c r="D921" s="140"/>
      <c r="E921" s="140"/>
      <c r="F921" s="140"/>
      <c r="G921" s="196"/>
      <c r="H921" s="196"/>
      <c r="I921" s="371"/>
    </row>
    <row r="922" ht="15.4" customHeight="1">
      <c r="A922" s="138" t="s">
        <v>754</v>
      </c>
      <c r="B922" s="138"/>
      <c r="C922" s="138"/>
      <c r="D922" s="371"/>
      <c r="E922" s="371"/>
      <c r="F922" s="371"/>
      <c r="G922" s="371"/>
      <c r="H922" s="371"/>
      <c r="I922" s="371"/>
    </row>
    <row r="923" ht="15.4" customHeight="1">
      <c r="A923" s="341" t="s">
        <v>751</v>
      </c>
      <c r="B923" s="140" t="s">
        <v>755</v>
      </c>
      <c r="C923" s="140"/>
      <c r="D923" s="140"/>
      <c r="E923" s="140"/>
      <c r="F923" s="140"/>
      <c r="G923" s="141" t="s">
        <v>253</v>
      </c>
      <c r="H923" s="141" t="s">
        <v>254</v>
      </c>
      <c r="I923" s="371"/>
    </row>
    <row r="924" ht="15.4" customHeight="1">
      <c r="A924" s="341"/>
      <c r="B924" s="140"/>
      <c r="C924" s="140"/>
      <c r="D924" s="140"/>
      <c r="E924" s="140"/>
      <c r="F924" s="140"/>
      <c r="G924" s="142"/>
      <c r="H924" s="142"/>
      <c r="I924" s="371"/>
    </row>
    <row r="925" ht="15.4" customHeight="1">
      <c r="A925" s="341"/>
      <c r="B925" s="140"/>
      <c r="C925" s="140"/>
      <c r="D925" s="140"/>
      <c r="E925" s="140"/>
      <c r="F925" s="140"/>
      <c r="G925" s="371"/>
      <c r="H925" s="371"/>
      <c r="I925" s="371"/>
    </row>
    <row r="926" ht="15.4" customHeight="1">
      <c r="A926" s="341" t="s">
        <v>756</v>
      </c>
      <c r="B926" s="140" t="s">
        <v>757</v>
      </c>
      <c r="C926" s="140"/>
      <c r="D926" s="140"/>
      <c r="E926" s="140"/>
      <c r="F926" s="140"/>
      <c r="G926" s="141" t="s">
        <v>253</v>
      </c>
      <c r="H926" s="141" t="s">
        <v>254</v>
      </c>
      <c r="I926" s="371"/>
    </row>
    <row r="927" ht="15.4" customHeight="1">
      <c r="A927" s="341"/>
      <c r="B927" s="140"/>
      <c r="C927" s="140"/>
      <c r="D927" s="140"/>
      <c r="E927" s="140"/>
      <c r="F927" s="140"/>
      <c r="G927" s="142"/>
      <c r="H927" s="142"/>
      <c r="I927" s="371"/>
    </row>
    <row r="928" ht="15.4" customHeight="1">
      <c r="A928" s="341"/>
      <c r="B928" s="252" t="s">
        <v>758</v>
      </c>
      <c r="C928" s="341"/>
      <c r="D928" s="341"/>
      <c r="E928" s="341"/>
      <c r="F928" s="371"/>
      <c r="G928" s="371"/>
      <c r="H928" s="371"/>
      <c r="I928" s="371"/>
    </row>
    <row r="929" ht="15.4" customHeight="1">
      <c r="A929" s="341"/>
      <c r="B929" s="371"/>
      <c r="C929" s="371"/>
      <c r="D929" s="371"/>
      <c r="E929" s="371"/>
      <c r="F929" s="371"/>
      <c r="G929" s="371"/>
      <c r="H929" s="371"/>
      <c r="I929" s="371"/>
    </row>
    <row r="930" ht="15.4" customHeight="1">
      <c r="A930" s="341" t="s">
        <v>669</v>
      </c>
      <c r="B930" s="357" t="s">
        <v>759</v>
      </c>
      <c r="C930" s="371"/>
      <c r="D930" s="371"/>
      <c r="E930" s="371"/>
      <c r="F930" s="371"/>
      <c r="G930" s="141" t="s">
        <v>253</v>
      </c>
      <c r="H930" s="141" t="s">
        <v>254</v>
      </c>
      <c r="I930" s="371"/>
    </row>
    <row r="931" ht="15.4" customHeight="1">
      <c r="A931" s="341"/>
      <c r="B931" s="353" t="s">
        <v>760</v>
      </c>
      <c r="C931" s="341"/>
      <c r="E931" s="341"/>
      <c r="F931" s="371"/>
      <c r="G931" s="142"/>
      <c r="H931" s="142"/>
      <c r="I931" s="371"/>
    </row>
    <row r="932" ht="15.4" customHeight="1">
      <c r="A932" s="341"/>
      <c r="B932" s="145" t="s">
        <v>761</v>
      </c>
      <c r="C932" s="341"/>
      <c r="D932" s="341"/>
      <c r="E932" s="341"/>
      <c r="F932" s="371"/>
      <c r="G932" s="142"/>
      <c r="H932" s="142"/>
      <c r="I932" s="371"/>
    </row>
    <row r="933" ht="15.4" customHeight="1">
      <c r="A933" s="341"/>
      <c r="B933" s="353" t="s">
        <v>762</v>
      </c>
      <c r="C933" s="371"/>
      <c r="D933" s="371"/>
      <c r="E933" s="371"/>
      <c r="F933" s="371"/>
      <c r="G933" s="142"/>
      <c r="H933" s="142"/>
      <c r="I933" s="371"/>
    </row>
    <row r="934" ht="15.4" customHeight="1">
      <c r="A934" s="341"/>
      <c r="B934" s="353" t="s">
        <v>763</v>
      </c>
      <c r="C934" s="371"/>
      <c r="D934" s="371"/>
      <c r="E934" s="371"/>
      <c r="F934" s="371"/>
      <c r="G934" s="142"/>
      <c r="H934" s="142"/>
      <c r="I934" s="371"/>
    </row>
    <row r="935" ht="15.4" customHeight="1">
      <c r="A935" s="341"/>
      <c r="B935" s="371"/>
      <c r="C935" s="371"/>
      <c r="D935" s="371"/>
      <c r="E935" s="371"/>
      <c r="F935" s="371"/>
      <c r="G935" s="371"/>
      <c r="H935" s="371"/>
      <c r="I935" s="371"/>
    </row>
    <row r="936" ht="15.4" customHeight="1">
      <c r="A936" s="341" t="s">
        <v>756</v>
      </c>
      <c r="B936" s="140" t="s">
        <v>764</v>
      </c>
      <c r="C936" s="140"/>
      <c r="D936" s="140"/>
      <c r="E936" s="140"/>
      <c r="F936" s="140"/>
      <c r="G936" s="141" t="s">
        <v>253</v>
      </c>
      <c r="H936" s="141" t="s">
        <v>254</v>
      </c>
      <c r="I936" s="371"/>
    </row>
    <row r="937" ht="15.4" customHeight="1">
      <c r="A937" s="341"/>
      <c r="B937" s="140"/>
      <c r="C937" s="140"/>
      <c r="D937" s="140"/>
      <c r="E937" s="140"/>
      <c r="F937" s="140"/>
      <c r="G937" s="142"/>
      <c r="H937" s="142"/>
      <c r="I937" s="371"/>
    </row>
    <row r="938" ht="15.4" customHeight="1">
      <c r="A938" s="341"/>
      <c r="B938" s="140" t="s">
        <v>765</v>
      </c>
      <c r="C938" s="140"/>
      <c r="D938" s="140"/>
      <c r="E938" s="140"/>
      <c r="F938" s="140"/>
      <c r="G938" s="141" t="s">
        <v>253</v>
      </c>
      <c r="H938" s="141" t="s">
        <v>254</v>
      </c>
      <c r="I938" s="371"/>
    </row>
    <row r="939" ht="15.4" customHeight="1">
      <c r="A939" s="341"/>
      <c r="B939" s="140"/>
      <c r="C939" s="140"/>
      <c r="D939" s="140"/>
      <c r="E939" s="140"/>
      <c r="F939" s="140"/>
      <c r="G939" s="142"/>
      <c r="H939" s="142"/>
      <c r="I939" s="371"/>
    </row>
    <row r="940" ht="15.4" customHeight="1">
      <c r="A940" s="341"/>
      <c r="B940" s="271" t="s">
        <v>766</v>
      </c>
      <c r="C940" s="353"/>
      <c r="D940" s="353"/>
      <c r="E940" s="353"/>
      <c r="F940" s="371"/>
      <c r="G940" s="371"/>
      <c r="H940" s="371"/>
      <c r="I940" s="371"/>
    </row>
    <row r="941" ht="15.4" customHeight="1">
      <c r="A941" s="341"/>
      <c r="B941" s="371"/>
      <c r="C941" s="371"/>
      <c r="D941" s="371"/>
      <c r="E941" s="371"/>
      <c r="F941" s="371"/>
      <c r="G941" s="371"/>
      <c r="H941" s="371"/>
      <c r="I941" s="371"/>
    </row>
    <row r="942" ht="15.4" customHeight="1">
      <c r="A942" s="341"/>
      <c r="B942" s="158" t="s">
        <v>767</v>
      </c>
      <c r="C942" s="158"/>
      <c r="D942" s="158"/>
      <c r="E942" s="371"/>
      <c r="F942" s="371"/>
      <c r="G942" s="371"/>
      <c r="H942" s="371"/>
      <c r="I942" s="371"/>
    </row>
    <row r="943" ht="15.4" customHeight="1">
      <c r="A943" s="341" t="s">
        <v>756</v>
      </c>
      <c r="B943" s="357" t="s">
        <v>768</v>
      </c>
      <c r="C943" s="371"/>
      <c r="D943" s="371"/>
      <c r="E943" s="196"/>
      <c r="F943" s="371"/>
      <c r="G943" s="141" t="s">
        <v>253</v>
      </c>
      <c r="H943" s="141" t="s">
        <v>254</v>
      </c>
      <c r="I943" s="371"/>
    </row>
    <row r="944" ht="15.4" customHeight="1">
      <c r="A944" s="341"/>
      <c r="B944" s="140" t="s">
        <v>769</v>
      </c>
      <c r="C944" s="140"/>
      <c r="D944" s="140"/>
      <c r="E944" s="140"/>
      <c r="F944" s="140"/>
      <c r="G944" s="110"/>
      <c r="H944" s="110"/>
      <c r="I944" s="371"/>
    </row>
    <row r="945" ht="15.4" customHeight="1">
      <c r="A945" s="341"/>
      <c r="B945" s="140"/>
      <c r="C945" s="140"/>
      <c r="D945" s="140"/>
      <c r="E945" s="140"/>
      <c r="F945" s="140"/>
      <c r="G945" s="110"/>
      <c r="H945" s="110"/>
      <c r="I945" s="371"/>
    </row>
    <row r="946" ht="15.4" customHeight="1">
      <c r="A946" s="341"/>
      <c r="B946" s="140" t="s">
        <v>770</v>
      </c>
      <c r="C946" s="140"/>
      <c r="D946" s="140"/>
      <c r="E946" s="140"/>
      <c r="F946" s="140"/>
      <c r="G946" s="110"/>
      <c r="H946" s="110"/>
      <c r="I946" s="371"/>
    </row>
    <row r="947" ht="15.4" customHeight="1">
      <c r="A947" s="341"/>
      <c r="B947" s="140"/>
      <c r="C947" s="140"/>
      <c r="D947" s="140"/>
      <c r="E947" s="140"/>
      <c r="F947" s="140"/>
      <c r="G947" s="110"/>
      <c r="H947" s="110"/>
      <c r="I947" s="371"/>
    </row>
    <row r="948" ht="15.4" customHeight="1">
      <c r="A948" s="341"/>
      <c r="B948" s="140"/>
      <c r="C948" s="140"/>
      <c r="D948" s="140"/>
      <c r="E948" s="140"/>
      <c r="F948" s="140"/>
      <c r="G948" s="272"/>
      <c r="H948" s="272"/>
      <c r="I948" s="371"/>
    </row>
    <row r="949" ht="15.4" customHeight="1">
      <c r="A949" s="341"/>
      <c r="B949" s="140" t="s">
        <v>771</v>
      </c>
      <c r="C949" s="140"/>
      <c r="D949" s="140"/>
      <c r="E949" s="140"/>
      <c r="F949" s="140"/>
      <c r="G949" s="142"/>
      <c r="H949" s="371" t="s">
        <v>772</v>
      </c>
    </row>
    <row r="950" ht="15.4" customHeight="1">
      <c r="A950" s="341"/>
      <c r="B950" s="140"/>
      <c r="C950" s="140"/>
      <c r="D950" s="140"/>
      <c r="E950" s="140"/>
      <c r="F950" s="140"/>
      <c r="G950" s="142"/>
      <c r="H950" s="192" t="s">
        <v>773</v>
      </c>
      <c r="I950" s="371"/>
    </row>
    <row r="951" ht="15.4" customHeight="1">
      <c r="A951" s="341"/>
      <c r="B951" s="140"/>
      <c r="C951" s="140"/>
      <c r="D951" s="140"/>
      <c r="E951" s="140"/>
      <c r="F951" s="140"/>
      <c r="G951" s="371"/>
      <c r="H951" s="192"/>
      <c r="I951" s="371"/>
    </row>
    <row r="952" ht="15.4" customHeight="1">
      <c r="A952" s="341" t="s">
        <v>774</v>
      </c>
      <c r="B952" s="357" t="s">
        <v>775</v>
      </c>
      <c r="C952" s="371"/>
      <c r="D952" s="371"/>
      <c r="E952" s="371"/>
      <c r="F952" s="371"/>
      <c r="G952" s="371"/>
      <c r="H952" s="371"/>
      <c r="I952" s="371"/>
    </row>
    <row r="953" ht="15.4" customHeight="1">
      <c r="A953" s="341"/>
      <c r="B953" s="353" t="s">
        <v>776</v>
      </c>
      <c r="C953" s="341"/>
      <c r="D953" s="341"/>
      <c r="E953" s="341"/>
      <c r="F953" s="371"/>
      <c r="G953" s="273"/>
      <c r="H953" s="196"/>
      <c r="I953" s="371"/>
    </row>
    <row r="954" ht="15.4" customHeight="1">
      <c r="A954" s="341"/>
      <c r="B954" s="145" t="s">
        <v>777</v>
      </c>
      <c r="C954" s="145"/>
      <c r="D954" s="145"/>
      <c r="E954" s="145"/>
      <c r="F954" s="145"/>
      <c r="G954" s="273"/>
      <c r="H954" s="273"/>
      <c r="I954" s="371"/>
    </row>
    <row r="955" ht="15.4" customHeight="1">
      <c r="A955" s="341"/>
      <c r="B955" s="145" t="s">
        <v>778</v>
      </c>
      <c r="C955" s="145"/>
      <c r="D955" s="145"/>
      <c r="E955" s="145"/>
      <c r="F955" s="145"/>
      <c r="G955" s="273"/>
      <c r="H955" s="196"/>
      <c r="I955" s="371"/>
    </row>
    <row r="956" ht="15.4" customHeight="1">
      <c r="A956" s="341"/>
      <c r="B956" s="371"/>
      <c r="C956" s="371"/>
      <c r="D956" s="371"/>
      <c r="E956" s="371"/>
      <c r="F956" s="371"/>
      <c r="G956" s="141" t="s">
        <v>253</v>
      </c>
      <c r="H956" s="141" t="s">
        <v>254</v>
      </c>
      <c r="I956" s="357"/>
    </row>
    <row r="957" ht="15.4" customHeight="1">
      <c r="A957" s="341"/>
      <c r="B957" s="145" t="s">
        <v>779</v>
      </c>
      <c r="C957" s="145"/>
      <c r="D957" s="145"/>
      <c r="E957" s="145"/>
      <c r="F957" s="145"/>
      <c r="G957" s="274"/>
      <c r="H957" s="142"/>
      <c r="I957" s="357"/>
    </row>
    <row r="958" ht="15.4" customHeight="1">
      <c r="A958" s="341"/>
      <c r="B958" s="145" t="s">
        <v>780</v>
      </c>
      <c r="C958" s="145"/>
      <c r="D958" s="145"/>
      <c r="E958" s="145"/>
      <c r="F958" s="145"/>
      <c r="G958" s="274"/>
      <c r="H958" s="142"/>
      <c r="I958" s="371"/>
    </row>
    <row r="959" ht="15.4" customHeight="1">
      <c r="A959" s="341"/>
      <c r="B959" s="371"/>
      <c r="C959" s="371"/>
      <c r="D959" s="371"/>
      <c r="E959" s="371"/>
      <c r="F959" s="371"/>
      <c r="G959" s="371"/>
      <c r="H959" s="371"/>
      <c r="I959" s="371"/>
    </row>
    <row r="960" ht="15.4" customHeight="1">
      <c r="A960" s="138" t="s">
        <v>781</v>
      </c>
      <c r="B960" s="138"/>
      <c r="C960" s="138"/>
      <c r="D960" s="371"/>
      <c r="E960" s="371"/>
      <c r="F960" s="371"/>
      <c r="G960" s="371"/>
      <c r="H960" s="371"/>
      <c r="I960" s="371"/>
    </row>
    <row r="961" ht="15.4" customHeight="1">
      <c r="A961" s="341" t="s">
        <v>782</v>
      </c>
      <c r="B961" s="140" t="s">
        <v>783</v>
      </c>
      <c r="C961" s="140"/>
      <c r="D961" s="140"/>
      <c r="E961" s="140"/>
      <c r="F961" s="140"/>
      <c r="G961" s="371"/>
      <c r="H961" s="371"/>
      <c r="I961" s="371"/>
    </row>
    <row r="962" ht="15.4" customHeight="1">
      <c r="A962" s="341"/>
      <c r="B962" s="140"/>
      <c r="C962" s="140"/>
      <c r="D962" s="140"/>
      <c r="E962" s="140"/>
      <c r="F962" s="140"/>
      <c r="G962" s="273"/>
      <c r="H962" s="196"/>
      <c r="I962" s="371"/>
    </row>
    <row r="963" ht="15.4" customHeight="1">
      <c r="A963" s="341"/>
      <c r="B963" s="140"/>
      <c r="C963" s="140"/>
      <c r="D963" s="140"/>
      <c r="E963" s="140"/>
      <c r="F963" s="140"/>
      <c r="G963" s="371"/>
      <c r="H963" s="371"/>
      <c r="I963" s="371"/>
    </row>
    <row r="964" ht="15.4" customHeight="1">
      <c r="A964" s="341"/>
      <c r="B964" s="140"/>
      <c r="C964" s="140"/>
      <c r="D964" s="140"/>
      <c r="E964" s="140"/>
      <c r="F964" s="140"/>
      <c r="G964" s="141" t="s">
        <v>253</v>
      </c>
      <c r="H964" s="141" t="s">
        <v>254</v>
      </c>
      <c r="I964" s="371"/>
    </row>
    <row r="965" ht="15.4" customHeight="1">
      <c r="A965" s="341"/>
      <c r="B965" s="145" t="s">
        <v>784</v>
      </c>
      <c r="C965" s="145"/>
      <c r="D965" s="145"/>
      <c r="E965" s="145"/>
      <c r="F965" s="145"/>
      <c r="G965" s="274"/>
      <c r="H965" s="142"/>
      <c r="I965" s="371"/>
    </row>
    <row r="966" ht="15.4" customHeight="1">
      <c r="A966" s="341"/>
      <c r="B966" s="252" t="s">
        <v>785</v>
      </c>
      <c r="C966" s="264"/>
      <c r="D966" s="264"/>
      <c r="E966" s="264"/>
      <c r="F966" s="264"/>
      <c r="G966" s="371"/>
      <c r="H966" s="371"/>
      <c r="I966" s="371"/>
    </row>
    <row r="967" ht="15.4" customHeight="1">
      <c r="A967" s="341"/>
      <c r="B967" s="140" t="s">
        <v>786</v>
      </c>
      <c r="C967" s="140"/>
      <c r="D967" s="140"/>
      <c r="E967" s="140"/>
      <c r="F967" s="140"/>
      <c r="G967" s="141" t="s">
        <v>253</v>
      </c>
      <c r="H967" s="141" t="s">
        <v>254</v>
      </c>
      <c r="I967" s="371"/>
    </row>
    <row r="968" ht="15.4" customHeight="1">
      <c r="A968" s="341"/>
      <c r="B968" s="140"/>
      <c r="C968" s="140"/>
      <c r="D968" s="140"/>
      <c r="E968" s="140"/>
      <c r="F968" s="140"/>
      <c r="G968" s="274"/>
      <c r="H968" s="142"/>
      <c r="I968" s="371"/>
    </row>
    <row r="969" ht="15.4" customHeight="1">
      <c r="A969" s="341"/>
      <c r="B969" s="188" t="s">
        <v>787</v>
      </c>
      <c r="C969" s="188"/>
      <c r="D969" s="188"/>
      <c r="E969" s="188"/>
      <c r="F969" s="188"/>
      <c r="G969" s="142"/>
      <c r="H969" s="142"/>
      <c r="I969" s="371"/>
    </row>
    <row r="970" ht="15.4" customHeight="1">
      <c r="A970" s="341"/>
      <c r="B970" s="251" t="s">
        <v>788</v>
      </c>
      <c r="C970" s="353"/>
      <c r="D970" s="353"/>
      <c r="E970" s="353"/>
      <c r="F970" s="353"/>
      <c r="G970" s="371"/>
      <c r="H970" s="371"/>
      <c r="I970" s="371"/>
    </row>
    <row r="971" ht="15.4" customHeight="1">
      <c r="A971" s="341"/>
      <c r="C971" s="139"/>
      <c r="D971" s="139"/>
      <c r="E971" s="139"/>
      <c r="F971" s="139"/>
      <c r="G971" s="141" t="s">
        <v>253</v>
      </c>
      <c r="H971" s="141" t="s">
        <v>254</v>
      </c>
      <c r="I971" s="371"/>
    </row>
    <row r="972" ht="15.4" customHeight="1">
      <c r="A972" s="341"/>
      <c r="B972" s="140" t="s">
        <v>789</v>
      </c>
      <c r="C972" s="140"/>
      <c r="D972" s="140"/>
      <c r="E972" s="140"/>
      <c r="F972" s="140"/>
      <c r="G972" s="110"/>
      <c r="H972" s="110"/>
      <c r="I972" s="371"/>
    </row>
    <row r="973" ht="15.4" customHeight="1">
      <c r="A973" s="341"/>
      <c r="B973" s="140"/>
      <c r="C973" s="140"/>
      <c r="D973" s="140"/>
      <c r="E973" s="140"/>
      <c r="F973" s="140"/>
      <c r="G973" s="110"/>
      <c r="H973" s="110"/>
      <c r="I973" s="371"/>
    </row>
    <row r="974" ht="15.4" customHeight="1">
      <c r="A974" s="341"/>
      <c r="B974" s="371"/>
      <c r="C974" s="371"/>
      <c r="D974" s="371"/>
      <c r="E974" s="371"/>
      <c r="F974" s="371"/>
      <c r="G974" s="371"/>
      <c r="H974" s="371"/>
      <c r="I974" s="371"/>
    </row>
    <row r="975" ht="15.4" customHeight="1">
      <c r="A975" s="160" t="s">
        <v>790</v>
      </c>
      <c r="B975" s="160"/>
      <c r="C975" s="160"/>
      <c r="D975" s="371"/>
      <c r="E975" s="371"/>
      <c r="F975" s="371"/>
      <c r="G975" s="141" t="s">
        <v>253</v>
      </c>
      <c r="H975" s="141" t="s">
        <v>254</v>
      </c>
      <c r="I975" s="371"/>
    </row>
    <row r="976" ht="15.4" customHeight="1">
      <c r="A976" s="341" t="s">
        <v>791</v>
      </c>
      <c r="B976" s="181" t="s">
        <v>792</v>
      </c>
      <c r="C976" s="181"/>
      <c r="D976" s="181"/>
      <c r="E976" s="181"/>
      <c r="F976" s="181"/>
      <c r="G976" s="274"/>
      <c r="H976" s="142"/>
      <c r="I976" s="371"/>
    </row>
    <row r="977" ht="15.4" customHeight="1">
      <c r="A977" s="341"/>
      <c r="B977" s="181" t="s">
        <v>793</v>
      </c>
      <c r="C977" s="181"/>
      <c r="D977" s="181"/>
      <c r="E977" s="181"/>
      <c r="F977" s="181"/>
      <c r="G977" s="274"/>
      <c r="H977" s="142"/>
      <c r="I977" s="371"/>
    </row>
    <row r="978" ht="15.4" customHeight="1">
      <c r="A978" s="341"/>
      <c r="B978" s="357"/>
      <c r="C978" s="193"/>
      <c r="D978" s="193"/>
      <c r="E978" s="193"/>
      <c r="F978" s="193"/>
      <c r="G978" s="193"/>
      <c r="H978" s="371"/>
      <c r="I978" s="371"/>
    </row>
    <row r="979" ht="15" customHeight="1">
      <c r="A979" s="341"/>
      <c r="B979" s="140" t="s">
        <v>794</v>
      </c>
      <c r="C979" s="140"/>
      <c r="D979" s="140"/>
      <c r="E979" s="140"/>
      <c r="F979" s="140"/>
      <c r="G979" s="141" t="s">
        <v>253</v>
      </c>
      <c r="H979" s="141" t="s">
        <v>254</v>
      </c>
      <c r="I979" s="371"/>
    </row>
    <row r="980" ht="16.5" customHeight="1">
      <c r="A980" s="341"/>
      <c r="B980" s="140"/>
      <c r="C980" s="140"/>
      <c r="D980" s="140"/>
      <c r="E980" s="140"/>
      <c r="F980" s="140"/>
      <c r="G980" s="275"/>
      <c r="H980" s="110"/>
      <c r="I980" s="371"/>
    </row>
    <row r="981" ht="15.4" customHeight="1">
      <c r="A981" s="341"/>
      <c r="B981" s="145" t="s">
        <v>793</v>
      </c>
      <c r="C981" s="145"/>
      <c r="D981" s="145"/>
      <c r="E981" s="145"/>
      <c r="F981" s="145"/>
      <c r="G981" s="274"/>
      <c r="H981" s="142"/>
      <c r="I981" s="371"/>
    </row>
    <row r="982" ht="15.4" customHeight="1">
      <c r="A982" s="341"/>
      <c r="B982" s="341"/>
      <c r="C982" s="353"/>
      <c r="D982" s="353"/>
      <c r="E982" s="353"/>
      <c r="F982" s="276"/>
      <c r="G982" s="371"/>
      <c r="H982" s="371"/>
      <c r="I982" s="371"/>
    </row>
    <row r="983" ht="15.4" customHeight="1">
      <c r="A983" s="341"/>
      <c r="B983" s="140" t="s">
        <v>795</v>
      </c>
      <c r="C983" s="140"/>
      <c r="D983" s="140"/>
      <c r="E983" s="140"/>
      <c r="F983" s="140"/>
      <c r="G983" s="141" t="s">
        <v>253</v>
      </c>
      <c r="H983" s="141" t="s">
        <v>254</v>
      </c>
      <c r="I983" s="371"/>
    </row>
    <row r="984" ht="15.4" customHeight="1">
      <c r="A984" s="341"/>
      <c r="B984" s="140"/>
      <c r="C984" s="140"/>
      <c r="D984" s="140"/>
      <c r="E984" s="140"/>
      <c r="F984" s="140"/>
      <c r="G984" s="275"/>
      <c r="H984" s="110"/>
      <c r="I984" s="371"/>
    </row>
    <row r="985" ht="15.4" customHeight="1">
      <c r="A985" s="341"/>
      <c r="B985" s="140"/>
      <c r="C985" s="140"/>
      <c r="D985" s="140"/>
      <c r="E985" s="140"/>
      <c r="F985" s="140"/>
      <c r="G985" s="275"/>
      <c r="H985" s="110"/>
      <c r="I985" s="371"/>
    </row>
    <row r="986" ht="15.4" customHeight="1">
      <c r="A986" s="341"/>
      <c r="B986" s="371"/>
      <c r="C986" s="341"/>
      <c r="D986" s="341"/>
      <c r="E986" s="341"/>
      <c r="F986" s="341"/>
      <c r="G986" s="341"/>
      <c r="H986" s="371"/>
      <c r="I986" s="371"/>
    </row>
    <row r="987" ht="15.4" customHeight="1">
      <c r="A987" s="341" t="s">
        <v>791</v>
      </c>
      <c r="B987" s="140" t="s">
        <v>796</v>
      </c>
      <c r="C987" s="140"/>
      <c r="D987" s="140"/>
      <c r="E987" s="140"/>
      <c r="F987" s="140"/>
      <c r="G987" s="141" t="s">
        <v>253</v>
      </c>
      <c r="H987" s="141" t="s">
        <v>254</v>
      </c>
      <c r="I987" s="371"/>
    </row>
    <row r="988" ht="15.4" customHeight="1">
      <c r="A988" s="341"/>
      <c r="B988" s="140"/>
      <c r="C988" s="140"/>
      <c r="D988" s="140"/>
      <c r="E988" s="140"/>
      <c r="F988" s="140"/>
      <c r="G988" s="274"/>
      <c r="H988" s="142"/>
      <c r="I988" s="371"/>
    </row>
    <row r="989" ht="25.15" customHeight="1">
      <c r="A989" s="341"/>
      <c r="B989" s="277" t="s">
        <v>797</v>
      </c>
      <c r="C989" s="277"/>
      <c r="D989" s="277"/>
      <c r="E989" s="277"/>
      <c r="F989" s="277"/>
      <c r="G989" s="277"/>
      <c r="H989" s="277"/>
      <c r="I989" s="371"/>
    </row>
    <row r="990" ht="15.4" customHeight="1">
      <c r="A990" s="341"/>
      <c r="B990" s="273"/>
      <c r="C990" s="196"/>
      <c r="D990" s="196"/>
      <c r="E990" s="196"/>
      <c r="F990" s="196"/>
      <c r="G990" s="196"/>
      <c r="H990" s="196"/>
      <c r="I990" s="371"/>
    </row>
    <row r="991" ht="15.4" customHeight="1">
      <c r="A991" s="341"/>
      <c r="B991" s="371"/>
      <c r="C991" s="371"/>
      <c r="D991" s="371"/>
      <c r="E991" s="371"/>
      <c r="F991" s="371"/>
      <c r="G991" s="371"/>
      <c r="H991" s="371"/>
      <c r="I991" s="371"/>
    </row>
    <row r="992" ht="15.4" customHeight="1">
      <c r="A992" s="341"/>
      <c r="B992" s="371"/>
      <c r="C992" s="371"/>
      <c r="D992" s="371"/>
      <c r="E992" s="371"/>
      <c r="F992" s="371"/>
      <c r="G992" s="141" t="s">
        <v>253</v>
      </c>
      <c r="H992" s="141" t="s">
        <v>254</v>
      </c>
      <c r="I992" s="371"/>
    </row>
    <row r="993" ht="15.4" customHeight="1">
      <c r="A993" s="341"/>
      <c r="B993" s="181" t="s">
        <v>798</v>
      </c>
      <c r="C993" s="181"/>
      <c r="D993" s="181"/>
      <c r="E993" s="181"/>
      <c r="F993" s="181"/>
      <c r="G993" s="274"/>
      <c r="H993" s="142"/>
      <c r="I993" s="371"/>
    </row>
    <row r="994" ht="15.4" customHeight="1">
      <c r="A994" s="341"/>
      <c r="B994" s="371"/>
      <c r="C994" s="371"/>
      <c r="D994" s="371"/>
      <c r="E994" s="371"/>
      <c r="F994" s="371"/>
      <c r="G994" s="371"/>
      <c r="H994" s="371"/>
      <c r="I994" s="371"/>
    </row>
    <row r="995" ht="15.4" customHeight="1">
      <c r="A995" s="160" t="s">
        <v>799</v>
      </c>
      <c r="B995" s="160"/>
      <c r="C995" s="160"/>
      <c r="D995" s="371"/>
      <c r="E995" s="371"/>
      <c r="F995" s="371"/>
      <c r="G995" s="141" t="s">
        <v>253</v>
      </c>
      <c r="H995" s="141" t="s">
        <v>254</v>
      </c>
      <c r="I995" s="371"/>
    </row>
    <row r="996" ht="15.4" customHeight="1">
      <c r="A996" s="341" t="s">
        <v>800</v>
      </c>
      <c r="B996" s="145" t="s">
        <v>801</v>
      </c>
      <c r="C996" s="145"/>
      <c r="D996" s="192"/>
      <c r="E996" s="192"/>
      <c r="F996" s="192"/>
      <c r="G996" s="274"/>
      <c r="H996" s="142"/>
      <c r="I996" s="371"/>
    </row>
    <row r="997" ht="15.4" customHeight="1">
      <c r="A997" s="341"/>
      <c r="B997" s="252" t="s">
        <v>802</v>
      </c>
      <c r="C997" s="371"/>
      <c r="D997" s="371"/>
      <c r="E997" s="371"/>
      <c r="F997" s="371"/>
      <c r="G997" s="371"/>
      <c r="H997" s="371"/>
      <c r="I997" s="371"/>
    </row>
    <row r="998" ht="15.4" customHeight="1">
      <c r="A998" s="341"/>
      <c r="B998" s="278" t="s">
        <v>803</v>
      </c>
      <c r="C998" s="273"/>
      <c r="D998" s="196"/>
      <c r="E998" s="196"/>
      <c r="F998" s="196"/>
      <c r="G998" s="196"/>
      <c r="H998" s="196"/>
      <c r="I998" s="371"/>
    </row>
    <row r="999" ht="15.4" customHeight="1">
      <c r="A999" s="341"/>
      <c r="B999" s="353"/>
      <c r="C999" s="353"/>
      <c r="D999" s="353"/>
      <c r="E999" s="353"/>
      <c r="F999" s="353"/>
      <c r="G999" s="371"/>
      <c r="H999" s="371"/>
      <c r="I999" s="371"/>
    </row>
    <row r="1000" ht="15.4" customHeight="1">
      <c r="A1000" s="341"/>
      <c r="B1000" s="353"/>
      <c r="C1000" s="353"/>
      <c r="D1000" s="353"/>
      <c r="E1000" s="353"/>
      <c r="F1000" s="353"/>
      <c r="G1000" s="141" t="s">
        <v>253</v>
      </c>
      <c r="H1000" s="141" t="s">
        <v>254</v>
      </c>
      <c r="I1000" s="371"/>
    </row>
    <row r="1001" ht="15.4" customHeight="1">
      <c r="A1001" s="341"/>
      <c r="B1001" s="145" t="s">
        <v>804</v>
      </c>
      <c r="C1001" s="357"/>
      <c r="D1001" s="341"/>
      <c r="E1001" s="341"/>
      <c r="F1001" s="371"/>
      <c r="G1001" s="274"/>
      <c r="H1001" s="142"/>
      <c r="I1001" s="371"/>
    </row>
    <row r="1002" ht="15.4" customHeight="1">
      <c r="A1002" s="341"/>
      <c r="B1002" s="252" t="s">
        <v>805</v>
      </c>
      <c r="C1002" s="371"/>
      <c r="D1002" s="371"/>
      <c r="E1002" s="371"/>
      <c r="F1002" s="371"/>
      <c r="G1002" s="371"/>
      <c r="H1002" s="371"/>
      <c r="I1002" s="371"/>
    </row>
    <row r="1003" ht="15.4" customHeight="1">
      <c r="A1003" s="341"/>
      <c r="B1003" s="278" t="s">
        <v>806</v>
      </c>
      <c r="C1003" s="273"/>
      <c r="D1003" s="196"/>
      <c r="E1003" s="196"/>
      <c r="F1003" s="196"/>
      <c r="G1003" s="196"/>
      <c r="H1003" s="196"/>
      <c r="I1003" s="371"/>
    </row>
    <row r="1004" ht="15.4" customHeight="1">
      <c r="A1004" s="341"/>
      <c r="B1004" s="278"/>
      <c r="C1004" s="273"/>
      <c r="D1004" s="196"/>
      <c r="E1004" s="196"/>
      <c r="F1004" s="196"/>
      <c r="G1004" s="196"/>
      <c r="H1004" s="196"/>
      <c r="I1004" s="371"/>
    </row>
    <row r="1005" ht="15.4" customHeight="1">
      <c r="A1005" s="341"/>
      <c r="B1005" s="371"/>
      <c r="C1005" s="371"/>
      <c r="D1005" s="371"/>
      <c r="E1005" s="371"/>
      <c r="F1005" s="371"/>
      <c r="G1005" s="371"/>
      <c r="H1005" s="371"/>
      <c r="I1005" s="371"/>
    </row>
    <row r="1006" ht="15.4" customHeight="1">
      <c r="A1006" s="160" t="s">
        <v>807</v>
      </c>
      <c r="B1006" s="160"/>
      <c r="C1006" s="160"/>
      <c r="D1006" s="371"/>
      <c r="E1006" s="371"/>
      <c r="F1006" s="371"/>
      <c r="G1006" s="371"/>
      <c r="H1006" s="371"/>
      <c r="I1006" s="371"/>
    </row>
    <row r="1007" ht="15.4" customHeight="1">
      <c r="C1007" s="139"/>
      <c r="D1007" s="139"/>
      <c r="E1007" s="139"/>
      <c r="F1007" s="139"/>
      <c r="G1007" s="371"/>
      <c r="H1007" s="371"/>
      <c r="I1007" s="371"/>
    </row>
    <row r="1008" ht="15.4" customHeight="1">
      <c r="A1008" s="341" t="s">
        <v>808</v>
      </c>
      <c r="B1008" s="140" t="s">
        <v>809</v>
      </c>
      <c r="C1008" s="140"/>
      <c r="D1008" s="140"/>
      <c r="E1008" s="140"/>
      <c r="F1008" s="140"/>
      <c r="G1008" s="196"/>
      <c r="H1008" s="196"/>
      <c r="I1008" s="371"/>
    </row>
    <row r="1009" ht="15.4" customHeight="1">
      <c r="A1009" s="341"/>
      <c r="B1009" s="252" t="s">
        <v>810</v>
      </c>
      <c r="C1009" s="371"/>
      <c r="D1009" s="371"/>
      <c r="E1009" s="371"/>
      <c r="F1009" s="371"/>
      <c r="G1009" s="371"/>
      <c r="H1009" s="371"/>
      <c r="I1009" s="371"/>
    </row>
    <row r="1010" ht="15.4" customHeight="1">
      <c r="A1010" s="341"/>
      <c r="B1010" s="371"/>
      <c r="C1010" s="371"/>
      <c r="D1010" s="371"/>
      <c r="E1010" s="371"/>
      <c r="F1010" s="371"/>
      <c r="G1010" s="371"/>
      <c r="H1010" s="371"/>
      <c r="I1010" s="371"/>
    </row>
    <row r="1011" ht="15.4" customHeight="1">
      <c r="A1011" s="341" t="s">
        <v>811</v>
      </c>
      <c r="B1011" s="140" t="s">
        <v>812</v>
      </c>
      <c r="C1011" s="140"/>
      <c r="D1011" s="140"/>
      <c r="E1011" s="140"/>
      <c r="F1011" s="140"/>
      <c r="G1011" s="371"/>
      <c r="H1011" s="371"/>
      <c r="I1011" s="371"/>
    </row>
    <row r="1012" ht="15.4" customHeight="1">
      <c r="A1012" s="341"/>
      <c r="B1012" s="140"/>
      <c r="C1012" s="140"/>
      <c r="D1012" s="140"/>
      <c r="E1012" s="140"/>
      <c r="F1012" s="140"/>
      <c r="G1012" s="196"/>
      <c r="H1012" s="196"/>
      <c r="I1012" s="371"/>
    </row>
    <row r="1013" ht="15.4" customHeight="1">
      <c r="A1013" s="341"/>
      <c r="B1013" s="371"/>
      <c r="C1013" s="353"/>
      <c r="D1013" s="353"/>
      <c r="E1013" s="353"/>
      <c r="F1013" s="353"/>
      <c r="G1013" s="371"/>
      <c r="H1013" s="371"/>
      <c r="I1013" s="371"/>
    </row>
    <row r="1014" ht="15.4" customHeight="1">
      <c r="A1014" s="341"/>
      <c r="B1014" s="140" t="s">
        <v>813</v>
      </c>
      <c r="C1014" s="140"/>
      <c r="D1014" s="140"/>
      <c r="E1014" s="140"/>
      <c r="F1014" s="140"/>
      <c r="G1014" s="371"/>
      <c r="H1014" s="371"/>
      <c r="I1014" s="371"/>
    </row>
    <row r="1015" ht="15.4" customHeight="1">
      <c r="A1015" s="341"/>
      <c r="B1015" s="140"/>
      <c r="C1015" s="140"/>
      <c r="D1015" s="140"/>
      <c r="E1015" s="140"/>
      <c r="F1015" s="140"/>
      <c r="G1015" s="196"/>
      <c r="H1015" s="196"/>
      <c r="I1015" s="371"/>
    </row>
    <row r="1016" ht="15.4" customHeight="1">
      <c r="A1016" s="341"/>
      <c r="B1016" s="252" t="s">
        <v>814</v>
      </c>
      <c r="C1016" s="371"/>
      <c r="D1016" s="371"/>
      <c r="E1016" s="371"/>
      <c r="F1016" s="371"/>
      <c r="G1016" s="371"/>
      <c r="H1016" s="371"/>
      <c r="I1016" s="371"/>
    </row>
    <row r="1017" ht="15.4" customHeight="1">
      <c r="A1017" s="211" t="s">
        <v>815</v>
      </c>
      <c r="B1017" s="211"/>
      <c r="C1017" s="211"/>
      <c r="D1017" s="211"/>
      <c r="E1017" s="211"/>
      <c r="F1017" s="211"/>
      <c r="G1017" s="211"/>
      <c r="H1017" s="211"/>
      <c r="I1017" s="211"/>
    </row>
    <row r="1018" ht="15.4" customHeight="1">
      <c r="A1018" s="341"/>
      <c r="B1018" s="371"/>
      <c r="C1018" s="371"/>
      <c r="D1018" s="371"/>
      <c r="E1018" s="371"/>
      <c r="F1018" s="371"/>
      <c r="G1018" s="371"/>
      <c r="H1018" s="371"/>
      <c r="I1018" s="371"/>
    </row>
    <row r="1019" ht="15.4" customHeight="1">
      <c r="A1019" s="160" t="s">
        <v>816</v>
      </c>
      <c r="B1019" s="160"/>
      <c r="C1019" s="160"/>
      <c r="D1019" s="371"/>
      <c r="E1019" s="371"/>
      <c r="F1019" s="371"/>
      <c r="G1019" s="371"/>
      <c r="H1019" s="371"/>
      <c r="I1019" s="371"/>
    </row>
    <row r="1020" ht="15.4" customHeight="1">
      <c r="A1020" s="279"/>
      <c r="B1020" s="279"/>
      <c r="C1020" s="279"/>
      <c r="D1020" s="371"/>
      <c r="E1020" s="371"/>
      <c r="F1020" s="371"/>
      <c r="G1020" s="371"/>
      <c r="H1020" s="371"/>
      <c r="I1020" s="371"/>
    </row>
    <row r="1021" ht="15.4" customHeight="1">
      <c r="A1021" s="341"/>
      <c r="B1021" s="280" t="s">
        <v>817</v>
      </c>
      <c r="C1021" s="280"/>
      <c r="D1021" s="280"/>
      <c r="E1021" s="371"/>
      <c r="F1021" s="371"/>
      <c r="G1021" s="371"/>
      <c r="H1021" s="371"/>
      <c r="I1021" s="371"/>
    </row>
    <row r="1022" ht="15.4" customHeight="1">
      <c r="A1022" s="281" t="s">
        <v>818</v>
      </c>
      <c r="B1022" s="281"/>
      <c r="C1022" s="281"/>
      <c r="D1022" s="281"/>
      <c r="E1022" s="281"/>
      <c r="F1022" s="282" t="s">
        <v>819</v>
      </c>
      <c r="G1022" s="282"/>
      <c r="H1022" s="282"/>
      <c r="I1022" s="371"/>
    </row>
    <row r="1023" ht="15.4" customHeight="1">
      <c r="A1023" s="281"/>
      <c r="B1023" s="281"/>
      <c r="C1023" s="281"/>
      <c r="D1023" s="281"/>
      <c r="E1023" s="281"/>
      <c r="F1023" s="283" t="s">
        <v>406</v>
      </c>
      <c r="G1023" s="284" t="s">
        <v>820</v>
      </c>
      <c r="H1023" s="285" t="s">
        <v>821</v>
      </c>
      <c r="I1023" s="9"/>
    </row>
    <row r="1024" ht="15.4" customHeight="1">
      <c r="A1024" s="286" t="s">
        <v>822</v>
      </c>
      <c r="B1024" s="286"/>
      <c r="C1024" s="286"/>
      <c r="D1024" s="286"/>
      <c r="E1024" s="286"/>
      <c r="F1024" s="287"/>
      <c r="G1024" s="288"/>
      <c r="H1024" s="289"/>
      <c r="I1024" s="290" t="s">
        <v>823</v>
      </c>
    </row>
    <row r="1025" ht="25.9" customHeight="1">
      <c r="A1025" s="291" t="s">
        <v>824</v>
      </c>
      <c r="B1025" s="291"/>
      <c r="C1025" s="291"/>
      <c r="D1025" s="291"/>
      <c r="E1025" s="291"/>
      <c r="F1025" s="291"/>
      <c r="G1025" s="291"/>
      <c r="H1025" s="291"/>
      <c r="I1025" s="292"/>
    </row>
    <row r="1026" ht="15.4" customHeight="1">
      <c r="A1026" s="293" t="s">
        <v>825</v>
      </c>
      <c r="B1026" s="293"/>
      <c r="C1026" s="293"/>
      <c r="D1026" s="293"/>
      <c r="E1026" s="293"/>
      <c r="F1026" s="287"/>
      <c r="G1026" s="288"/>
      <c r="H1026" s="289"/>
      <c r="I1026" s="290" t="s">
        <v>826</v>
      </c>
    </row>
    <row r="1027" ht="15.4" customHeight="1">
      <c r="A1027" s="291" t="s">
        <v>827</v>
      </c>
      <c r="B1027" s="291"/>
      <c r="C1027" s="291"/>
      <c r="D1027" s="291"/>
      <c r="E1027" s="291"/>
      <c r="F1027" s="291"/>
      <c r="G1027" s="291"/>
      <c r="H1027" s="291"/>
      <c r="I1027" s="292"/>
    </row>
    <row r="1028" ht="4.15" customHeight="1">
      <c r="A1028" s="291"/>
      <c r="B1028" s="291"/>
      <c r="C1028" s="291"/>
      <c r="D1028" s="291"/>
      <c r="E1028" s="291"/>
      <c r="F1028" s="291"/>
      <c r="G1028" s="291"/>
      <c r="H1028" s="291"/>
      <c r="I1028" s="292"/>
    </row>
    <row r="1029" ht="15.4" customHeight="1">
      <c r="A1029" s="294" t="s">
        <v>828</v>
      </c>
      <c r="B1029" s="294"/>
      <c r="C1029" s="294"/>
      <c r="D1029" s="294"/>
      <c r="E1029" s="294"/>
      <c r="F1029" s="287"/>
      <c r="G1029" s="288"/>
      <c r="H1029" s="289"/>
      <c r="I1029" s="290" t="s">
        <v>823</v>
      </c>
    </row>
    <row r="1030" ht="15.4" customHeight="1">
      <c r="A1030" s="291" t="s">
        <v>829</v>
      </c>
      <c r="B1030" s="291"/>
      <c r="C1030" s="291"/>
      <c r="D1030" s="291"/>
      <c r="E1030" s="291"/>
      <c r="F1030" s="291"/>
      <c r="G1030" s="291"/>
      <c r="H1030" s="291"/>
      <c r="I1030" s="290"/>
    </row>
    <row r="1031" ht="15.4" customHeight="1">
      <c r="A1031" s="294" t="s">
        <v>830</v>
      </c>
      <c r="B1031" s="294"/>
      <c r="C1031" s="294"/>
      <c r="D1031" s="294"/>
      <c r="E1031" s="294"/>
      <c r="F1031" s="287"/>
      <c r="G1031" s="288"/>
      <c r="H1031" s="289"/>
      <c r="I1031" s="290" t="s">
        <v>826</v>
      </c>
    </row>
    <row r="1032" ht="37.9" customHeight="1">
      <c r="A1032" s="291" t="s">
        <v>831</v>
      </c>
      <c r="B1032" s="291"/>
      <c r="C1032" s="291"/>
      <c r="D1032" s="291"/>
      <c r="E1032" s="291"/>
      <c r="F1032" s="291"/>
      <c r="G1032" s="291"/>
      <c r="H1032" s="291"/>
      <c r="I1032" s="290"/>
    </row>
    <row r="1033" ht="15.4" customHeight="1">
      <c r="A1033" s="294" t="s">
        <v>832</v>
      </c>
      <c r="B1033" s="294"/>
      <c r="C1033" s="294"/>
      <c r="D1033" s="294"/>
      <c r="E1033" s="294"/>
      <c r="F1033" s="287"/>
      <c r="G1033" s="288"/>
      <c r="H1033" s="289"/>
      <c r="I1033" s="290" t="s">
        <v>833</v>
      </c>
    </row>
    <row r="1034" ht="37.9" customHeight="1">
      <c r="A1034" s="291" t="s">
        <v>834</v>
      </c>
      <c r="B1034" s="291"/>
      <c r="C1034" s="291"/>
      <c r="D1034" s="291"/>
      <c r="E1034" s="291"/>
      <c r="F1034" s="291"/>
      <c r="G1034" s="291"/>
      <c r="H1034" s="291"/>
      <c r="I1034" s="290"/>
    </row>
    <row r="1035" ht="3.6" customHeight="1">
      <c r="A1035" s="291"/>
      <c r="B1035" s="291"/>
      <c r="C1035" s="291"/>
      <c r="D1035" s="291"/>
      <c r="E1035" s="291"/>
      <c r="F1035" s="291"/>
      <c r="G1035" s="291"/>
      <c r="H1035" s="291"/>
      <c r="I1035" s="290"/>
    </row>
    <row r="1036" ht="15.4" customHeight="1">
      <c r="A1036" s="294" t="s">
        <v>835</v>
      </c>
      <c r="B1036" s="294"/>
      <c r="C1036" s="294"/>
      <c r="D1036" s="294"/>
      <c r="E1036" s="294"/>
      <c r="F1036" s="287"/>
      <c r="G1036" s="288"/>
      <c r="H1036" s="289"/>
      <c r="I1036" s="290" t="s">
        <v>823</v>
      </c>
    </row>
    <row r="1037" ht="15.4" customHeight="1">
      <c r="A1037" s="291" t="s">
        <v>836</v>
      </c>
      <c r="B1037" s="291"/>
      <c r="C1037" s="291"/>
      <c r="D1037" s="291"/>
      <c r="E1037" s="291"/>
      <c r="F1037" s="291"/>
      <c r="G1037" s="291"/>
      <c r="H1037" s="291"/>
      <c r="I1037" s="290"/>
    </row>
    <row r="1038" ht="15.4" customHeight="1">
      <c r="A1038" s="294" t="s">
        <v>837</v>
      </c>
      <c r="B1038" s="294"/>
      <c r="C1038" s="294"/>
      <c r="D1038" s="294"/>
      <c r="E1038" s="294"/>
      <c r="F1038" s="287"/>
      <c r="G1038" s="288"/>
      <c r="H1038" s="289"/>
      <c r="I1038" s="290" t="s">
        <v>826</v>
      </c>
    </row>
    <row r="1039" ht="25.15" customHeight="1">
      <c r="A1039" s="291" t="s">
        <v>838</v>
      </c>
      <c r="B1039" s="291"/>
      <c r="C1039" s="291"/>
      <c r="D1039" s="291"/>
      <c r="E1039" s="291"/>
      <c r="F1039" s="291"/>
      <c r="G1039" s="291"/>
      <c r="H1039" s="291"/>
      <c r="I1039" s="290"/>
    </row>
    <row r="1040" ht="5.45" customHeight="1">
      <c r="A1040" s="295"/>
      <c r="B1040" s="295"/>
      <c r="C1040" s="295"/>
      <c r="D1040" s="295"/>
      <c r="E1040" s="295"/>
      <c r="F1040" s="295"/>
      <c r="G1040" s="295"/>
      <c r="H1040" s="295"/>
      <c r="I1040" s="290"/>
    </row>
    <row r="1041" ht="15.4" customHeight="1">
      <c r="A1041" s="294" t="s">
        <v>839</v>
      </c>
      <c r="B1041" s="294"/>
      <c r="C1041" s="294"/>
      <c r="D1041" s="294"/>
      <c r="E1041" s="294"/>
      <c r="F1041" s="287"/>
      <c r="G1041" s="288"/>
      <c r="H1041" s="289"/>
      <c r="I1041" s="290" t="s">
        <v>840</v>
      </c>
    </row>
    <row r="1042" ht="15.4" customHeight="1">
      <c r="A1042" s="296" t="s">
        <v>841</v>
      </c>
      <c r="B1042" s="296"/>
      <c r="C1042" s="296"/>
      <c r="D1042" s="296"/>
      <c r="E1042" s="296"/>
      <c r="F1042" s="296"/>
      <c r="G1042" s="296"/>
      <c r="H1042" s="296"/>
      <c r="I1042" s="290"/>
    </row>
    <row r="1043" ht="15.4" customHeight="1">
      <c r="A1043" s="297"/>
      <c r="B1043" s="297"/>
      <c r="C1043" s="297"/>
      <c r="D1043" s="9"/>
      <c r="E1043" s="9"/>
      <c r="F1043" s="9"/>
      <c r="G1043" s="9"/>
      <c r="H1043" s="298"/>
      <c r="I1043" s="290"/>
    </row>
    <row r="1044" ht="15.4" customHeight="1">
      <c r="A1044" s="297"/>
      <c r="B1044" s="280" t="s">
        <v>842</v>
      </c>
      <c r="C1044" s="280"/>
      <c r="D1044" s="280"/>
      <c r="E1044" s="9"/>
      <c r="F1044" s="9"/>
      <c r="G1044" s="9"/>
      <c r="H1044" s="298"/>
      <c r="I1044" s="290"/>
    </row>
    <row r="1045" ht="15.4" customHeight="1">
      <c r="A1045" s="281" t="s">
        <v>818</v>
      </c>
      <c r="B1045" s="281"/>
      <c r="C1045" s="281"/>
      <c r="D1045" s="281"/>
      <c r="E1045" s="281"/>
      <c r="F1045" s="282" t="s">
        <v>819</v>
      </c>
      <c r="G1045" s="282"/>
      <c r="H1045" s="282"/>
      <c r="I1045" s="290"/>
    </row>
    <row r="1046" ht="15.4" customHeight="1">
      <c r="A1046" s="281"/>
      <c r="B1046" s="281"/>
      <c r="C1046" s="281"/>
      <c r="D1046" s="281"/>
      <c r="E1046" s="281"/>
      <c r="F1046" s="283" t="s">
        <v>406</v>
      </c>
      <c r="G1046" s="284" t="s">
        <v>820</v>
      </c>
      <c r="H1046" s="285" t="s">
        <v>821</v>
      </c>
      <c r="I1046" s="290"/>
    </row>
    <row r="1047" ht="15.4" customHeight="1">
      <c r="A1047" s="294" t="s">
        <v>843</v>
      </c>
      <c r="B1047" s="294"/>
      <c r="C1047" s="294"/>
      <c r="D1047" s="294"/>
      <c r="E1047" s="294"/>
      <c r="F1047" s="287"/>
      <c r="G1047" s="288"/>
      <c r="H1047" s="289"/>
      <c r="I1047" s="290" t="s">
        <v>844</v>
      </c>
    </row>
    <row r="1048" ht="37.9" customHeight="1">
      <c r="A1048" s="291" t="s">
        <v>845</v>
      </c>
      <c r="B1048" s="291"/>
      <c r="C1048" s="291"/>
      <c r="D1048" s="291"/>
      <c r="E1048" s="291"/>
      <c r="F1048" s="291"/>
      <c r="G1048" s="291"/>
      <c r="H1048" s="291"/>
      <c r="I1048" s="290"/>
    </row>
    <row r="1049" ht="15.4" customHeight="1">
      <c r="A1049" s="294" t="s">
        <v>846</v>
      </c>
      <c r="B1049" s="294"/>
      <c r="C1049" s="294"/>
      <c r="D1049" s="294"/>
      <c r="E1049" s="294"/>
      <c r="F1049" s="287"/>
      <c r="G1049" s="288"/>
      <c r="H1049" s="289"/>
      <c r="I1049" s="290" t="s">
        <v>844</v>
      </c>
    </row>
    <row r="1050" ht="15.4" customHeight="1">
      <c r="A1050" s="294" t="s">
        <v>847</v>
      </c>
      <c r="B1050" s="294"/>
      <c r="C1050" s="294"/>
      <c r="D1050" s="294"/>
      <c r="E1050" s="294"/>
      <c r="F1050" s="287"/>
      <c r="G1050" s="288"/>
      <c r="H1050" s="289"/>
      <c r="I1050" s="290" t="s">
        <v>844</v>
      </c>
    </row>
    <row r="1051" ht="15.4" customHeight="1">
      <c r="A1051" s="294" t="s">
        <v>848</v>
      </c>
      <c r="B1051" s="294"/>
      <c r="C1051" s="294"/>
      <c r="D1051" s="294"/>
      <c r="E1051" s="294"/>
      <c r="F1051" s="287"/>
      <c r="G1051" s="288"/>
      <c r="H1051" s="289"/>
      <c r="I1051" s="290" t="s">
        <v>844</v>
      </c>
    </row>
    <row r="1052" ht="15.4" customHeight="1">
      <c r="A1052" s="291" t="s">
        <v>849</v>
      </c>
      <c r="B1052" s="291"/>
      <c r="C1052" s="291"/>
      <c r="D1052" s="291"/>
      <c r="E1052" s="291"/>
      <c r="F1052" s="291"/>
      <c r="G1052" s="291"/>
      <c r="H1052" s="291"/>
      <c r="I1052" s="290"/>
    </row>
    <row r="1053" ht="4.15" customHeight="1">
      <c r="A1053" s="299"/>
      <c r="B1053" s="299"/>
      <c r="C1053" s="299"/>
      <c r="D1053" s="299"/>
      <c r="E1053" s="299"/>
      <c r="F1053" s="299"/>
      <c r="G1053" s="299"/>
      <c r="H1053" s="299"/>
      <c r="I1053" s="290"/>
    </row>
    <row r="1054" ht="15.4" customHeight="1">
      <c r="A1054" s="293" t="s">
        <v>850</v>
      </c>
      <c r="B1054" s="293"/>
      <c r="C1054" s="293"/>
      <c r="D1054" s="293"/>
      <c r="E1054" s="293"/>
      <c r="F1054" s="287"/>
      <c r="G1054" s="288"/>
      <c r="H1054" s="289"/>
      <c r="I1054" s="290" t="s">
        <v>851</v>
      </c>
    </row>
    <row r="1055" ht="24" customHeight="1">
      <c r="A1055" s="300" t="s">
        <v>852</v>
      </c>
      <c r="B1055" s="300"/>
      <c r="C1055" s="300"/>
      <c r="D1055" s="300"/>
      <c r="E1055" s="300"/>
      <c r="F1055" s="300"/>
      <c r="G1055" s="300"/>
      <c r="H1055" s="300"/>
      <c r="I1055" s="290"/>
    </row>
    <row r="1056" ht="15" customHeight="1">
      <c r="A1056" s="301" t="s">
        <v>853</v>
      </c>
      <c r="B1056" s="301"/>
      <c r="C1056" s="301"/>
      <c r="D1056" s="301"/>
      <c r="E1056" s="301"/>
      <c r="F1056" s="287"/>
      <c r="G1056" s="288"/>
      <c r="H1056" s="289"/>
      <c r="I1056" s="302" t="s">
        <v>854</v>
      </c>
    </row>
    <row r="1057" ht="62.45" customHeight="1">
      <c r="A1057" s="303" t="s">
        <v>855</v>
      </c>
      <c r="B1057" s="303"/>
      <c r="C1057" s="303"/>
      <c r="D1057" s="303"/>
      <c r="E1057" s="303"/>
      <c r="F1057" s="303"/>
      <c r="G1057" s="303"/>
      <c r="H1057" s="303"/>
      <c r="I1057" s="302"/>
    </row>
    <row r="1058" ht="15.4" customHeight="1">
      <c r="A1058" s="304" t="s">
        <v>856</v>
      </c>
      <c r="B1058" s="304"/>
      <c r="C1058" s="304"/>
      <c r="D1058" s="304"/>
      <c r="E1058" s="304"/>
      <c r="F1058" s="287"/>
      <c r="G1058" s="288"/>
      <c r="H1058" s="289"/>
      <c r="I1058" s="305"/>
    </row>
    <row r="1059" ht="15.4" customHeight="1">
      <c r="A1059" s="306"/>
      <c r="B1059" s="307" t="s">
        <v>857</v>
      </c>
      <c r="C1059" s="307"/>
      <c r="D1059" s="307"/>
      <c r="E1059" s="306"/>
      <c r="F1059" s="306"/>
      <c r="G1059" s="306"/>
      <c r="H1059" s="9"/>
      <c r="I1059" s="308"/>
    </row>
    <row r="1060" ht="12.75" customHeight="1">
      <c r="A1060" s="281" t="s">
        <v>818</v>
      </c>
      <c r="B1060" s="281"/>
      <c r="C1060" s="281"/>
      <c r="D1060" s="281"/>
      <c r="E1060" s="281"/>
      <c r="F1060" s="282" t="s">
        <v>819</v>
      </c>
      <c r="G1060" s="282"/>
      <c r="H1060" s="282"/>
      <c r="I1060" s="308"/>
    </row>
    <row r="1061" ht="12.75" customHeight="1">
      <c r="A1061" s="281"/>
      <c r="B1061" s="281"/>
      <c r="C1061" s="281"/>
      <c r="D1061" s="281"/>
      <c r="E1061" s="281"/>
      <c r="F1061" s="283" t="s">
        <v>406</v>
      </c>
      <c r="G1061" s="284" t="s">
        <v>820</v>
      </c>
      <c r="H1061" s="285" t="s">
        <v>821</v>
      </c>
      <c r="I1061" s="308"/>
    </row>
    <row r="1062" ht="15.4" customHeight="1">
      <c r="A1062" s="293" t="s">
        <v>858</v>
      </c>
      <c r="B1062" s="293"/>
      <c r="C1062" s="293"/>
      <c r="D1062" s="293"/>
      <c r="E1062" s="293"/>
      <c r="F1062" s="287"/>
      <c r="G1062" s="288"/>
      <c r="H1062" s="289"/>
      <c r="I1062" s="308" t="s">
        <v>859</v>
      </c>
    </row>
    <row r="1063" ht="99.6" customHeight="1">
      <c r="A1063" s="291" t="s">
        <v>860</v>
      </c>
      <c r="B1063" s="291"/>
      <c r="C1063" s="291"/>
      <c r="D1063" s="291"/>
      <c r="E1063" s="291"/>
      <c r="F1063" s="291"/>
      <c r="G1063" s="291"/>
      <c r="H1063" s="291"/>
      <c r="I1063" s="308"/>
    </row>
    <row r="1064" ht="15.4" customHeight="1">
      <c r="A1064" s="293" t="s">
        <v>861</v>
      </c>
      <c r="B1064" s="293"/>
      <c r="C1064" s="293"/>
      <c r="D1064" s="293"/>
      <c r="E1064" s="293"/>
      <c r="F1064" s="287"/>
      <c r="G1064" s="288"/>
      <c r="H1064" s="289"/>
      <c r="I1064" s="308" t="s">
        <v>862</v>
      </c>
    </row>
    <row r="1065" ht="37.9" customHeight="1">
      <c r="A1065" s="291" t="s">
        <v>863</v>
      </c>
      <c r="B1065" s="291"/>
      <c r="C1065" s="291"/>
      <c r="D1065" s="291"/>
      <c r="E1065" s="291"/>
      <c r="F1065" s="291"/>
      <c r="G1065" s="291"/>
      <c r="H1065" s="291"/>
      <c r="I1065" s="308"/>
    </row>
    <row r="1066" ht="15.4" customHeight="1">
      <c r="A1066" s="293" t="s">
        <v>864</v>
      </c>
      <c r="B1066" s="293"/>
      <c r="C1066" s="293"/>
      <c r="D1066" s="293"/>
      <c r="E1066" s="293"/>
      <c r="F1066" s="287"/>
      <c r="G1066" s="288"/>
      <c r="H1066" s="289"/>
      <c r="I1066" s="308" t="s">
        <v>865</v>
      </c>
    </row>
    <row r="1067" ht="15.4" customHeight="1">
      <c r="A1067" s="9"/>
      <c r="B1067" s="44"/>
      <c r="C1067" s="44"/>
      <c r="D1067" s="9"/>
      <c r="E1067" s="9"/>
      <c r="F1067" s="9"/>
      <c r="H1067" s="9"/>
      <c r="I1067" s="308"/>
    </row>
    <row r="1068" ht="15.4" customHeight="1">
      <c r="A1068" s="9"/>
      <c r="B1068" s="158" t="s">
        <v>866</v>
      </c>
      <c r="C1068" s="158"/>
      <c r="D1068" s="158"/>
      <c r="E1068" s="9"/>
      <c r="F1068" s="9"/>
      <c r="H1068" s="9"/>
      <c r="I1068" s="308"/>
    </row>
    <row r="1069" ht="12.75" customHeight="1">
      <c r="A1069" s="281" t="s">
        <v>818</v>
      </c>
      <c r="B1069" s="281"/>
      <c r="C1069" s="281"/>
      <c r="D1069" s="281"/>
      <c r="E1069" s="281"/>
      <c r="F1069" s="282" t="s">
        <v>819</v>
      </c>
      <c r="G1069" s="282"/>
      <c r="H1069" s="282"/>
      <c r="I1069" s="308"/>
    </row>
    <row r="1070" ht="12.75" customHeight="1">
      <c r="A1070" s="281"/>
      <c r="B1070" s="281"/>
      <c r="C1070" s="281"/>
      <c r="D1070" s="281"/>
      <c r="E1070" s="281"/>
      <c r="F1070" s="283" t="s">
        <v>406</v>
      </c>
      <c r="G1070" s="284" t="s">
        <v>820</v>
      </c>
      <c r="H1070" s="285" t="s">
        <v>821</v>
      </c>
      <c r="I1070" s="308"/>
    </row>
    <row r="1071" ht="15.75" customHeight="1">
      <c r="A1071" s="293" t="s">
        <v>867</v>
      </c>
      <c r="B1071" s="293"/>
      <c r="C1071" s="293"/>
      <c r="D1071" s="293"/>
      <c r="E1071" s="293"/>
      <c r="F1071" s="287"/>
      <c r="G1071" s="288"/>
      <c r="H1071" s="289"/>
      <c r="I1071" s="308" t="s">
        <v>868</v>
      </c>
    </row>
    <row r="1072" ht="12.75" customHeight="1">
      <c r="A1072" s="291" t="s">
        <v>869</v>
      </c>
      <c r="B1072" s="291"/>
      <c r="C1072" s="291"/>
      <c r="D1072" s="291"/>
      <c r="E1072" s="291"/>
      <c r="F1072" s="291"/>
      <c r="G1072" s="291"/>
      <c r="H1072" s="291"/>
      <c r="I1072" s="308"/>
    </row>
    <row r="1073" ht="6" customHeight="1">
      <c r="A1073" s="309"/>
      <c r="B1073" s="309"/>
      <c r="C1073" s="309"/>
      <c r="D1073" s="309"/>
      <c r="E1073" s="309"/>
      <c r="F1073" s="309"/>
      <c r="G1073" s="309"/>
      <c r="H1073" s="309"/>
      <c r="I1073" s="308"/>
    </row>
    <row r="1074" ht="15.4" customHeight="1">
      <c r="A1074" s="293" t="s">
        <v>870</v>
      </c>
      <c r="B1074" s="293"/>
      <c r="C1074" s="293"/>
      <c r="D1074" s="293"/>
      <c r="E1074" s="293"/>
      <c r="F1074" s="287"/>
      <c r="G1074" s="288"/>
      <c r="H1074" s="289"/>
      <c r="I1074" s="308" t="s">
        <v>859</v>
      </c>
    </row>
    <row r="1075" ht="15.4" customHeight="1">
      <c r="A1075" s="310" t="s">
        <v>871</v>
      </c>
      <c r="B1075" s="310"/>
      <c r="C1075" s="310"/>
      <c r="D1075" s="310"/>
      <c r="E1075" s="310"/>
      <c r="F1075" s="287"/>
      <c r="G1075" s="288"/>
      <c r="H1075" s="289"/>
      <c r="I1075" s="308" t="s">
        <v>859</v>
      </c>
    </row>
    <row r="1076" ht="15.4" customHeight="1">
      <c r="A1076" s="341"/>
      <c r="B1076" s="315"/>
      <c r="C1076" s="353"/>
      <c r="D1076" s="353"/>
      <c r="E1076" s="353"/>
      <c r="F1076" s="371"/>
      <c r="G1076" s="371"/>
      <c r="H1076" s="371"/>
      <c r="I1076" s="371"/>
    </row>
    <row r="1077" ht="15.4" customHeight="1">
      <c r="A1077" s="160" t="s">
        <v>872</v>
      </c>
      <c r="B1077" s="160"/>
      <c r="C1077" s="160"/>
      <c r="D1077" s="371"/>
      <c r="E1077" s="371"/>
      <c r="F1077" s="371"/>
      <c r="G1077" s="371"/>
      <c r="H1077" s="371"/>
      <c r="I1077" s="371"/>
    </row>
    <row r="1078" ht="15.4" customHeight="1">
      <c r="A1078" s="341" t="s">
        <v>840</v>
      </c>
      <c r="B1078" s="140" t="s">
        <v>873</v>
      </c>
      <c r="C1078" s="140"/>
      <c r="D1078" s="140"/>
      <c r="E1078" s="140"/>
      <c r="F1078" s="140"/>
      <c r="G1078" s="371"/>
      <c r="H1078" s="371"/>
      <c r="I1078" s="371"/>
    </row>
    <row r="1079" ht="15.4" customHeight="1">
      <c r="A1079" s="341"/>
      <c r="B1079" s="140"/>
      <c r="C1079" s="140"/>
      <c r="D1079" s="140"/>
      <c r="E1079" s="140"/>
      <c r="F1079" s="140"/>
      <c r="G1079" s="196"/>
      <c r="H1079" s="196"/>
      <c r="I1079" s="371"/>
    </row>
    <row r="1080" ht="15.4" customHeight="1">
      <c r="A1080" s="341"/>
      <c r="B1080" s="371"/>
      <c r="C1080" s="371"/>
      <c r="D1080" s="371"/>
      <c r="E1080" s="371"/>
      <c r="F1080" s="371"/>
      <c r="G1080" s="371"/>
      <c r="H1080" s="371"/>
      <c r="I1080" s="371"/>
    </row>
    <row r="1081" ht="15.4" customHeight="1">
      <c r="A1081" s="341" t="s">
        <v>874</v>
      </c>
      <c r="B1081" s="140" t="s">
        <v>875</v>
      </c>
      <c r="C1081" s="140"/>
      <c r="D1081" s="140"/>
      <c r="E1081" s="140"/>
      <c r="F1081" s="140"/>
      <c r="G1081" s="141" t="s">
        <v>253</v>
      </c>
      <c r="H1081" s="141" t="s">
        <v>254</v>
      </c>
      <c r="I1081" s="371"/>
    </row>
    <row r="1082" ht="15.4" customHeight="1">
      <c r="A1082" s="341"/>
      <c r="B1082" s="140"/>
      <c r="C1082" s="140"/>
      <c r="D1082" s="140"/>
      <c r="E1082" s="140"/>
      <c r="F1082" s="140"/>
      <c r="G1082" s="274"/>
      <c r="H1082" s="142"/>
      <c r="I1082" s="371"/>
    </row>
    <row r="1083" ht="15.4" customHeight="1">
      <c r="A1083" s="341"/>
      <c r="B1083" s="144" t="s">
        <v>876</v>
      </c>
      <c r="C1083" s="144"/>
      <c r="D1083" s="144"/>
      <c r="E1083" s="144"/>
      <c r="F1083" s="144"/>
      <c r="G1083" s="144"/>
      <c r="H1083" s="144"/>
      <c r="I1083" s="371"/>
    </row>
    <row r="1084" ht="9" customHeight="1">
      <c r="A1084" s="341"/>
      <c r="B1084" s="371"/>
      <c r="C1084" s="371"/>
      <c r="D1084" s="371"/>
      <c r="E1084" s="371"/>
      <c r="F1084" s="371"/>
      <c r="G1084" s="371"/>
      <c r="H1084" s="371"/>
      <c r="I1084" s="371"/>
    </row>
    <row r="1085" ht="15.4" customHeight="1">
      <c r="A1085" s="160" t="s">
        <v>877</v>
      </c>
      <c r="B1085" s="160"/>
      <c r="C1085" s="160"/>
      <c r="D1085" s="371"/>
      <c r="E1085" s="371"/>
      <c r="F1085" s="371"/>
      <c r="G1085" s="371"/>
      <c r="H1085" s="371"/>
      <c r="I1085" s="371"/>
    </row>
    <row r="1086" ht="15.4" customHeight="1">
      <c r="A1086" s="341" t="s">
        <v>878</v>
      </c>
      <c r="B1086" s="137" t="s">
        <v>879</v>
      </c>
      <c r="C1086" s="137"/>
      <c r="D1086" s="137"/>
      <c r="E1086" s="137"/>
      <c r="F1086" s="137"/>
      <c r="G1086" s="137"/>
      <c r="H1086" s="371"/>
      <c r="I1086" s="371"/>
    </row>
    <row r="1087" ht="11.25" customHeight="1">
      <c r="A1087" s="341"/>
      <c r="B1087" s="315"/>
      <c r="C1087" s="353"/>
      <c r="D1087" s="353"/>
      <c r="E1087" s="353"/>
      <c r="F1087" s="274"/>
      <c r="G1087" s="371" t="s">
        <v>880</v>
      </c>
      <c r="H1087" s="371"/>
      <c r="I1087" s="371"/>
    </row>
    <row r="1088" ht="11.25" customHeight="1">
      <c r="A1088" s="341"/>
      <c r="B1088" s="315"/>
      <c r="C1088" s="353"/>
      <c r="D1088" s="353"/>
      <c r="E1088" s="353"/>
      <c r="F1088" s="274"/>
      <c r="G1088" s="371" t="s">
        <v>881</v>
      </c>
      <c r="H1088" s="371"/>
      <c r="I1088" s="371"/>
    </row>
    <row r="1089" ht="11.25" customHeight="1">
      <c r="A1089" s="341"/>
      <c r="B1089" s="315"/>
      <c r="C1089" s="353"/>
      <c r="D1089" s="353"/>
      <c r="E1089" s="353"/>
      <c r="F1089" s="274"/>
      <c r="G1089" s="371" t="s">
        <v>882</v>
      </c>
      <c r="H1089" s="371"/>
      <c r="I1089" s="371"/>
    </row>
    <row r="1090" ht="11.25" customHeight="1">
      <c r="A1090" s="341"/>
      <c r="B1090" s="315"/>
      <c r="C1090" s="353"/>
      <c r="D1090" s="353"/>
      <c r="E1090" s="353"/>
      <c r="F1090" s="274"/>
      <c r="G1090" s="371" t="s">
        <v>883</v>
      </c>
      <c r="H1090" s="371"/>
      <c r="I1090" s="371"/>
    </row>
    <row r="1091" ht="9.75" customHeight="1">
      <c r="A1091" s="371"/>
      <c r="B1091" s="371"/>
      <c r="C1091" s="353"/>
      <c r="D1091" s="353"/>
      <c r="E1091" s="353"/>
      <c r="F1091" s="371"/>
      <c r="I1091" s="371"/>
    </row>
    <row r="1092" ht="15.4" customHeight="1">
      <c r="A1092" s="341" t="s">
        <v>878</v>
      </c>
      <c r="B1092" s="353" t="s">
        <v>884</v>
      </c>
      <c r="C1092" s="353"/>
      <c r="D1092" s="353"/>
      <c r="E1092" s="353"/>
      <c r="F1092" s="371"/>
      <c r="G1092" s="141" t="s">
        <v>253</v>
      </c>
      <c r="H1092" s="141" t="s">
        <v>254</v>
      </c>
      <c r="I1092" s="371"/>
    </row>
    <row r="1093" ht="15.4" customHeight="1">
      <c r="A1093" s="341"/>
      <c r="B1093" s="252" t="s">
        <v>885</v>
      </c>
      <c r="C1093" s="353"/>
      <c r="D1093" s="353"/>
      <c r="E1093" s="353"/>
      <c r="F1093" s="371"/>
      <c r="G1093" s="274"/>
      <c r="H1093" s="142"/>
      <c r="I1093" s="371"/>
    </row>
    <row r="1094" ht="10.5" customHeight="1">
      <c r="A1094" s="341"/>
      <c r="B1094" s="315"/>
      <c r="C1094" s="353"/>
      <c r="D1094" s="353"/>
      <c r="E1094" s="353"/>
      <c r="F1094" s="371"/>
      <c r="G1094" s="371"/>
      <c r="H1094" s="371"/>
      <c r="I1094" s="371"/>
    </row>
    <row r="1095" ht="15.4" customHeight="1">
      <c r="A1095" s="341" t="s">
        <v>878</v>
      </c>
      <c r="B1095" s="140" t="s">
        <v>886</v>
      </c>
      <c r="C1095" s="140"/>
      <c r="D1095" s="140"/>
      <c r="E1095" s="140"/>
      <c r="F1095" s="140"/>
      <c r="G1095" s="141" t="s">
        <v>253</v>
      </c>
      <c r="H1095" s="141" t="s">
        <v>254</v>
      </c>
      <c r="I1095" s="371"/>
    </row>
    <row r="1096" ht="15.4" customHeight="1">
      <c r="A1096" s="341"/>
      <c r="B1096" s="140"/>
      <c r="C1096" s="140"/>
      <c r="D1096" s="140"/>
      <c r="E1096" s="140"/>
      <c r="F1096" s="140"/>
      <c r="G1096" s="274"/>
      <c r="H1096" s="142"/>
      <c r="I1096" s="371"/>
    </row>
    <row r="1097" ht="15.4" customHeight="1">
      <c r="A1097" s="341"/>
      <c r="B1097" s="311" t="s">
        <v>887</v>
      </c>
      <c r="C1097" s="361"/>
      <c r="D1097" s="361"/>
      <c r="E1097" s="361"/>
      <c r="F1097" s="361"/>
      <c r="G1097" s="361"/>
      <c r="H1097" s="361"/>
      <c r="I1097" s="371"/>
    </row>
    <row r="1098" ht="9" customHeight="1">
      <c r="A1098" s="341"/>
      <c r="B1098" s="353"/>
      <c r="C1098" s="353"/>
      <c r="D1098" s="353"/>
      <c r="E1098" s="353"/>
      <c r="F1098" s="371"/>
      <c r="G1098" s="371"/>
      <c r="H1098" s="371"/>
      <c r="I1098" s="371"/>
    </row>
    <row r="1099" ht="15.4" customHeight="1">
      <c r="A1099" s="341" t="s">
        <v>878</v>
      </c>
      <c r="B1099" s="181" t="s">
        <v>888</v>
      </c>
      <c r="C1099" s="181"/>
      <c r="D1099" s="181"/>
      <c r="E1099" s="181"/>
      <c r="F1099" s="181"/>
      <c r="G1099" s="274"/>
      <c r="H1099" s="371" t="s">
        <v>889</v>
      </c>
      <c r="I1099" s="371"/>
    </row>
    <row r="1100" ht="15.4" customHeight="1">
      <c r="A1100" s="341"/>
      <c r="B1100" s="252" t="s">
        <v>890</v>
      </c>
      <c r="C1100" s="312"/>
      <c r="D1100" s="145"/>
      <c r="E1100" s="313"/>
      <c r="F1100" s="371"/>
      <c r="G1100" s="274"/>
      <c r="H1100" s="371" t="s">
        <v>891</v>
      </c>
      <c r="I1100" s="371"/>
    </row>
    <row r="1101" ht="15.4" customHeight="1">
      <c r="A1101" s="341"/>
      <c r="B1101" s="252" t="s">
        <v>892</v>
      </c>
      <c r="C1101" s="312"/>
      <c r="D1101" s="145"/>
      <c r="E1101" s="313"/>
      <c r="F1101" s="371"/>
      <c r="G1101" s="274"/>
      <c r="H1101" s="371" t="s">
        <v>893</v>
      </c>
      <c r="I1101" s="371"/>
    </row>
    <row r="1102" ht="15.4" customHeight="1">
      <c r="A1102" s="341"/>
      <c r="B1102" s="252" t="s">
        <v>894</v>
      </c>
      <c r="C1102" s="264"/>
      <c r="D1102" s="145"/>
      <c r="E1102" s="313"/>
      <c r="F1102" s="371"/>
      <c r="G1102" s="371"/>
      <c r="H1102" s="371"/>
      <c r="I1102" s="371"/>
    </row>
    <row r="1103" ht="15.4" customHeight="1">
      <c r="A1103" s="341"/>
      <c r="B1103" s="314"/>
      <c r="C1103" s="371"/>
      <c r="D1103" s="371"/>
      <c r="E1103" s="371"/>
      <c r="F1103" s="371"/>
      <c r="G1103" s="141" t="s">
        <v>253</v>
      </c>
      <c r="H1103" s="141" t="s">
        <v>254</v>
      </c>
      <c r="I1103" s="371"/>
    </row>
    <row r="1104" ht="15.4" customHeight="1">
      <c r="A1104" s="341" t="s">
        <v>791</v>
      </c>
      <c r="B1104" s="181" t="s">
        <v>895</v>
      </c>
      <c r="C1104" s="181"/>
      <c r="D1104" s="181"/>
      <c r="E1104" s="181"/>
      <c r="F1104" s="181"/>
      <c r="G1104" s="274"/>
      <c r="H1104" s="142"/>
      <c r="I1104" s="371"/>
    </row>
    <row r="1105" ht="29.45" customHeight="1">
      <c r="A1105" s="160" t="s">
        <v>896</v>
      </c>
      <c r="B1105" s="160"/>
      <c r="C1105" s="160"/>
      <c r="D1105" s="315"/>
      <c r="E1105" s="316" t="s">
        <v>897</v>
      </c>
      <c r="F1105" s="316"/>
      <c r="G1105" s="317" t="s">
        <v>898</v>
      </c>
      <c r="H1105" s="318" t="s">
        <v>899</v>
      </c>
      <c r="I1105" s="318"/>
    </row>
    <row r="1106" ht="12.2" customHeight="1">
      <c r="A1106" s="357"/>
      <c r="B1106" s="315"/>
      <c r="C1106" s="315"/>
      <c r="D1106" s="315"/>
      <c r="E1106" s="371"/>
      <c r="F1106" s="371"/>
      <c r="G1106" s="319" t="s">
        <v>900</v>
      </c>
      <c r="H1106" s="320" t="s">
        <v>900</v>
      </c>
      <c r="I1106" s="320"/>
    </row>
    <row r="1107" ht="12.2" customHeight="1">
      <c r="A1107" s="321" t="s">
        <v>901</v>
      </c>
      <c r="B1107" s="321"/>
      <c r="C1107" s="321"/>
      <c r="D1107" s="321"/>
      <c r="E1107" s="321"/>
      <c r="F1107" s="321"/>
      <c r="G1107" s="322"/>
      <c r="H1107" s="323"/>
      <c r="I1107" s="323"/>
    </row>
    <row r="1108" ht="12.2" customHeight="1">
      <c r="A1108" s="324" t="s">
        <v>902</v>
      </c>
      <c r="B1108" s="324"/>
      <c r="C1108" s="324"/>
      <c r="D1108" s="324"/>
      <c r="E1108" s="324"/>
      <c r="F1108" s="324"/>
      <c r="G1108" s="250"/>
      <c r="H1108" s="325"/>
      <c r="I1108" s="325"/>
    </row>
    <row r="1109" ht="12.2" customHeight="1">
      <c r="A1109" s="324" t="s">
        <v>903</v>
      </c>
      <c r="B1109" s="324"/>
      <c r="C1109" s="324"/>
      <c r="D1109" s="324"/>
      <c r="E1109" s="324"/>
      <c r="F1109" s="324"/>
      <c r="G1109" s="250"/>
      <c r="H1109" s="325"/>
      <c r="I1109" s="325"/>
    </row>
    <row r="1110" ht="12.2" customHeight="1">
      <c r="A1110" s="324" t="s">
        <v>904</v>
      </c>
      <c r="B1110" s="324"/>
      <c r="C1110" s="324"/>
      <c r="D1110" s="324"/>
      <c r="E1110" s="324"/>
      <c r="F1110" s="324"/>
      <c r="G1110" s="250"/>
      <c r="H1110" s="325"/>
      <c r="I1110" s="325"/>
    </row>
    <row r="1111" ht="12.2" customHeight="1">
      <c r="A1111" s="324" t="s">
        <v>905</v>
      </c>
      <c r="B1111" s="324"/>
      <c r="C1111" s="324"/>
      <c r="D1111" s="324"/>
      <c r="E1111" s="324"/>
      <c r="F1111" s="324"/>
      <c r="G1111" s="250"/>
      <c r="H1111" s="325"/>
      <c r="I1111" s="325"/>
    </row>
    <row r="1112" ht="12.2" customHeight="1">
      <c r="A1112" s="326" t="s">
        <v>906</v>
      </c>
      <c r="B1112" s="326"/>
      <c r="C1112" s="326"/>
      <c r="D1112" s="326"/>
      <c r="E1112" s="326"/>
      <c r="F1112" s="326"/>
      <c r="G1112" s="327"/>
      <c r="H1112" s="328"/>
      <c r="I1112" s="328"/>
    </row>
    <row r="1113" ht="12.2" customHeight="1">
      <c r="A1113" s="326"/>
      <c r="B1113" s="326"/>
      <c r="C1113" s="326"/>
      <c r="D1113" s="326"/>
      <c r="E1113" s="326"/>
      <c r="F1113" s="326"/>
      <c r="G1113" s="327"/>
      <c r="H1113" s="96"/>
      <c r="I1113" s="329"/>
    </row>
    <row r="1114" ht="12.2" customHeight="1">
      <c r="A1114" s="324" t="s">
        <v>907</v>
      </c>
      <c r="B1114" s="324"/>
      <c r="C1114" s="324"/>
      <c r="D1114" s="324"/>
      <c r="E1114" s="324"/>
      <c r="F1114" s="324"/>
      <c r="G1114" s="250"/>
      <c r="H1114" s="153"/>
      <c r="I1114" s="330"/>
    </row>
    <row r="1115" ht="12.2" customHeight="1">
      <c r="A1115" s="324" t="s">
        <v>908</v>
      </c>
      <c r="B1115" s="324"/>
      <c r="C1115" s="324"/>
      <c r="D1115" s="324"/>
      <c r="E1115" s="324"/>
      <c r="F1115" s="324"/>
      <c r="G1115" s="250"/>
      <c r="H1115" s="153"/>
      <c r="I1115" s="330"/>
    </row>
    <row r="1116" ht="12.2" customHeight="1">
      <c r="A1116" s="324" t="s">
        <v>909</v>
      </c>
      <c r="B1116" s="324"/>
      <c r="C1116" s="324"/>
      <c r="D1116" s="324"/>
      <c r="E1116" s="324"/>
      <c r="F1116" s="324"/>
      <c r="G1116" s="250"/>
      <c r="H1116" s="153"/>
      <c r="I1116" s="330"/>
    </row>
    <row r="1117" ht="12.2" customHeight="1">
      <c r="A1117" s="324" t="s">
        <v>909</v>
      </c>
      <c r="B1117" s="324"/>
      <c r="C1117" s="324"/>
      <c r="D1117" s="324"/>
      <c r="E1117" s="324"/>
      <c r="F1117" s="324"/>
      <c r="G1117" s="250"/>
      <c r="H1117" s="153"/>
      <c r="I1117" s="330"/>
    </row>
    <row r="1118" ht="12.2" customHeight="1">
      <c r="A1118" s="321" t="s">
        <v>910</v>
      </c>
      <c r="B1118" s="321"/>
      <c r="C1118" s="321"/>
      <c r="D1118" s="321"/>
      <c r="E1118" s="321"/>
      <c r="F1118" s="321"/>
      <c r="G1118" s="322"/>
      <c r="H1118" s="323"/>
      <c r="I1118" s="323"/>
    </row>
    <row r="1119" ht="12.2" customHeight="1">
      <c r="A1119" s="324" t="s">
        <v>911</v>
      </c>
      <c r="B1119" s="324"/>
      <c r="C1119" s="324"/>
      <c r="D1119" s="324"/>
      <c r="E1119" s="324"/>
      <c r="F1119" s="324"/>
      <c r="G1119" s="250"/>
      <c r="H1119" s="153"/>
      <c r="I1119" s="330"/>
    </row>
    <row r="1120" ht="12.2" customHeight="1">
      <c r="A1120" s="324" t="s">
        <v>912</v>
      </c>
      <c r="B1120" s="324"/>
      <c r="C1120" s="324"/>
      <c r="D1120" s="324"/>
      <c r="E1120" s="324"/>
      <c r="F1120" s="324"/>
      <c r="G1120" s="250"/>
      <c r="H1120" s="153"/>
      <c r="I1120" s="330"/>
    </row>
    <row r="1121" ht="12.2" customHeight="1">
      <c r="A1121" s="324" t="s">
        <v>913</v>
      </c>
      <c r="B1121" s="324"/>
      <c r="C1121" s="324"/>
      <c r="D1121" s="324"/>
      <c r="E1121" s="324"/>
      <c r="F1121" s="324"/>
      <c r="G1121" s="250"/>
      <c r="H1121" s="153"/>
      <c r="I1121" s="330"/>
    </row>
    <row r="1122" ht="12.2" customHeight="1">
      <c r="A1122" s="321" t="s">
        <v>914</v>
      </c>
      <c r="B1122" s="321"/>
      <c r="C1122" s="321"/>
      <c r="D1122" s="321"/>
      <c r="E1122" s="321"/>
      <c r="F1122" s="321"/>
      <c r="G1122" s="322"/>
      <c r="H1122" s="323"/>
      <c r="I1122" s="323"/>
    </row>
    <row r="1123" ht="12.2" customHeight="1">
      <c r="A1123" s="324" t="s">
        <v>915</v>
      </c>
      <c r="B1123" s="324"/>
      <c r="C1123" s="324"/>
      <c r="D1123" s="324"/>
      <c r="E1123" s="324"/>
      <c r="F1123" s="324"/>
      <c r="G1123" s="250"/>
      <c r="H1123" s="153"/>
      <c r="I1123" s="330"/>
    </row>
    <row r="1124" ht="12.2" customHeight="1">
      <c r="A1124" s="324" t="s">
        <v>916</v>
      </c>
      <c r="B1124" s="324"/>
      <c r="C1124" s="324"/>
      <c r="D1124" s="324"/>
      <c r="E1124" s="324"/>
      <c r="F1124" s="324"/>
      <c r="G1124" s="250"/>
      <c r="H1124" s="153"/>
      <c r="I1124" s="330"/>
    </row>
    <row r="1125" ht="12.2" customHeight="1">
      <c r="A1125" s="324" t="s">
        <v>917</v>
      </c>
      <c r="B1125" s="324"/>
      <c r="C1125" s="324"/>
      <c r="D1125" s="324"/>
      <c r="E1125" s="324"/>
      <c r="F1125" s="324"/>
      <c r="G1125" s="250"/>
      <c r="H1125" s="153"/>
      <c r="I1125" s="330"/>
    </row>
    <row r="1126" ht="12.2" customHeight="1">
      <c r="A1126" s="321" t="s">
        <v>918</v>
      </c>
      <c r="B1126" s="321"/>
      <c r="C1126" s="321"/>
      <c r="D1126" s="321"/>
      <c r="E1126" s="321"/>
      <c r="F1126" s="321"/>
      <c r="G1126" s="322"/>
      <c r="H1126" s="323"/>
      <c r="I1126" s="323"/>
    </row>
    <row r="1127" ht="12.2" customHeight="1">
      <c r="A1127" s="324" t="s">
        <v>919</v>
      </c>
      <c r="B1127" s="324"/>
      <c r="C1127" s="324"/>
      <c r="D1127" s="324"/>
      <c r="E1127" s="324"/>
      <c r="F1127" s="324"/>
      <c r="G1127" s="250"/>
      <c r="H1127" s="153"/>
      <c r="I1127" s="330"/>
    </row>
    <row r="1128" ht="12.2" customHeight="1">
      <c r="A1128" s="324" t="s">
        <v>920</v>
      </c>
      <c r="B1128" s="324"/>
      <c r="C1128" s="324"/>
      <c r="D1128" s="324"/>
      <c r="E1128" s="324"/>
      <c r="F1128" s="324"/>
      <c r="G1128" s="250"/>
      <c r="H1128" s="153"/>
      <c r="I1128" s="330"/>
    </row>
    <row r="1129" ht="12.2" customHeight="1">
      <c r="A1129" s="324" t="s">
        <v>921</v>
      </c>
      <c r="B1129" s="324"/>
      <c r="C1129" s="324"/>
      <c r="D1129" s="324"/>
      <c r="E1129" s="324"/>
      <c r="F1129" s="324"/>
      <c r="G1129" s="250"/>
      <c r="H1129" s="153"/>
      <c r="I1129" s="330"/>
    </row>
    <row r="1130" ht="12.2" customHeight="1">
      <c r="A1130" s="324" t="s">
        <v>922</v>
      </c>
      <c r="B1130" s="324"/>
      <c r="C1130" s="324"/>
      <c r="D1130" s="324"/>
      <c r="E1130" s="324"/>
      <c r="F1130" s="324"/>
      <c r="G1130" s="250"/>
      <c r="H1130" s="153"/>
      <c r="I1130" s="330"/>
    </row>
    <row r="1131" ht="12.2" customHeight="1">
      <c r="A1131" s="324" t="s">
        <v>923</v>
      </c>
      <c r="B1131" s="324"/>
      <c r="C1131" s="324"/>
      <c r="D1131" s="324"/>
      <c r="E1131" s="324"/>
      <c r="F1131" s="324"/>
      <c r="G1131" s="250"/>
      <c r="H1131" s="153"/>
      <c r="I1131" s="330"/>
    </row>
    <row r="1132" ht="12.2" customHeight="1">
      <c r="A1132" s="324" t="s">
        <v>924</v>
      </c>
      <c r="B1132" s="324"/>
      <c r="C1132" s="324"/>
      <c r="D1132" s="324"/>
      <c r="E1132" s="324"/>
      <c r="F1132" s="324"/>
      <c r="G1132" s="250"/>
      <c r="H1132" s="153"/>
      <c r="I1132" s="330"/>
    </row>
    <row r="1133" ht="12.2" customHeight="1">
      <c r="A1133" s="324" t="s">
        <v>925</v>
      </c>
      <c r="B1133" s="324"/>
      <c r="C1133" s="324"/>
      <c r="D1133" s="324"/>
      <c r="E1133" s="324"/>
      <c r="F1133" s="324"/>
      <c r="G1133" s="250"/>
      <c r="H1133" s="153"/>
      <c r="I1133" s="330"/>
    </row>
    <row r="1134" ht="12.2" customHeight="1">
      <c r="A1134" s="331" t="s">
        <v>926</v>
      </c>
      <c r="B1134" s="331"/>
      <c r="C1134" s="331"/>
      <c r="D1134" s="331"/>
      <c r="E1134" s="331"/>
      <c r="F1134" s="331"/>
      <c r="G1134" s="332"/>
      <c r="H1134" s="333"/>
      <c r="I1134" s="334"/>
    </row>
    <row r="1135" ht="12.2" customHeight="1">
      <c r="A1135" s="321" t="s">
        <v>927</v>
      </c>
      <c r="B1135" s="321"/>
      <c r="C1135" s="321"/>
      <c r="D1135" s="321"/>
      <c r="E1135" s="321"/>
      <c r="F1135" s="321"/>
      <c r="G1135" s="322"/>
      <c r="H1135" s="323"/>
      <c r="I1135" s="323"/>
    </row>
    <row r="1136" ht="12.2" customHeight="1">
      <c r="A1136" s="324" t="s">
        <v>928</v>
      </c>
      <c r="B1136" s="324"/>
      <c r="C1136" s="324"/>
      <c r="D1136" s="324"/>
      <c r="E1136" s="324"/>
      <c r="F1136" s="324"/>
      <c r="G1136" s="250"/>
      <c r="H1136" s="153"/>
      <c r="I1136" s="330"/>
    </row>
    <row r="1137" ht="12.2" customHeight="1">
      <c r="A1137" s="324" t="s">
        <v>929</v>
      </c>
      <c r="B1137" s="324"/>
      <c r="C1137" s="324"/>
      <c r="D1137" s="324"/>
      <c r="E1137" s="324"/>
      <c r="F1137" s="324"/>
      <c r="G1137" s="250"/>
      <c r="H1137" s="153"/>
      <c r="I1137" s="330"/>
    </row>
    <row r="1138" ht="12.2" customHeight="1">
      <c r="A1138" s="331" t="s">
        <v>930</v>
      </c>
      <c r="B1138" s="331"/>
      <c r="C1138" s="331"/>
      <c r="D1138" s="331"/>
      <c r="E1138" s="331"/>
      <c r="F1138" s="331"/>
      <c r="G1138" s="332"/>
      <c r="H1138" s="333"/>
      <c r="I1138" s="334"/>
    </row>
    <row r="1139" ht="12.2" customHeight="1">
      <c r="A1139" s="321" t="s">
        <v>931</v>
      </c>
      <c r="B1139" s="321"/>
      <c r="C1139" s="321"/>
      <c r="D1139" s="321"/>
      <c r="E1139" s="321"/>
      <c r="F1139" s="321"/>
      <c r="G1139" s="322"/>
      <c r="H1139" s="323"/>
      <c r="I1139" s="323"/>
    </row>
    <row r="1140" ht="12.2" customHeight="1">
      <c r="A1140" s="324" t="s">
        <v>928</v>
      </c>
      <c r="B1140" s="324"/>
      <c r="C1140" s="324"/>
      <c r="D1140" s="324"/>
      <c r="E1140" s="324"/>
      <c r="F1140" s="324"/>
      <c r="G1140" s="250"/>
      <c r="H1140" s="153"/>
      <c r="I1140" s="330"/>
    </row>
    <row r="1141" ht="12.2" customHeight="1">
      <c r="A1141" s="331" t="s">
        <v>932</v>
      </c>
      <c r="B1141" s="331"/>
      <c r="C1141" s="331"/>
      <c r="D1141" s="331"/>
      <c r="E1141" s="331"/>
      <c r="F1141" s="331"/>
      <c r="G1141" s="332"/>
      <c r="H1141" s="333"/>
      <c r="I1141" s="334"/>
    </row>
    <row r="1142" ht="12.2" customHeight="1">
      <c r="A1142" s="321" t="s">
        <v>933</v>
      </c>
      <c r="B1142" s="321"/>
      <c r="C1142" s="321"/>
      <c r="D1142" s="321"/>
      <c r="E1142" s="321"/>
      <c r="F1142" s="321"/>
      <c r="G1142" s="322"/>
      <c r="H1142" s="323"/>
      <c r="I1142" s="323"/>
    </row>
    <row r="1143" ht="12.2" customHeight="1">
      <c r="A1143" s="324" t="s">
        <v>934</v>
      </c>
      <c r="B1143" s="324"/>
      <c r="C1143" s="324"/>
      <c r="D1143" s="324"/>
      <c r="E1143" s="324"/>
      <c r="F1143" s="324"/>
      <c r="G1143" s="250"/>
      <c r="H1143" s="153"/>
      <c r="I1143" s="330"/>
    </row>
    <row r="1144" ht="12.2" customHeight="1">
      <c r="A1144" s="324" t="s">
        <v>929</v>
      </c>
      <c r="B1144" s="324"/>
      <c r="C1144" s="324"/>
      <c r="D1144" s="324"/>
      <c r="E1144" s="324"/>
      <c r="F1144" s="324"/>
      <c r="G1144" s="250"/>
      <c r="H1144" s="153"/>
      <c r="I1144" s="330"/>
    </row>
    <row r="1145" ht="12.2" customHeight="1">
      <c r="A1145" s="324" t="s">
        <v>930</v>
      </c>
      <c r="B1145" s="324"/>
      <c r="C1145" s="324"/>
      <c r="D1145" s="324"/>
      <c r="E1145" s="324"/>
      <c r="F1145" s="324"/>
      <c r="G1145" s="250"/>
      <c r="H1145" s="153"/>
      <c r="I1145" s="330"/>
    </row>
    <row r="1146" ht="12.2" customHeight="1">
      <c r="A1146" s="331" t="s">
        <v>932</v>
      </c>
      <c r="B1146" s="331"/>
      <c r="C1146" s="331"/>
      <c r="D1146" s="331"/>
      <c r="E1146" s="331"/>
      <c r="F1146" s="331"/>
      <c r="G1146" s="332"/>
      <c r="H1146" s="333"/>
      <c r="I1146" s="334"/>
    </row>
    <row r="1147" ht="12.2" customHeight="1">
      <c r="A1147" s="321" t="s">
        <v>935</v>
      </c>
      <c r="B1147" s="321"/>
      <c r="C1147" s="321"/>
      <c r="D1147" s="321"/>
      <c r="E1147" s="321"/>
      <c r="F1147" s="321"/>
      <c r="G1147" s="322"/>
      <c r="H1147" s="323"/>
      <c r="I1147" s="323"/>
    </row>
    <row r="1148" ht="12.2" customHeight="1">
      <c r="A1148" s="324" t="s">
        <v>934</v>
      </c>
      <c r="B1148" s="324"/>
      <c r="C1148" s="324"/>
      <c r="D1148" s="324"/>
      <c r="E1148" s="324"/>
      <c r="F1148" s="324"/>
      <c r="G1148" s="250"/>
      <c r="H1148" s="153"/>
      <c r="I1148" s="330"/>
    </row>
    <row r="1149" ht="12.2" customHeight="1">
      <c r="A1149" s="324" t="s">
        <v>929</v>
      </c>
      <c r="B1149" s="324"/>
      <c r="C1149" s="324"/>
      <c r="D1149" s="324"/>
      <c r="E1149" s="324"/>
      <c r="F1149" s="324"/>
      <c r="G1149" s="250"/>
      <c r="H1149" s="153"/>
      <c r="I1149" s="330"/>
    </row>
    <row r="1150" ht="12.2" customHeight="1">
      <c r="A1150" s="324" t="s">
        <v>930</v>
      </c>
      <c r="B1150" s="324"/>
      <c r="C1150" s="324"/>
      <c r="D1150" s="324"/>
      <c r="E1150" s="324"/>
      <c r="F1150" s="324"/>
      <c r="G1150" s="250"/>
      <c r="H1150" s="153"/>
      <c r="I1150" s="330"/>
    </row>
    <row r="1151" ht="12.2" customHeight="1">
      <c r="A1151" s="331" t="s">
        <v>932</v>
      </c>
      <c r="B1151" s="331"/>
      <c r="C1151" s="331"/>
      <c r="D1151" s="331"/>
      <c r="E1151" s="331"/>
      <c r="F1151" s="331"/>
      <c r="G1151" s="332"/>
      <c r="H1151" s="333"/>
      <c r="I1151" s="334"/>
    </row>
    <row r="1152" ht="12.2" customHeight="1">
      <c r="A1152" s="321" t="s">
        <v>936</v>
      </c>
      <c r="B1152" s="321"/>
      <c r="C1152" s="321"/>
      <c r="D1152" s="321"/>
      <c r="E1152" s="321"/>
      <c r="F1152" s="321"/>
      <c r="G1152" s="322"/>
      <c r="H1152" s="323"/>
      <c r="I1152" s="323"/>
    </row>
    <row r="1153" ht="12.2" customHeight="1">
      <c r="A1153" s="324" t="s">
        <v>928</v>
      </c>
      <c r="B1153" s="324"/>
      <c r="C1153" s="324"/>
      <c r="D1153" s="324"/>
      <c r="E1153" s="324"/>
      <c r="F1153" s="324"/>
      <c r="G1153" s="250"/>
      <c r="H1153" s="153"/>
      <c r="I1153" s="330"/>
    </row>
    <row r="1154" ht="12.2" customHeight="1">
      <c r="A1154" s="331" t="s">
        <v>932</v>
      </c>
      <c r="B1154" s="331"/>
      <c r="C1154" s="331"/>
      <c r="D1154" s="331"/>
      <c r="E1154" s="331"/>
      <c r="F1154" s="331"/>
      <c r="G1154" s="332"/>
      <c r="H1154" s="333"/>
      <c r="I1154" s="334"/>
    </row>
    <row r="1155" ht="12.2" customHeight="1">
      <c r="A1155" s="321" t="s">
        <v>937</v>
      </c>
      <c r="B1155" s="321"/>
      <c r="C1155" s="321"/>
      <c r="D1155" s="321"/>
      <c r="E1155" s="321"/>
      <c r="F1155" s="321"/>
      <c r="G1155" s="322"/>
      <c r="H1155" s="323"/>
      <c r="I1155" s="323"/>
    </row>
    <row r="1156" ht="12.2" customHeight="1">
      <c r="A1156" s="324" t="s">
        <v>928</v>
      </c>
      <c r="B1156" s="324"/>
      <c r="C1156" s="324"/>
      <c r="D1156" s="324"/>
      <c r="E1156" s="324"/>
      <c r="F1156" s="324"/>
      <c r="G1156" s="250"/>
      <c r="H1156" s="153"/>
      <c r="I1156" s="330"/>
    </row>
    <row r="1157" ht="12.2" customHeight="1">
      <c r="A1157" s="324" t="s">
        <v>938</v>
      </c>
      <c r="B1157" s="324"/>
      <c r="C1157" s="324"/>
      <c r="D1157" s="324"/>
      <c r="E1157" s="324"/>
      <c r="F1157" s="324"/>
      <c r="G1157" s="250"/>
      <c r="H1157" s="153"/>
      <c r="I1157" s="330"/>
    </row>
    <row r="1158" ht="12.2" customHeight="1">
      <c r="A1158" s="331" t="s">
        <v>932</v>
      </c>
      <c r="B1158" s="331"/>
      <c r="C1158" s="331"/>
      <c r="D1158" s="331"/>
      <c r="E1158" s="331"/>
      <c r="F1158" s="331"/>
      <c r="G1158" s="332"/>
      <c r="H1158" s="333"/>
      <c r="I1158" s="334"/>
    </row>
    <row r="1159" ht="12.2" customHeight="1">
      <c r="A1159" s="321" t="s">
        <v>939</v>
      </c>
      <c r="B1159" s="321"/>
      <c r="C1159" s="321"/>
      <c r="D1159" s="321"/>
      <c r="E1159" s="321"/>
      <c r="F1159" s="321"/>
      <c r="G1159" s="322"/>
      <c r="H1159" s="323"/>
      <c r="I1159" s="323"/>
    </row>
    <row r="1160" ht="12.2" customHeight="1">
      <c r="A1160" s="324" t="s">
        <v>940</v>
      </c>
      <c r="B1160" s="324"/>
      <c r="C1160" s="324"/>
      <c r="D1160" s="324"/>
      <c r="E1160" s="324"/>
      <c r="F1160" s="324"/>
      <c r="G1160" s="250"/>
      <c r="H1160" s="153"/>
      <c r="I1160" s="330"/>
    </row>
    <row r="1161" ht="12.2" customHeight="1">
      <c r="A1161" s="331" t="s">
        <v>941</v>
      </c>
      <c r="B1161" s="331"/>
      <c r="C1161" s="331"/>
      <c r="D1161" s="331"/>
      <c r="E1161" s="331"/>
      <c r="F1161" s="331"/>
      <c r="G1161" s="332"/>
      <c r="H1161" s="333"/>
      <c r="I1161" s="334"/>
    </row>
    <row r="1162" ht="12.2" customHeight="1">
      <c r="A1162" s="321" t="s">
        <v>942</v>
      </c>
      <c r="B1162" s="321"/>
      <c r="C1162" s="321"/>
      <c r="D1162" s="321"/>
      <c r="E1162" s="321"/>
      <c r="F1162" s="321"/>
      <c r="G1162" s="322"/>
      <c r="H1162" s="323"/>
      <c r="I1162" s="323"/>
    </row>
    <row r="1163" ht="12.2" customHeight="1">
      <c r="A1163" s="324" t="s">
        <v>943</v>
      </c>
      <c r="B1163" s="324"/>
      <c r="C1163" s="324"/>
      <c r="D1163" s="324"/>
      <c r="E1163" s="324"/>
      <c r="F1163" s="324"/>
      <c r="G1163" s="250"/>
      <c r="H1163" s="153"/>
      <c r="I1163" s="330"/>
    </row>
    <row r="1164" ht="12.2" customHeight="1">
      <c r="A1164" s="331" t="s">
        <v>944</v>
      </c>
      <c r="B1164" s="331"/>
      <c r="C1164" s="331"/>
      <c r="D1164" s="331"/>
      <c r="E1164" s="331"/>
      <c r="F1164" s="331"/>
      <c r="G1164" s="332"/>
      <c r="H1164" s="333"/>
      <c r="I1164" s="334"/>
    </row>
    <row r="1165" ht="15.4" customHeight="1">
      <c r="A1165" s="341" t="s">
        <v>945</v>
      </c>
      <c r="B1165" s="145" t="s">
        <v>946</v>
      </c>
      <c r="C1165" s="145"/>
      <c r="D1165" s="145"/>
      <c r="E1165" s="145"/>
      <c r="F1165" s="145"/>
      <c r="G1165" s="196"/>
      <c r="H1165" s="196"/>
      <c r="I1165" s="371"/>
    </row>
    <row r="1166" ht="15.4" customHeight="1">
      <c r="A1166" s="341"/>
      <c r="B1166" s="214" t="s">
        <v>947</v>
      </c>
      <c r="C1166" s="371"/>
      <c r="D1166" s="149"/>
      <c r="E1166" s="149"/>
      <c r="F1166" s="149"/>
      <c r="G1166" s="149"/>
      <c r="H1166" s="196"/>
      <c r="I1166" s="371"/>
    </row>
    <row r="1167" ht="15.4" customHeight="1">
      <c r="A1167" s="341"/>
      <c r="B1167" s="353"/>
      <c r="C1167" s="315"/>
      <c r="D1167" s="335"/>
      <c r="E1167" s="335"/>
      <c r="F1167" s="335"/>
      <c r="G1167" s="371"/>
      <c r="H1167" s="371"/>
      <c r="I1167" s="371"/>
    </row>
    <row r="1168" ht="15.4" customHeight="1">
      <c r="A1168" s="341"/>
      <c r="B1168" s="140" t="s">
        <v>948</v>
      </c>
      <c r="C1168" s="140"/>
      <c r="D1168" s="140"/>
      <c r="E1168" s="140"/>
      <c r="F1168" s="140"/>
      <c r="G1168" s="142"/>
      <c r="H1168" s="371" t="s">
        <v>949</v>
      </c>
      <c r="I1168" s="371"/>
    </row>
    <row r="1169" ht="15.4" customHeight="1">
      <c r="A1169" s="341"/>
      <c r="B1169" s="140"/>
      <c r="C1169" s="140"/>
      <c r="D1169" s="140"/>
      <c r="E1169" s="140"/>
      <c r="F1169" s="140"/>
      <c r="G1169" s="142"/>
      <c r="H1169" s="371" t="s">
        <v>950</v>
      </c>
      <c r="I1169" s="371"/>
    </row>
    <row r="1170" ht="15.4" customHeight="1">
      <c r="A1170" s="341"/>
      <c r="B1170" s="336" t="s">
        <v>951</v>
      </c>
      <c r="C1170" s="353"/>
      <c r="D1170" s="353"/>
      <c r="E1170" s="149"/>
      <c r="F1170" s="353"/>
      <c r="G1170" s="142"/>
      <c r="H1170" s="371" t="s">
        <v>952</v>
      </c>
      <c r="I1170" s="371"/>
    </row>
    <row r="1171" ht="15.4" customHeight="1">
      <c r="A1171" s="341"/>
      <c r="B1171" s="149"/>
      <c r="C1171" s="149"/>
      <c r="D1171" s="149"/>
      <c r="E1171" s="149"/>
      <c r="F1171" s="353"/>
      <c r="G1171" s="142"/>
      <c r="H1171" s="371" t="s">
        <v>953</v>
      </c>
      <c r="I1171" s="371"/>
    </row>
    <row r="1172" ht="15.4" customHeight="1">
      <c r="A1172" s="341"/>
      <c r="B1172" s="371"/>
      <c r="C1172" s="371"/>
      <c r="D1172" s="371"/>
      <c r="E1172" s="371"/>
      <c r="F1172" s="371"/>
      <c r="G1172" s="371"/>
      <c r="H1172" s="371"/>
      <c r="I1172" s="371"/>
    </row>
    <row r="1173" ht="15.4" customHeight="1">
      <c r="A1173" s="341"/>
      <c r="B1173" s="371"/>
      <c r="C1173" s="185"/>
      <c r="D1173" s="353"/>
      <c r="E1173" s="371"/>
      <c r="F1173" s="371"/>
      <c r="G1173" s="141" t="s">
        <v>253</v>
      </c>
      <c r="H1173" s="141" t="s">
        <v>254</v>
      </c>
      <c r="I1173" s="371"/>
    </row>
    <row r="1174" ht="15.4" customHeight="1">
      <c r="A1174" s="341"/>
      <c r="B1174" s="337" t="s">
        <v>954</v>
      </c>
      <c r="C1174" s="337"/>
      <c r="D1174" s="337"/>
      <c r="E1174" s="337"/>
      <c r="F1174" s="337"/>
      <c r="G1174" s="274"/>
      <c r="H1174" s="142"/>
      <c r="I1174" s="371"/>
    </row>
    <row r="1175" ht="15.4" customHeight="1">
      <c r="A1175" s="341"/>
      <c r="B1175" s="371"/>
      <c r="C1175" s="371"/>
      <c r="D1175" s="371"/>
      <c r="E1175" s="371"/>
      <c r="F1175" s="371"/>
      <c r="G1175" s="371"/>
      <c r="H1175" s="371"/>
      <c r="I1175" s="371"/>
    </row>
    <row r="1176" ht="15.4" customHeight="1">
      <c r="A1176" s="341"/>
      <c r="B1176" s="371"/>
      <c r="C1176" s="371"/>
      <c r="D1176" s="371"/>
      <c r="E1176" s="371"/>
      <c r="F1176" s="371"/>
      <c r="G1176" s="371"/>
      <c r="H1176" s="371"/>
      <c r="I1176" s="371"/>
    </row>
    <row r="1177" ht="15.4" customHeight="1">
      <c r="A1177" s="341" t="s">
        <v>955</v>
      </c>
      <c r="B1177" s="145" t="s">
        <v>956</v>
      </c>
      <c r="C1177" s="145"/>
      <c r="D1177" s="145"/>
      <c r="E1177" s="145"/>
      <c r="F1177" s="145"/>
      <c r="G1177" s="196"/>
      <c r="H1177" s="196"/>
      <c r="I1177" s="371"/>
    </row>
    <row r="1178" ht="15.4" customHeight="1">
      <c r="A1178" s="341"/>
      <c r="B1178" s="357"/>
      <c r="C1178" s="353"/>
      <c r="D1178" s="353"/>
      <c r="E1178" s="276"/>
      <c r="F1178" s="353"/>
      <c r="G1178" s="371"/>
      <c r="H1178" s="371"/>
      <c r="I1178" s="371"/>
    </row>
    <row r="1179" ht="15.4" customHeight="1">
      <c r="A1179" s="341"/>
      <c r="B1179" s="145" t="s">
        <v>957</v>
      </c>
      <c r="C1179" s="145"/>
      <c r="D1179" s="145"/>
      <c r="E1179" s="145"/>
      <c r="F1179" s="145"/>
      <c r="G1179" s="141" t="s">
        <v>253</v>
      </c>
      <c r="H1179" s="141" t="s">
        <v>254</v>
      </c>
      <c r="I1179" s="371"/>
    </row>
    <row r="1180" ht="15.4" customHeight="1">
      <c r="A1180" s="341"/>
      <c r="B1180" s="371"/>
      <c r="C1180" s="371"/>
      <c r="D1180" s="371"/>
      <c r="E1180" s="371"/>
      <c r="F1180" s="365" t="s">
        <v>958</v>
      </c>
      <c r="G1180" s="274"/>
      <c r="H1180" s="142"/>
      <c r="I1180" s="371"/>
    </row>
    <row r="1181" ht="15.4" customHeight="1">
      <c r="A1181" s="341"/>
      <c r="B1181" s="353"/>
      <c r="C1181" s="371"/>
      <c r="D1181" s="371"/>
      <c r="E1181" s="353"/>
      <c r="F1181" s="365" t="s">
        <v>959</v>
      </c>
      <c r="G1181" s="274"/>
      <c r="H1181" s="142"/>
      <c r="I1181" s="371"/>
    </row>
    <row r="1182" ht="15.4" customHeight="1">
      <c r="A1182" s="341"/>
      <c r="B1182" s="353"/>
      <c r="C1182" s="353"/>
      <c r="D1182" s="353"/>
      <c r="E1182" s="341"/>
      <c r="F1182" s="353"/>
      <c r="G1182" s="371"/>
      <c r="H1182" s="371"/>
      <c r="I1182" s="371"/>
    </row>
    <row r="1183" ht="15.4" customHeight="1">
      <c r="A1183" s="341"/>
      <c r="B1183" s="140" t="s">
        <v>960</v>
      </c>
      <c r="C1183" s="140"/>
      <c r="D1183" s="140"/>
      <c r="E1183" s="140"/>
      <c r="F1183" s="140"/>
      <c r="G1183" s="141" t="s">
        <v>253</v>
      </c>
      <c r="H1183" s="141" t="s">
        <v>254</v>
      </c>
      <c r="I1183" s="371"/>
    </row>
    <row r="1184" ht="15.4" customHeight="1">
      <c r="A1184" s="341"/>
      <c r="B1184" s="140"/>
      <c r="C1184" s="140"/>
      <c r="D1184" s="140"/>
      <c r="E1184" s="140"/>
      <c r="F1184" s="140"/>
      <c r="G1184" s="274"/>
      <c r="H1184" s="142"/>
      <c r="I1184" s="371"/>
    </row>
    <row r="1185" ht="15.4" customHeight="1">
      <c r="A1185" s="341"/>
      <c r="B1185" s="371"/>
      <c r="C1185" s="371"/>
      <c r="D1185" s="371"/>
      <c r="E1185" s="371"/>
      <c r="F1185" s="371"/>
      <c r="G1185" s="371"/>
      <c r="H1185" s="371"/>
      <c r="I1185" s="371"/>
    </row>
    <row r="1186" ht="15.4" customHeight="1">
      <c r="A1186" s="341"/>
      <c r="B1186" s="371"/>
      <c r="C1186" s="371"/>
      <c r="D1186" s="371"/>
      <c r="E1186" s="371"/>
      <c r="F1186" s="371"/>
      <c r="G1186" s="371"/>
      <c r="H1186" s="371"/>
      <c r="I1186" s="371"/>
    </row>
    <row r="1187" ht="15.4" customHeight="1">
      <c r="A1187" s="341"/>
      <c r="B1187" s="371"/>
      <c r="C1187" s="371"/>
      <c r="D1187" s="371"/>
      <c r="E1187" s="371"/>
      <c r="F1187" s="371"/>
      <c r="G1187" s="371"/>
      <c r="H1187" s="371"/>
      <c r="I1187" s="371"/>
    </row>
    <row r="1188" ht="15.4" customHeight="1">
      <c r="A1188" s="341"/>
      <c r="B1188" s="371"/>
      <c r="C1188" s="371"/>
      <c r="D1188" s="371"/>
      <c r="E1188" s="371"/>
      <c r="F1188" s="371"/>
      <c r="G1188" s="371"/>
      <c r="H1188" s="371"/>
      <c r="I1188" s="371"/>
    </row>
    <row r="1189" ht="15.4" customHeight="1">
      <c r="A1189" s="341"/>
      <c r="B1189" s="371"/>
      <c r="C1189" s="371"/>
      <c r="D1189" s="371"/>
      <c r="E1189" s="371"/>
      <c r="F1189" s="371"/>
      <c r="G1189" s="371"/>
      <c r="H1189" s="371"/>
      <c r="I1189" s="371"/>
    </row>
    <row r="1190" ht="15.4" customHeight="1">
      <c r="A1190" s="341"/>
      <c r="B1190" s="371"/>
      <c r="C1190" s="371"/>
      <c r="D1190" s="371"/>
      <c r="E1190" s="371"/>
      <c r="F1190" s="371"/>
      <c r="G1190" s="371"/>
      <c r="H1190" s="371"/>
      <c r="I1190" s="371"/>
    </row>
    <row r="1191" ht="15.4" customHeight="1">
      <c r="A1191" s="341"/>
      <c r="B1191" s="371"/>
      <c r="C1191" s="371"/>
      <c r="D1191" s="371"/>
      <c r="E1191" s="371"/>
      <c r="F1191" s="371"/>
      <c r="G1191" s="371"/>
      <c r="H1191" s="371"/>
      <c r="I1191" s="371"/>
    </row>
    <row r="1192" ht="15.4" customHeight="1">
      <c r="A1192" s="341"/>
      <c r="B1192" s="371"/>
      <c r="C1192" s="371"/>
      <c r="D1192" s="371"/>
      <c r="E1192" s="371"/>
      <c r="F1192" s="371"/>
      <c r="G1192" s="371"/>
      <c r="H1192" s="371"/>
      <c r="I1192" s="371"/>
    </row>
    <row r="1193" ht="15.4" customHeight="1">
      <c r="A1193" s="341"/>
      <c r="B1193" s="371"/>
      <c r="C1193" s="371"/>
      <c r="D1193" s="371"/>
      <c r="E1193" s="371"/>
      <c r="F1193" s="371"/>
      <c r="G1193" s="371"/>
      <c r="H1193" s="371"/>
      <c r="I1193" s="371"/>
    </row>
    <row r="1194" ht="15.4" customHeight="1">
      <c r="A1194" s="341"/>
      <c r="B1194" s="371"/>
      <c r="C1194" s="371"/>
      <c r="D1194" s="371"/>
      <c r="E1194" s="371"/>
      <c r="F1194" s="371"/>
      <c r="G1194" s="371"/>
      <c r="H1194" s="371"/>
      <c r="I1194" s="371"/>
    </row>
    <row r="1195" ht="15.4" customHeight="1">
      <c r="A1195" s="341"/>
      <c r="B1195" s="371"/>
      <c r="C1195" s="371"/>
      <c r="D1195" s="371"/>
      <c r="E1195" s="371"/>
      <c r="F1195" s="371"/>
      <c r="G1195" s="371"/>
      <c r="H1195" s="371"/>
      <c r="I1195" s="371"/>
    </row>
    <row r="1196" ht="15.4" customHeight="1">
      <c r="A1196" s="341"/>
      <c r="B1196" s="371"/>
      <c r="C1196" s="371"/>
      <c r="D1196" s="371"/>
      <c r="E1196" s="371"/>
      <c r="F1196" s="371"/>
      <c r="G1196" s="371"/>
      <c r="H1196" s="371"/>
      <c r="I1196" s="371"/>
    </row>
    <row r="1197" ht="15.4" customHeight="1">
      <c r="A1197" s="341"/>
      <c r="B1197" s="371"/>
      <c r="C1197" s="371"/>
      <c r="D1197" s="371"/>
      <c r="E1197" s="371"/>
      <c r="F1197" s="371"/>
      <c r="G1197" s="371"/>
      <c r="H1197" s="371"/>
      <c r="I1197" s="371"/>
    </row>
    <row r="1198" ht="15.4" customHeight="1">
      <c r="A1198" s="341"/>
      <c r="B1198" s="371"/>
      <c r="C1198" s="371"/>
      <c r="D1198" s="371"/>
      <c r="E1198" s="371"/>
      <c r="F1198" s="371"/>
      <c r="G1198" s="371"/>
      <c r="H1198" s="371"/>
      <c r="I1198" s="371"/>
    </row>
    <row r="1199" ht="15.4" customHeight="1">
      <c r="A1199" s="341"/>
      <c r="B1199" s="371"/>
      <c r="C1199" s="371"/>
      <c r="D1199" s="371"/>
      <c r="E1199" s="371"/>
      <c r="F1199" s="371"/>
      <c r="G1199" s="371"/>
      <c r="H1199" s="371"/>
      <c r="I1199" s="371"/>
    </row>
    <row r="1200" ht="15.4" customHeight="1">
      <c r="A1200" s="341"/>
      <c r="B1200" s="371"/>
      <c r="C1200" s="371"/>
      <c r="D1200" s="371"/>
      <c r="E1200" s="371"/>
      <c r="F1200" s="371"/>
      <c r="G1200" s="371"/>
      <c r="H1200" s="371"/>
      <c r="I1200" s="371"/>
    </row>
    <row r="1201" ht="15.4" customHeight="1">
      <c r="A1201" s="341"/>
      <c r="B1201" s="371"/>
      <c r="C1201" s="371"/>
      <c r="D1201" s="371"/>
      <c r="E1201" s="371"/>
      <c r="F1201" s="371"/>
      <c r="G1201" s="371"/>
      <c r="H1201" s="371"/>
      <c r="I1201" s="371"/>
    </row>
    <row r="1202" ht="15.4" customHeight="1">
      <c r="A1202" s="341"/>
      <c r="B1202" s="371"/>
      <c r="C1202" s="371"/>
      <c r="D1202" s="371"/>
      <c r="E1202" s="371"/>
      <c r="F1202" s="371"/>
      <c r="G1202" s="371"/>
      <c r="H1202" s="371"/>
      <c r="I1202" s="371"/>
    </row>
    <row r="1203" ht="15.4" customHeight="1">
      <c r="A1203" s="341"/>
      <c r="B1203" s="371"/>
      <c r="C1203" s="371"/>
      <c r="D1203" s="371"/>
      <c r="E1203" s="371"/>
      <c r="F1203" s="371"/>
      <c r="G1203" s="371"/>
      <c r="H1203" s="371"/>
      <c r="I1203" s="371"/>
    </row>
    <row r="1204" ht="15.4" customHeight="1">
      <c r="A1204" s="341"/>
      <c r="B1204" s="371"/>
      <c r="C1204" s="371"/>
      <c r="D1204" s="371"/>
      <c r="E1204" s="371"/>
      <c r="F1204" s="371"/>
      <c r="G1204" s="371"/>
      <c r="H1204" s="371"/>
      <c r="I1204" s="371"/>
    </row>
    <row r="1205" ht="15.4" customHeight="1">
      <c r="A1205" s="341"/>
      <c r="B1205" s="371"/>
      <c r="C1205" s="371"/>
      <c r="D1205" s="371"/>
      <c r="E1205" s="371"/>
      <c r="F1205" s="371"/>
      <c r="G1205" s="371"/>
      <c r="H1205" s="371"/>
      <c r="I1205" s="371"/>
    </row>
    <row r="1206" ht="15.4" customHeight="1">
      <c r="A1206" s="341"/>
      <c r="B1206" s="371"/>
      <c r="C1206" s="371"/>
      <c r="D1206" s="371"/>
      <c r="E1206" s="371"/>
      <c r="F1206" s="371"/>
      <c r="G1206" s="371"/>
      <c r="H1206" s="371"/>
      <c r="I1206" s="371"/>
    </row>
    <row r="1207" ht="15.4" customHeight="1">
      <c r="A1207" s="341"/>
      <c r="B1207" s="371"/>
      <c r="C1207" s="371"/>
      <c r="D1207" s="371"/>
      <c r="E1207" s="371"/>
      <c r="F1207" s="371"/>
      <c r="G1207" s="371"/>
      <c r="H1207" s="371"/>
      <c r="I1207" s="371"/>
    </row>
    <row r="1208" ht="15.4" customHeight="1">
      <c r="A1208" s="341"/>
      <c r="B1208" s="371"/>
      <c r="C1208" s="371"/>
      <c r="D1208" s="371"/>
      <c r="E1208" s="371"/>
      <c r="F1208" s="371"/>
      <c r="G1208" s="371"/>
      <c r="H1208" s="371"/>
      <c r="I1208" s="371"/>
    </row>
    <row r="1209" ht="15.4" customHeight="1">
      <c r="A1209" s="341"/>
      <c r="B1209" s="371"/>
      <c r="C1209" s="371"/>
      <c r="D1209" s="371"/>
      <c r="E1209" s="371"/>
      <c r="F1209" s="371"/>
      <c r="G1209" s="371"/>
      <c r="H1209" s="371"/>
      <c r="I1209" s="371"/>
    </row>
    <row r="1210" ht="15.4" customHeight="1">
      <c r="A1210" s="341"/>
      <c r="B1210" s="371"/>
      <c r="C1210" s="371"/>
      <c r="D1210" s="371"/>
      <c r="E1210" s="371"/>
      <c r="F1210" s="371"/>
      <c r="G1210" s="371"/>
      <c r="H1210" s="371"/>
      <c r="I1210" s="371"/>
    </row>
  </sheetData>
  <mergeCells count="776">
    <mergeCell ref="A1:I1"/>
    <mergeCell ref="A3:B3"/>
    <mergeCell ref="A5:B5"/>
    <mergeCell ref="F7:G7"/>
    <mergeCell ref="A13:C13"/>
    <mergeCell ref="A14:D14"/>
    <mergeCell ref="A15:D15"/>
    <mergeCell ref="A16:D16"/>
    <mergeCell ref="B21:C22"/>
    <mergeCell ref="D21:D22"/>
    <mergeCell ref="E21:E22"/>
    <mergeCell ref="F21:G21"/>
    <mergeCell ref="F22:G22"/>
    <mergeCell ref="B23:C23"/>
    <mergeCell ref="F23:G23"/>
    <mergeCell ref="B24:C24"/>
    <mergeCell ref="B25:C25"/>
    <mergeCell ref="F25:G26"/>
    <mergeCell ref="H25:H26"/>
    <mergeCell ref="I25:I26"/>
    <mergeCell ref="G41:I41"/>
    <mergeCell ref="A42:C42"/>
    <mergeCell ref="A43:C43"/>
    <mergeCell ref="A44:C44"/>
    <mergeCell ref="A49:I49"/>
    <mergeCell ref="A51:A53"/>
    <mergeCell ref="D51:D53"/>
    <mergeCell ref="E51:E53"/>
    <mergeCell ref="F51:G53"/>
    <mergeCell ref="H51:H53"/>
    <mergeCell ref="A54:C54"/>
    <mergeCell ref="B55:C55"/>
    <mergeCell ref="F55:G55"/>
    <mergeCell ref="F56:G56"/>
    <mergeCell ref="F57:G57"/>
    <mergeCell ref="F58:G58"/>
    <mergeCell ref="F59:G59"/>
    <mergeCell ref="F60:G60"/>
    <mergeCell ref="F61:G61"/>
    <mergeCell ref="F62:G62"/>
    <mergeCell ref="F63:G63"/>
    <mergeCell ref="F64:G64"/>
    <mergeCell ref="A65:C65"/>
    <mergeCell ref="F65:G65"/>
    <mergeCell ref="F66:G66"/>
    <mergeCell ref="F67:G67"/>
    <mergeCell ref="F68:G68"/>
    <mergeCell ref="F69:G69"/>
    <mergeCell ref="F70:G70"/>
    <mergeCell ref="A71:C71"/>
    <mergeCell ref="F71:G71"/>
    <mergeCell ref="F72:G72"/>
    <mergeCell ref="F73:G73"/>
    <mergeCell ref="F74:G74"/>
    <mergeCell ref="F75:G75"/>
    <mergeCell ref="F76:G76"/>
    <mergeCell ref="A77:C77"/>
    <mergeCell ref="F77:G77"/>
    <mergeCell ref="F78:G78"/>
    <mergeCell ref="F79:G79"/>
    <mergeCell ref="F80:G80"/>
    <mergeCell ref="F81:G81"/>
    <mergeCell ref="F82:G82"/>
    <mergeCell ref="F83:G83"/>
    <mergeCell ref="F84:G84"/>
    <mergeCell ref="F85:G85"/>
    <mergeCell ref="F86:G86"/>
    <mergeCell ref="F87:G87"/>
    <mergeCell ref="F88:G88"/>
    <mergeCell ref="F89:G89"/>
    <mergeCell ref="F90:G90"/>
    <mergeCell ref="F91:G91"/>
    <mergeCell ref="A92:C92"/>
    <mergeCell ref="F92:G92"/>
    <mergeCell ref="F93:G93"/>
    <mergeCell ref="F95:G95"/>
    <mergeCell ref="F97:G97"/>
    <mergeCell ref="F98:G98"/>
    <mergeCell ref="C99:D99"/>
    <mergeCell ref="E99:F99"/>
    <mergeCell ref="G99:I101"/>
    <mergeCell ref="C100:C101"/>
    <mergeCell ref="D100:D101"/>
    <mergeCell ref="E100:E101"/>
    <mergeCell ref="F100:F101"/>
    <mergeCell ref="A102:B102"/>
    <mergeCell ref="G102:I102"/>
    <mergeCell ref="G103:I103"/>
    <mergeCell ref="G104:I104"/>
    <mergeCell ref="G105:I105"/>
    <mergeCell ref="G106:I106"/>
    <mergeCell ref="G107:I107"/>
    <mergeCell ref="G108:I108"/>
    <mergeCell ref="G109:I109"/>
    <mergeCell ref="G110:I110"/>
    <mergeCell ref="G111:I111"/>
    <mergeCell ref="G112:I112"/>
    <mergeCell ref="G113:I113"/>
    <mergeCell ref="G114:I114"/>
    <mergeCell ref="G115:I115"/>
    <mergeCell ref="G116:I116"/>
    <mergeCell ref="G117:I117"/>
    <mergeCell ref="G118:I118"/>
    <mergeCell ref="G119:I119"/>
    <mergeCell ref="G120:I120"/>
    <mergeCell ref="G121:I121"/>
    <mergeCell ref="G122:I122"/>
    <mergeCell ref="G123:I123"/>
    <mergeCell ref="E124:F124"/>
    <mergeCell ref="G124:I124"/>
    <mergeCell ref="G125:I125"/>
    <mergeCell ref="G126:I126"/>
    <mergeCell ref="G127:I127"/>
    <mergeCell ref="G128:I128"/>
    <mergeCell ref="G129:I129"/>
    <mergeCell ref="G130:I130"/>
    <mergeCell ref="G131:I131"/>
    <mergeCell ref="G132:I132"/>
    <mergeCell ref="G133:I133"/>
    <mergeCell ref="G134:I134"/>
    <mergeCell ref="G135:I135"/>
    <mergeCell ref="G136:I136"/>
    <mergeCell ref="G137:I137"/>
    <mergeCell ref="G138:I138"/>
    <mergeCell ref="G139:I139"/>
    <mergeCell ref="G140:I140"/>
    <mergeCell ref="G141:I141"/>
    <mergeCell ref="G142:I142"/>
    <mergeCell ref="E143:F143"/>
    <mergeCell ref="G143:I143"/>
    <mergeCell ref="D145:E145"/>
    <mergeCell ref="G145:H145"/>
    <mergeCell ref="A146:B149"/>
    <mergeCell ref="C150:D150"/>
    <mergeCell ref="G150:H150"/>
    <mergeCell ref="C151:C152"/>
    <mergeCell ref="D151:D152"/>
    <mergeCell ref="G151:G152"/>
    <mergeCell ref="H151:H152"/>
    <mergeCell ref="E153:F153"/>
    <mergeCell ref="E154:F154"/>
    <mergeCell ref="E155:F155"/>
    <mergeCell ref="E156:F156"/>
    <mergeCell ref="E157:F157"/>
    <mergeCell ref="E158:F158"/>
    <mergeCell ref="E159:F159"/>
    <mergeCell ref="E160:F160"/>
    <mergeCell ref="E161:F161"/>
    <mergeCell ref="E162:F162"/>
    <mergeCell ref="E163:F163"/>
    <mergeCell ref="E164:F164"/>
    <mergeCell ref="E165:F165"/>
    <mergeCell ref="E166:F166"/>
    <mergeCell ref="A168:B168"/>
    <mergeCell ref="A169:B169"/>
    <mergeCell ref="A170:B170"/>
    <mergeCell ref="A171:B171"/>
    <mergeCell ref="A172:B172"/>
    <mergeCell ref="A173:B173"/>
    <mergeCell ref="F173:H173"/>
    <mergeCell ref="A174:B174"/>
    <mergeCell ref="F174:H176"/>
    <mergeCell ref="A175:B175"/>
    <mergeCell ref="A176:B176"/>
    <mergeCell ref="A177:B177"/>
    <mergeCell ref="A192:C192"/>
    <mergeCell ref="A197:C197"/>
    <mergeCell ref="B198:F199"/>
    <mergeCell ref="B200:F201"/>
    <mergeCell ref="B202:H202"/>
    <mergeCell ref="B204:F205"/>
    <mergeCell ref="A207:C207"/>
    <mergeCell ref="B208:G208"/>
    <mergeCell ref="B211:F212"/>
    <mergeCell ref="G211:G212"/>
    <mergeCell ref="H211:H212"/>
    <mergeCell ref="B213:F214"/>
    <mergeCell ref="G213:G214"/>
    <mergeCell ref="H213:H214"/>
    <mergeCell ref="B215:F216"/>
    <mergeCell ref="G215:G216"/>
    <mergeCell ref="H215:H216"/>
    <mergeCell ref="B217:F217"/>
    <mergeCell ref="B219:F220"/>
    <mergeCell ref="B222:F222"/>
    <mergeCell ref="E223:F223"/>
    <mergeCell ref="E224:F224"/>
    <mergeCell ref="B226:F226"/>
    <mergeCell ref="A228:D228"/>
    <mergeCell ref="A249:I249"/>
    <mergeCell ref="A251:C251"/>
    <mergeCell ref="G253:I253"/>
    <mergeCell ref="H254:I254"/>
    <mergeCell ref="A255:B255"/>
    <mergeCell ref="H256:I256"/>
    <mergeCell ref="H257:I257"/>
    <mergeCell ref="H258:I258"/>
    <mergeCell ref="H259:I259"/>
    <mergeCell ref="H260:I260"/>
    <mergeCell ref="H261:I261"/>
    <mergeCell ref="H262:I262"/>
    <mergeCell ref="H263:I263"/>
    <mergeCell ref="H264:I264"/>
    <mergeCell ref="H265:I265"/>
    <mergeCell ref="H266:I266"/>
    <mergeCell ref="H267:I267"/>
    <mergeCell ref="A268:B268"/>
    <mergeCell ref="H268:I268"/>
    <mergeCell ref="H269:I269"/>
    <mergeCell ref="H270:I270"/>
    <mergeCell ref="H271:I271"/>
    <mergeCell ref="H272:I272"/>
    <mergeCell ref="H273:I273"/>
    <mergeCell ref="H274:I274"/>
    <mergeCell ref="A275:B275"/>
    <mergeCell ref="H275:I275"/>
    <mergeCell ref="H276:I276"/>
    <mergeCell ref="H277:I277"/>
    <mergeCell ref="H278:I278"/>
    <mergeCell ref="H279:I279"/>
    <mergeCell ref="H280:I280"/>
    <mergeCell ref="H281:I281"/>
    <mergeCell ref="H282:I282"/>
    <mergeCell ref="A283:B283"/>
    <mergeCell ref="H283:I283"/>
    <mergeCell ref="H284:I284"/>
    <mergeCell ref="H285:I285"/>
    <mergeCell ref="H286:I286"/>
    <mergeCell ref="H287:I287"/>
    <mergeCell ref="A288:B288"/>
    <mergeCell ref="H288:I288"/>
    <mergeCell ref="A289:B289"/>
    <mergeCell ref="H289:I289"/>
    <mergeCell ref="A295:C296"/>
    <mergeCell ref="F298:I298"/>
    <mergeCell ref="G299:I299"/>
    <mergeCell ref="A300:B300"/>
    <mergeCell ref="G301:I301"/>
    <mergeCell ref="G302:I302"/>
    <mergeCell ref="G303:I303"/>
    <mergeCell ref="G304:I304"/>
    <mergeCell ref="G305:I305"/>
    <mergeCell ref="G306:I306"/>
    <mergeCell ref="G307:I307"/>
    <mergeCell ref="G308:I308"/>
    <mergeCell ref="G309:I309"/>
    <mergeCell ref="G310:I310"/>
    <mergeCell ref="G311:I311"/>
    <mergeCell ref="G312:I312"/>
    <mergeCell ref="G315:I315"/>
    <mergeCell ref="G316:I316"/>
    <mergeCell ref="A317:B317"/>
    <mergeCell ref="G317:I317"/>
    <mergeCell ref="G318:I318"/>
    <mergeCell ref="G319:I319"/>
    <mergeCell ref="G320:I320"/>
    <mergeCell ref="G321:I321"/>
    <mergeCell ref="G322:I322"/>
    <mergeCell ref="G323:I323"/>
    <mergeCell ref="A324:B324"/>
    <mergeCell ref="G324:I324"/>
    <mergeCell ref="G325:I325"/>
    <mergeCell ref="G326:I326"/>
    <mergeCell ref="G327:I327"/>
    <mergeCell ref="A328:B328"/>
    <mergeCell ref="G328:I328"/>
    <mergeCell ref="G329:I329"/>
    <mergeCell ref="G330:I330"/>
    <mergeCell ref="G331:I331"/>
    <mergeCell ref="G332:I332"/>
    <mergeCell ref="G333:I333"/>
    <mergeCell ref="A334:B334"/>
    <mergeCell ref="G334:I334"/>
    <mergeCell ref="G335:I335"/>
    <mergeCell ref="G336:I336"/>
    <mergeCell ref="G337:I337"/>
    <mergeCell ref="A338:B338"/>
    <mergeCell ref="G338:I338"/>
    <mergeCell ref="A342:C342"/>
    <mergeCell ref="D344:H344"/>
    <mergeCell ref="D345:H345"/>
    <mergeCell ref="D346:H346"/>
    <mergeCell ref="D347:H347"/>
    <mergeCell ref="D348:H348"/>
    <mergeCell ref="A351:C351"/>
    <mergeCell ref="E377:E378"/>
    <mergeCell ref="F377:F378"/>
    <mergeCell ref="G377:G378"/>
    <mergeCell ref="A390:C390"/>
    <mergeCell ref="E391:E392"/>
    <mergeCell ref="F391:F392"/>
    <mergeCell ref="G391:G392"/>
    <mergeCell ref="A392:D393"/>
    <mergeCell ref="H423:H424"/>
    <mergeCell ref="B430:F431"/>
    <mergeCell ref="B434:F434"/>
    <mergeCell ref="B438:F438"/>
    <mergeCell ref="A439:C439"/>
    <mergeCell ref="B441:F443"/>
    <mergeCell ref="G442:G443"/>
    <mergeCell ref="H442:H443"/>
    <mergeCell ref="B446:F447"/>
    <mergeCell ref="B450:D450"/>
    <mergeCell ref="B451:E451"/>
    <mergeCell ref="B452:E452"/>
    <mergeCell ref="B453:E453"/>
    <mergeCell ref="B454:E454"/>
    <mergeCell ref="B455:E455"/>
    <mergeCell ref="B456:E456"/>
    <mergeCell ref="B457:E457"/>
    <mergeCell ref="B459:C459"/>
    <mergeCell ref="B460:E460"/>
    <mergeCell ref="B462:D462"/>
    <mergeCell ref="B466:C466"/>
    <mergeCell ref="B467:E467"/>
    <mergeCell ref="B469:F470"/>
    <mergeCell ref="B472:F473"/>
    <mergeCell ref="B475:E475"/>
    <mergeCell ref="B477:D477"/>
    <mergeCell ref="B481:C481"/>
    <mergeCell ref="B482:F482"/>
    <mergeCell ref="B483:F484"/>
    <mergeCell ref="B486:F487"/>
    <mergeCell ref="B488:F488"/>
    <mergeCell ref="B490:F490"/>
    <mergeCell ref="B492:F493"/>
    <mergeCell ref="B494:F495"/>
    <mergeCell ref="B496:F497"/>
    <mergeCell ref="B499:F500"/>
    <mergeCell ref="A502:C502"/>
    <mergeCell ref="B503:F504"/>
    <mergeCell ref="B506:F507"/>
    <mergeCell ref="B511:F512"/>
    <mergeCell ref="A514:C514"/>
    <mergeCell ref="B515:E516"/>
    <mergeCell ref="B520:F520"/>
    <mergeCell ref="B522:F523"/>
    <mergeCell ref="B525:F526"/>
    <mergeCell ref="B527:F527"/>
    <mergeCell ref="B528:F528"/>
    <mergeCell ref="B529:F529"/>
    <mergeCell ref="B530:F530"/>
    <mergeCell ref="B532:F533"/>
    <mergeCell ref="B537:D537"/>
    <mergeCell ref="A539:B540"/>
    <mergeCell ref="C539:D540"/>
    <mergeCell ref="F539:F540"/>
    <mergeCell ref="G539:G540"/>
    <mergeCell ref="H539:H540"/>
    <mergeCell ref="I539:I540"/>
    <mergeCell ref="A541:B541"/>
    <mergeCell ref="C541:D541"/>
    <mergeCell ref="A542:B542"/>
    <mergeCell ref="C542:D542"/>
    <mergeCell ref="A543:B543"/>
    <mergeCell ref="C543:D543"/>
    <mergeCell ref="A544:B544"/>
    <mergeCell ref="C544:D544"/>
    <mergeCell ref="A545:B545"/>
    <mergeCell ref="C545:D545"/>
    <mergeCell ref="A546:B546"/>
    <mergeCell ref="C546:D546"/>
    <mergeCell ref="A547:B547"/>
    <mergeCell ref="C547:D547"/>
    <mergeCell ref="A548:B548"/>
    <mergeCell ref="C548:D548"/>
    <mergeCell ref="A549:B549"/>
    <mergeCell ref="C549:D549"/>
    <mergeCell ref="A584:I584"/>
    <mergeCell ref="A586:C586"/>
    <mergeCell ref="B588:D588"/>
    <mergeCell ref="B589:F589"/>
    <mergeCell ref="B591:F592"/>
    <mergeCell ref="B594:F595"/>
    <mergeCell ref="B597:D597"/>
    <mergeCell ref="B598:F599"/>
    <mergeCell ref="B603:F603"/>
    <mergeCell ref="B606:H606"/>
    <mergeCell ref="B608:D608"/>
    <mergeCell ref="B609:F609"/>
    <mergeCell ref="B611:F611"/>
    <mergeCell ref="B613:F613"/>
    <mergeCell ref="B616:F616"/>
    <mergeCell ref="B618:D618"/>
    <mergeCell ref="A626:C626"/>
    <mergeCell ref="B628:F629"/>
    <mergeCell ref="B630:H631"/>
    <mergeCell ref="B633:F634"/>
    <mergeCell ref="B635:H638"/>
    <mergeCell ref="A640:C640"/>
    <mergeCell ref="B642:F643"/>
    <mergeCell ref="B647:D647"/>
    <mergeCell ref="F647:G647"/>
    <mergeCell ref="F648:G648"/>
    <mergeCell ref="F649:G649"/>
    <mergeCell ref="H649:I651"/>
    <mergeCell ref="F650:G650"/>
    <mergeCell ref="F651:G651"/>
    <mergeCell ref="F652:G652"/>
    <mergeCell ref="F653:G653"/>
    <mergeCell ref="F654:G654"/>
    <mergeCell ref="F655:G655"/>
    <mergeCell ref="F656:G656"/>
    <mergeCell ref="F657:G657"/>
    <mergeCell ref="B661:F661"/>
    <mergeCell ref="B663:F664"/>
    <mergeCell ref="B665:H665"/>
    <mergeCell ref="B666:F666"/>
    <mergeCell ref="A668:C668"/>
    <mergeCell ref="B670:D670"/>
    <mergeCell ref="B671:F671"/>
    <mergeCell ref="B673:D673"/>
    <mergeCell ref="B677:E677"/>
    <mergeCell ref="F677:G677"/>
    <mergeCell ref="B679:F680"/>
    <mergeCell ref="B682:D682"/>
    <mergeCell ref="B683:F683"/>
    <mergeCell ref="B685:F686"/>
    <mergeCell ref="B688:D688"/>
    <mergeCell ref="B689:F690"/>
    <mergeCell ref="B692:D692"/>
    <mergeCell ref="C693:I693"/>
    <mergeCell ref="C694:I694"/>
    <mergeCell ref="C695:I695"/>
    <mergeCell ref="C696:I696"/>
    <mergeCell ref="B698:F698"/>
    <mergeCell ref="B699:H699"/>
    <mergeCell ref="B701:F703"/>
    <mergeCell ref="G702:G703"/>
    <mergeCell ref="H702:H703"/>
    <mergeCell ref="B705:D705"/>
    <mergeCell ref="B706:F707"/>
    <mergeCell ref="B708:F709"/>
    <mergeCell ref="B711:F713"/>
    <mergeCell ref="B715:D715"/>
    <mergeCell ref="B716:F717"/>
    <mergeCell ref="B719:F720"/>
    <mergeCell ref="B721:H722"/>
    <mergeCell ref="B724:F725"/>
    <mergeCell ref="B726:H730"/>
    <mergeCell ref="A731:C731"/>
    <mergeCell ref="B733:D733"/>
    <mergeCell ref="A736:C736"/>
    <mergeCell ref="E736:G736"/>
    <mergeCell ref="A737:C737"/>
    <mergeCell ref="E737:G737"/>
    <mergeCell ref="A738:C738"/>
    <mergeCell ref="E738:G738"/>
    <mergeCell ref="A739:C739"/>
    <mergeCell ref="E739:G739"/>
    <mergeCell ref="A740:C740"/>
    <mergeCell ref="E740:G740"/>
    <mergeCell ref="A741:C741"/>
    <mergeCell ref="E741:G743"/>
    <mergeCell ref="H741:H743"/>
    <mergeCell ref="B745:F745"/>
    <mergeCell ref="B747:F748"/>
    <mergeCell ref="B750:F751"/>
    <mergeCell ref="B753:E753"/>
    <mergeCell ref="B758:D758"/>
    <mergeCell ref="A759:E759"/>
    <mergeCell ref="B761:F762"/>
    <mergeCell ref="G761:G762"/>
    <mergeCell ref="H761:H762"/>
    <mergeCell ref="B765:F766"/>
    <mergeCell ref="G765:G766"/>
    <mergeCell ref="H765:H766"/>
    <mergeCell ref="A770:E770"/>
    <mergeCell ref="B771:F772"/>
    <mergeCell ref="G771:G772"/>
    <mergeCell ref="H771:H772"/>
    <mergeCell ref="B773:F774"/>
    <mergeCell ref="G773:G774"/>
    <mergeCell ref="H773:H774"/>
    <mergeCell ref="B776:F777"/>
    <mergeCell ref="G776:G777"/>
    <mergeCell ref="H776:H777"/>
    <mergeCell ref="B778:F779"/>
    <mergeCell ref="G778:G779"/>
    <mergeCell ref="H778:H779"/>
    <mergeCell ref="B780:F780"/>
    <mergeCell ref="A781:I781"/>
    <mergeCell ref="A783:C783"/>
    <mergeCell ref="B784:F785"/>
    <mergeCell ref="G784:I785"/>
    <mergeCell ref="B786:C786"/>
    <mergeCell ref="D786:I786"/>
    <mergeCell ref="B787:C787"/>
    <mergeCell ref="D787:I787"/>
    <mergeCell ref="B788:C788"/>
    <mergeCell ref="D788:I788"/>
    <mergeCell ref="B789:C789"/>
    <mergeCell ref="D789:I789"/>
    <mergeCell ref="B791:F792"/>
    <mergeCell ref="G791:I792"/>
    <mergeCell ref="B793:C793"/>
    <mergeCell ref="D793:I793"/>
    <mergeCell ref="B794:C794"/>
    <mergeCell ref="D794:I794"/>
    <mergeCell ref="B795:C795"/>
    <mergeCell ref="D795:I795"/>
    <mergeCell ref="B796:C796"/>
    <mergeCell ref="D796:I796"/>
    <mergeCell ref="B798:F799"/>
    <mergeCell ref="A801:E801"/>
    <mergeCell ref="B802:F803"/>
    <mergeCell ref="B804:F805"/>
    <mergeCell ref="B806:F806"/>
    <mergeCell ref="C807:F807"/>
    <mergeCell ref="C808:F808"/>
    <mergeCell ref="B810:F811"/>
    <mergeCell ref="B812:F812"/>
    <mergeCell ref="A817:C817"/>
    <mergeCell ref="B819:F819"/>
    <mergeCell ref="B820:F820"/>
    <mergeCell ref="B821:F821"/>
    <mergeCell ref="B822:F823"/>
    <mergeCell ref="G822:G823"/>
    <mergeCell ref="H822:H823"/>
    <mergeCell ref="B824:F824"/>
    <mergeCell ref="B826:F827"/>
    <mergeCell ref="B828:I828"/>
    <mergeCell ref="B829:E831"/>
    <mergeCell ref="G829:G830"/>
    <mergeCell ref="H829:H830"/>
    <mergeCell ref="B832:I832"/>
    <mergeCell ref="A834:C834"/>
    <mergeCell ref="A837:F837"/>
    <mergeCell ref="A838:F838"/>
    <mergeCell ref="A839:F840"/>
    <mergeCell ref="G839:G840"/>
    <mergeCell ref="H839:H840"/>
    <mergeCell ref="A841:F841"/>
    <mergeCell ref="A842:F842"/>
    <mergeCell ref="A843:F846"/>
    <mergeCell ref="G843:G846"/>
    <mergeCell ref="H843:H846"/>
    <mergeCell ref="A847:F848"/>
    <mergeCell ref="G847:G848"/>
    <mergeCell ref="H847:H848"/>
    <mergeCell ref="B849:H849"/>
    <mergeCell ref="A851:C851"/>
    <mergeCell ref="G852:G853"/>
    <mergeCell ref="H852:H853"/>
    <mergeCell ref="A853:F853"/>
    <mergeCell ref="A854:A859"/>
    <mergeCell ref="B854:F854"/>
    <mergeCell ref="B855:F857"/>
    <mergeCell ref="G855:G857"/>
    <mergeCell ref="H855:H857"/>
    <mergeCell ref="B858:F859"/>
    <mergeCell ref="G858:G859"/>
    <mergeCell ref="H858:H859"/>
    <mergeCell ref="A860:A861"/>
    <mergeCell ref="B860:F861"/>
    <mergeCell ref="G860:G861"/>
    <mergeCell ref="H860:H861"/>
    <mergeCell ref="B866:F867"/>
    <mergeCell ref="A872:C872"/>
    <mergeCell ref="B874:F874"/>
    <mergeCell ref="B875:F875"/>
    <mergeCell ref="B876:F876"/>
    <mergeCell ref="B880:F880"/>
    <mergeCell ref="B881:H881"/>
    <mergeCell ref="B882:F882"/>
    <mergeCell ref="B883:F883"/>
    <mergeCell ref="B884:F884"/>
    <mergeCell ref="A886:C886"/>
    <mergeCell ref="B888:F888"/>
    <mergeCell ref="B889:F889"/>
    <mergeCell ref="B892:F892"/>
    <mergeCell ref="B893:F893"/>
    <mergeCell ref="B894:H894"/>
    <mergeCell ref="B895:F895"/>
    <mergeCell ref="B896:F896"/>
    <mergeCell ref="B898:F899"/>
    <mergeCell ref="B903:F904"/>
    <mergeCell ref="B905:I905"/>
    <mergeCell ref="B906:F907"/>
    <mergeCell ref="B908:I908"/>
    <mergeCell ref="B909:F911"/>
    <mergeCell ref="A913:C913"/>
    <mergeCell ref="B914:F914"/>
    <mergeCell ref="B915:H915"/>
    <mergeCell ref="B918:F919"/>
    <mergeCell ref="B920:F921"/>
    <mergeCell ref="A922:C922"/>
    <mergeCell ref="B923:F924"/>
    <mergeCell ref="B926:F927"/>
    <mergeCell ref="B936:F937"/>
    <mergeCell ref="B938:F939"/>
    <mergeCell ref="B942:D942"/>
    <mergeCell ref="B944:F945"/>
    <mergeCell ref="G944:G945"/>
    <mergeCell ref="H944:H945"/>
    <mergeCell ref="B946:F947"/>
    <mergeCell ref="G946:G947"/>
    <mergeCell ref="H946:H947"/>
    <mergeCell ref="B949:E949"/>
    <mergeCell ref="B954:F954"/>
    <mergeCell ref="B955:F955"/>
    <mergeCell ref="B957:F957"/>
    <mergeCell ref="B958:F958"/>
    <mergeCell ref="A960:C960"/>
    <mergeCell ref="B961:F962"/>
    <mergeCell ref="B965:F965"/>
    <mergeCell ref="B967:F968"/>
    <mergeCell ref="B969:F969"/>
    <mergeCell ref="B972:F973"/>
    <mergeCell ref="G972:G973"/>
    <mergeCell ref="H972:H973"/>
    <mergeCell ref="A975:C975"/>
    <mergeCell ref="B976:F976"/>
    <mergeCell ref="B977:F977"/>
    <mergeCell ref="B979:F980"/>
    <mergeCell ref="B981:F981"/>
    <mergeCell ref="B983:F985"/>
    <mergeCell ref="G984:G985"/>
    <mergeCell ref="H984:H985"/>
    <mergeCell ref="B987:F988"/>
    <mergeCell ref="B989:H989"/>
    <mergeCell ref="B993:F993"/>
    <mergeCell ref="A995:C995"/>
    <mergeCell ref="A1006:C1006"/>
    <mergeCell ref="B1008:F1008"/>
    <mergeCell ref="B1011:F1012"/>
    <mergeCell ref="B1014:F1015"/>
    <mergeCell ref="A1017:I1017"/>
    <mergeCell ref="A1019:C1019"/>
    <mergeCell ref="B1021:D1021"/>
    <mergeCell ref="A1022:E1023"/>
    <mergeCell ref="F1022:H1022"/>
    <mergeCell ref="A1024:E1024"/>
    <mergeCell ref="A1025:H1025"/>
    <mergeCell ref="A1026:E1026"/>
    <mergeCell ref="A1027:H1027"/>
    <mergeCell ref="A1028:H1028"/>
    <mergeCell ref="A1029:E1029"/>
    <mergeCell ref="A1030:H1030"/>
    <mergeCell ref="A1031:E1031"/>
    <mergeCell ref="A1032:H1032"/>
    <mergeCell ref="A1033:E1033"/>
    <mergeCell ref="A1034:H1034"/>
    <mergeCell ref="A1035:H1035"/>
    <mergeCell ref="A1036:E1036"/>
    <mergeCell ref="A1037:H1037"/>
    <mergeCell ref="A1038:E1038"/>
    <mergeCell ref="A1039:H1039"/>
    <mergeCell ref="A1040:H1040"/>
    <mergeCell ref="A1041:E1041"/>
    <mergeCell ref="A1042:H1042"/>
    <mergeCell ref="B1044:D1044"/>
    <mergeCell ref="A1045:E1046"/>
    <mergeCell ref="F1045:H1045"/>
    <mergeCell ref="A1047:E1047"/>
    <mergeCell ref="A1048:H1048"/>
    <mergeCell ref="A1049:E1049"/>
    <mergeCell ref="A1050:E1050"/>
    <mergeCell ref="A1051:E1051"/>
    <mergeCell ref="A1052:H1052"/>
    <mergeCell ref="A1053:H1053"/>
    <mergeCell ref="A1054:E1054"/>
    <mergeCell ref="A1055:H1055"/>
    <mergeCell ref="A1056:E1056"/>
    <mergeCell ref="I1056:I1057"/>
    <mergeCell ref="A1057:H1057"/>
    <mergeCell ref="A1058:E1058"/>
    <mergeCell ref="B1059:D1059"/>
    <mergeCell ref="A1060:E1061"/>
    <mergeCell ref="F1060:H1060"/>
    <mergeCell ref="A1062:E1062"/>
    <mergeCell ref="A1063:H1063"/>
    <mergeCell ref="A1064:E1064"/>
    <mergeCell ref="A1065:H1065"/>
    <mergeCell ref="A1066:E1066"/>
    <mergeCell ref="B1068:D1068"/>
    <mergeCell ref="A1069:E1070"/>
    <mergeCell ref="F1069:H1069"/>
    <mergeCell ref="A1071:E1071"/>
    <mergeCell ref="A1072:H1072"/>
    <mergeCell ref="A1073:H1073"/>
    <mergeCell ref="A1074:E1074"/>
    <mergeCell ref="A1075:E1075"/>
    <mergeCell ref="A1077:C1077"/>
    <mergeCell ref="B1078:F1079"/>
    <mergeCell ref="B1081:F1082"/>
    <mergeCell ref="B1083:H1083"/>
    <mergeCell ref="A1085:C1085"/>
    <mergeCell ref="B1086:G1086"/>
    <mergeCell ref="B1095:F1096"/>
    <mergeCell ref="B1099:F1099"/>
    <mergeCell ref="B1104:F1104"/>
    <mergeCell ref="A1105:C1105"/>
    <mergeCell ref="E1105:F1105"/>
    <mergeCell ref="H1105:I1105"/>
    <mergeCell ref="H1106:I1106"/>
    <mergeCell ref="A1107:F1107"/>
    <mergeCell ref="H1107:I1107"/>
    <mergeCell ref="A1108:F1108"/>
    <mergeCell ref="H1108:I1108"/>
    <mergeCell ref="A1109:F1109"/>
    <mergeCell ref="H1109:I1109"/>
    <mergeCell ref="A1110:F1110"/>
    <mergeCell ref="H1110:I1110"/>
    <mergeCell ref="A1111:F1111"/>
    <mergeCell ref="H1111:I1111"/>
    <mergeCell ref="A1112:F1113"/>
    <mergeCell ref="H1112:I1112"/>
    <mergeCell ref="A1114:F1114"/>
    <mergeCell ref="A1115:F1115"/>
    <mergeCell ref="A1116:F1116"/>
    <mergeCell ref="A1117:F1117"/>
    <mergeCell ref="A1118:F1118"/>
    <mergeCell ref="H1118:I1118"/>
    <mergeCell ref="A1119:F1119"/>
    <mergeCell ref="A1120:F1120"/>
    <mergeCell ref="A1121:F1121"/>
    <mergeCell ref="A1122:F1122"/>
    <mergeCell ref="H1122:I1122"/>
    <mergeCell ref="A1123:F1123"/>
    <mergeCell ref="A1124:F1124"/>
    <mergeCell ref="A1125:F1125"/>
    <mergeCell ref="A1126:F1126"/>
    <mergeCell ref="H1126:I1126"/>
    <mergeCell ref="A1127:F1127"/>
    <mergeCell ref="A1128:F1128"/>
    <mergeCell ref="A1129:F1129"/>
    <mergeCell ref="A1130:F1130"/>
    <mergeCell ref="A1131:F1131"/>
    <mergeCell ref="A1132:F1132"/>
    <mergeCell ref="A1133:F1133"/>
    <mergeCell ref="A1134:F1134"/>
    <mergeCell ref="A1135:F1135"/>
    <mergeCell ref="H1135:I1135"/>
    <mergeCell ref="A1136:F1136"/>
    <mergeCell ref="A1137:F1137"/>
    <mergeCell ref="A1138:F1138"/>
    <mergeCell ref="A1139:F1139"/>
    <mergeCell ref="H1139:I1139"/>
    <mergeCell ref="A1140:F1140"/>
    <mergeCell ref="A1141:F1141"/>
    <mergeCell ref="A1142:F1142"/>
    <mergeCell ref="H1142:I1142"/>
    <mergeCell ref="A1143:F1143"/>
    <mergeCell ref="A1144:F1144"/>
    <mergeCell ref="A1145:F1145"/>
    <mergeCell ref="A1146:F1146"/>
    <mergeCell ref="A1147:F1147"/>
    <mergeCell ref="H1147:I1147"/>
    <mergeCell ref="A1148:F1148"/>
    <mergeCell ref="A1149:F1149"/>
    <mergeCell ref="A1150:F1150"/>
    <mergeCell ref="A1151:F1151"/>
    <mergeCell ref="A1152:F1152"/>
    <mergeCell ref="H1152:I1152"/>
    <mergeCell ref="A1153:F1153"/>
    <mergeCell ref="A1154:F1154"/>
    <mergeCell ref="A1155:F1155"/>
    <mergeCell ref="H1155:I1155"/>
    <mergeCell ref="A1156:F1156"/>
    <mergeCell ref="A1157:F1157"/>
    <mergeCell ref="A1158:F1158"/>
    <mergeCell ref="A1159:F1159"/>
    <mergeCell ref="H1159:I1159"/>
    <mergeCell ref="A1160:F1160"/>
    <mergeCell ref="A1161:F1161"/>
    <mergeCell ref="A1162:F1162"/>
    <mergeCell ref="H1162:I1162"/>
    <mergeCell ref="A1163:F1163"/>
    <mergeCell ref="A1164:F1164"/>
    <mergeCell ref="B1165:F1165"/>
    <mergeCell ref="B1168:F1169"/>
    <mergeCell ref="B1174:F1174"/>
    <mergeCell ref="B1177:F1177"/>
    <mergeCell ref="B1179:F1179"/>
    <mergeCell ref="B1183:F1184"/>
  </mergeCells>
  <dataValidations count="3">
    <dataValidation allowBlank="true" operator="equal" showDropDown="false" showErrorMessage="true" showInputMessage="false" sqref="F961" type="list">
      <formula1>"0,1,2"</formula1>
      <formula2>0</formula2>
    </dataValidation>
    <dataValidation allowBlank="true" operator="equal" showDropDown="false" showErrorMessage="true" showInputMessage="false" sqref="O662" type="list">
      <formula1>"Moins de 20%,Plus de 20%"</formula1>
      <formula2>0</formula2>
    </dataValidation>
    <dataValidation allowBlank="true" operator="equal" showDropDown="false" showErrorMessage="true" showInputMessage="false" sqref="E507 O661 E689 F826 E923 F965 F967 F970 D987 E1066" type="list">
      <formula1>"oui,non"</formula1>
      <formula2>0</formula2>
    </dataValidation>
  </dataValidations>
  <pageMargins left="0.7" right="0.7" top="0.75" bottom="0.75" header="0.3" footer="0.3"/>
  <pageSetup paperSize="9"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&amp;CQuestionnaire IDEA version 4 - Janvier 2020</oddHeader>
    <oddFooter>&amp;CPage &amp;P</oddFooter>
  </headerFooter>
  <legacyDrawing r:id="rIdvml"/>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tabColor rgb="FFFF0000"/>
      <pageSetUpPr fitToPage="false"/>
    </sheetPr>
  </sheetPr>
  <dimension ref="A1"/>
  <sheetViews>
    <sheetView showFormulas="false" showGridLines="true" showRowColHeaders="true" showZeros="true" rightToLeft="false" tabSelected="0" showOutlineSymbols="true" defaultGridColor="true" view="normal" topLeftCell="A1" colorId="64" zoomScale="70" zoomScaleNormal="70" zoomScalePageLayoutView="100" workbookViewId="0">
      <selection pane="topLeft" activeCell="B6" activeCellId="0" sqref="B6"/>
    </sheetView>
  </sheetViews>
  <sheetFormatPr defaultRowHeight="15.0" baseColWidth="10" outlineLevelCol="1"/>
  <cols>
    <col min="1" max="1" width="33.52" hidden="false" outlineLevel="1" customWidth="1"/>
    <col min="2" max="2" width="19.12" hidden="false" outlineLevel="1" customWidth="1"/>
    <col min="3" max="3" width="28.67" hidden="false" outlineLevel="1" customWidth="1"/>
    <col min="4" max="4" width="18.84" hidden="false" outlineLevel="1" customWidth="1"/>
    <col min="5" max="5" width="32.1" hidden="false" outlineLevel="1" customWidth="1"/>
    <col min="6" max="6" width="23.82" hidden="false" outlineLevel="1" customWidth="1"/>
    <col min="7" max="7" width="27.12" hidden="false" outlineLevel="1" customWidth="1"/>
    <col min="8" max="8" width="22.11" hidden="false" outlineLevel="1" customWidth="1"/>
    <col min="9" max="9" width="20.11" hidden="false" outlineLevel="1" customWidth="1"/>
    <col min="10" max="10" width="26.53" hidden="false" outlineLevel="1" customWidth="1"/>
    <col min="11" max="11" width="26.82" hidden="false" outlineLevel="1" customWidth="1"/>
    <col min="12" max="12" width="15.83" hidden="false" outlineLevel="1" customWidth="1"/>
    <col min="13" max="13" width="43.23" hidden="false" outlineLevel="1" customWidth="1"/>
    <col min="14" max="14" width="10.69" hidden="false" outlineLevel="1" customWidth="1"/>
    <col min="15" max="15" width="24.11" hidden="false" outlineLevel="1" customWidth="1"/>
    <col min="16" max="16" width="23.82" hidden="false" outlineLevel="1" customWidth="1"/>
    <col min="17" max="17" width="10.69" hidden="false" outlineLevel="1" customWidth="1"/>
    <col min="18" max="18" width="10.69" hidden="false" outlineLevel="1" customWidth="1"/>
    <col min="19" max="19" width="10.69" hidden="false" outlineLevel="1" customWidth="1"/>
    <col min="20" max="20" width="10.69" hidden="false" outlineLevel="1" customWidth="1"/>
    <col min="21" max="21" width="10.69" hidden="false" outlineLevel="1" customWidth="1"/>
    <col min="22" max="22" width="10.69" hidden="false" outlineLevel="1" customWidth="1"/>
    <col min="23" max="23" width="10.69" hidden="false" outlineLevel="1" customWidth="1"/>
    <col min="24" max="24" width="10.69" hidden="false" outlineLevel="1" customWidth="1"/>
    <col min="25" max="25" width="10.69" hidden="false" outlineLevel="1" customWidth="1"/>
    <col min="26" max="26" width="10.69" hidden="false" outlineLevel="1" customWidth="1"/>
    <col min="27" max="27" width="10.69" hidden="false" outlineLevel="1" customWidth="1"/>
    <col min="28" max="28" width="10.69" hidden="false" outlineLevel="1" customWidth="1"/>
    <col min="29" max="29" width="10.69" hidden="false" outlineLevel="1" customWidth="1"/>
    <col min="30" max="30" width="10.69" hidden="false" outlineLevel="1" customWidth="1"/>
    <col min="31" max="31" width="10.69" hidden="false" outlineLevel="1" customWidth="1"/>
    <col min="32" max="32" width="10.69" hidden="false" outlineLevel="1" customWidth="1"/>
    <col min="33" max="33" width="10.69" hidden="false" outlineLevel="1" customWidth="1"/>
    <col min="34" max="34" width="10.69" hidden="false" outlineLevel="1" customWidth="1"/>
    <col min="35" max="35" width="10.69" hidden="false" outlineLevel="1" customWidth="1"/>
    <col min="36" max="36" width="10.69" hidden="false" outlineLevel="1" customWidth="1"/>
    <col min="37" max="37" width="10.69" hidden="false" outlineLevel="1" customWidth="1"/>
    <col min="38" max="38" width="10.69" hidden="false" outlineLevel="1" customWidth="1"/>
    <col min="39" max="39" width="10.69" hidden="false" outlineLevel="1" customWidth="1"/>
    <col min="40" max="40" width="10.69" hidden="false" outlineLevel="1" customWidth="1"/>
    <col min="41" max="41" width="10.69" hidden="false" outlineLevel="1" customWidth="1"/>
    <col min="42" max="42" width="10.69" hidden="false" outlineLevel="1" customWidth="1"/>
    <col min="43" max="43" width="10.69" hidden="false" outlineLevel="1" customWidth="1"/>
    <col min="44" max="44" width="10.69" hidden="false" outlineLevel="1" customWidth="1"/>
    <col min="45" max="45" width="10.69" hidden="false" outlineLevel="1" customWidth="1"/>
    <col min="46" max="46" width="10.69" hidden="false" outlineLevel="1" customWidth="1"/>
    <col min="47" max="47" width="10.69" hidden="false" outlineLevel="1" customWidth="1"/>
    <col min="48" max="48" width="10.69" hidden="false" outlineLevel="1" customWidth="1"/>
    <col min="49" max="49" width="10.69" hidden="false" outlineLevel="1" customWidth="1"/>
    <col min="50" max="50" width="10.69" hidden="false" outlineLevel="1" customWidth="1"/>
    <col min="51" max="51" width="10.69" hidden="false" outlineLevel="1" customWidth="1"/>
    <col min="52" max="52" width="10.69" hidden="false" outlineLevel="1" customWidth="1"/>
    <col min="53" max="53" width="10.69" hidden="false" outlineLevel="1" customWidth="1"/>
    <col min="54" max="54" width="10.69" hidden="false" outlineLevel="1" customWidth="1"/>
    <col min="55" max="55" width="10.69" hidden="false" outlineLevel="1" customWidth="1"/>
    <col min="56" max="56" width="10.69" hidden="false" outlineLevel="1" customWidth="1"/>
    <col min="57" max="57" width="10.69" hidden="false" outlineLevel="1" customWidth="1"/>
    <col min="58" max="58" width="10.69" hidden="false" outlineLevel="1" customWidth="1"/>
    <col min="59" max="59" width="10.69" hidden="false" outlineLevel="1" customWidth="1"/>
    <col min="60" max="60" width="10.69" hidden="false" outlineLevel="1" customWidth="1"/>
    <col min="61" max="61" width="10.69" hidden="false" outlineLevel="1" customWidth="1"/>
    <col min="62" max="62" width="10.69" hidden="false" outlineLevel="1" customWidth="1"/>
    <col min="63" max="63" width="10.69" hidden="false" outlineLevel="1" customWidth="1"/>
    <col min="64" max="64" width="10.69" hidden="false" outlineLevel="1" customWidth="1"/>
    <col min="65" max="65" width="10.69" hidden="false" outlineLevel="1" customWidth="1"/>
    <col min="66" max="66" width="10.69" hidden="false" outlineLevel="1" customWidth="1"/>
    <col min="67" max="67" width="10.69" hidden="false" outlineLevel="1" customWidth="1"/>
    <col min="68" max="68" width="10.69" hidden="false" outlineLevel="1" customWidth="1"/>
    <col min="69" max="69" width="10.69" hidden="false" outlineLevel="1" customWidth="1"/>
    <col min="70" max="70" width="10.69" hidden="false" outlineLevel="1" customWidth="1"/>
    <col min="71" max="71" width="10.69" hidden="false" outlineLevel="1" customWidth="1"/>
    <col min="72" max="72" width="10.69" hidden="false" outlineLevel="1" customWidth="1"/>
    <col min="73" max="73" width="10.69" hidden="false" outlineLevel="1" customWidth="1"/>
    <col min="74" max="74" width="10.69" hidden="false" outlineLevel="1" customWidth="1"/>
    <col min="75" max="75" width="10.69" hidden="false" outlineLevel="1" customWidth="1"/>
    <col min="76" max="76" width="10.69" hidden="false" outlineLevel="1" customWidth="1"/>
    <col min="77" max="77" width="10.69" hidden="false" outlineLevel="1" customWidth="1"/>
    <col min="78" max="78" width="10.69" hidden="false" outlineLevel="1" customWidth="1"/>
    <col min="79" max="79" width="10.69" hidden="false" outlineLevel="1" customWidth="1"/>
    <col min="80" max="80" width="10.69" hidden="false" outlineLevel="1" customWidth="1"/>
    <col min="81" max="81" width="10.69" hidden="false" outlineLevel="1" customWidth="1"/>
    <col min="82" max="82" width="10.69" hidden="false" outlineLevel="1" customWidth="1"/>
    <col min="83" max="83" width="10.69" hidden="false" outlineLevel="1" customWidth="1"/>
    <col min="84" max="84" width="10.69" hidden="false" outlineLevel="1" customWidth="1"/>
    <col min="85" max="85" width="10.69" hidden="false" outlineLevel="1" customWidth="1"/>
    <col min="86" max="86" width="10.69" hidden="false" outlineLevel="1" customWidth="1"/>
    <col min="87" max="87" width="10.69" hidden="false" outlineLevel="1" customWidth="1"/>
    <col min="88" max="88" width="10.69" hidden="false" outlineLevel="1" customWidth="1"/>
    <col min="89" max="89" width="10.69" hidden="false" outlineLevel="1" customWidth="1"/>
    <col min="90" max="90" width="10.69" hidden="false" outlineLevel="1" customWidth="1"/>
    <col min="91" max="91" width="10.69" hidden="false" outlineLevel="1" customWidth="1"/>
    <col min="92" max="92" width="10.69" hidden="false" outlineLevel="1" customWidth="1"/>
    <col min="93" max="93" width="10.69" hidden="false" outlineLevel="1" customWidth="1"/>
    <col min="94" max="94" width="10.69" hidden="false" outlineLevel="1" customWidth="1"/>
    <col min="95" max="95" width="10.69" hidden="false" outlineLevel="1" customWidth="1"/>
    <col min="96" max="96" width="10.69" hidden="false" outlineLevel="1" customWidth="1"/>
    <col min="97" max="97" width="10.69" hidden="false" outlineLevel="1" customWidth="1"/>
    <col min="98" max="98" width="10.69" hidden="false" outlineLevel="1" customWidth="1"/>
    <col min="99" max="99" width="10.69" hidden="false" outlineLevel="1" customWidth="1"/>
    <col min="100" max="100" width="10.69" hidden="false" outlineLevel="1" customWidth="1"/>
    <col min="101" max="101" width="10.69" hidden="false" outlineLevel="1" customWidth="1"/>
    <col min="102" max="102" width="10.69" hidden="false" outlineLevel="1" customWidth="1"/>
    <col min="103" max="103" width="10.69" hidden="false" outlineLevel="1" customWidth="1"/>
    <col min="104" max="104" width="10.69" hidden="false" outlineLevel="1" customWidth="1"/>
    <col min="105" max="105" width="10.69" hidden="false" outlineLevel="1" customWidth="1"/>
    <col min="106" max="106" width="10.69" hidden="false" outlineLevel="1" customWidth="1"/>
    <col min="107" max="107" width="10.69" hidden="false" outlineLevel="1" customWidth="1"/>
    <col min="108" max="108" width="10.69" hidden="false" outlineLevel="1" customWidth="1"/>
    <col min="109" max="109" width="10.69" hidden="false" outlineLevel="1" customWidth="1"/>
    <col min="110" max="110" width="10.69" hidden="false" outlineLevel="1" customWidth="1"/>
    <col min="111" max="111" width="10.69" hidden="false" outlineLevel="1" customWidth="1"/>
    <col min="112" max="112" width="10.69" hidden="false" outlineLevel="1" customWidth="1"/>
    <col min="113" max="113" width="10.69" hidden="false" outlineLevel="1" customWidth="1"/>
    <col min="114" max="114" width="10.69" hidden="false" outlineLevel="1" customWidth="1"/>
    <col min="115" max="115" width="10.69" hidden="false" outlineLevel="1" customWidth="1"/>
    <col min="116" max="116" width="10.69" hidden="false" outlineLevel="1" customWidth="1"/>
    <col min="117" max="117" width="10.69" hidden="false" outlineLevel="1" customWidth="1"/>
    <col min="118" max="118" width="10.69" hidden="false" outlineLevel="1" customWidth="1"/>
    <col min="119" max="119" width="10.69" hidden="false" outlineLevel="1" customWidth="1"/>
    <col min="120" max="120" width="10.69" hidden="false" outlineLevel="1" customWidth="1"/>
    <col min="121" max="121" width="10.69" hidden="false" outlineLevel="1" customWidth="1"/>
    <col min="122" max="122" width="10.69" hidden="false" outlineLevel="1" customWidth="1"/>
    <col min="123" max="123" width="10.69" hidden="false" outlineLevel="1" customWidth="1"/>
    <col min="124" max="124" width="10.69" hidden="false" outlineLevel="1" customWidth="1"/>
    <col min="125" max="125" width="10.69" hidden="false" outlineLevel="1" customWidth="1"/>
    <col min="126" max="126" width="10.69" hidden="false" outlineLevel="1" customWidth="1"/>
    <col min="127" max="127" width="10.69" hidden="false" outlineLevel="1" customWidth="1"/>
    <col min="128" max="128" width="10.69" hidden="false" outlineLevel="1" customWidth="1"/>
    <col min="129" max="129" width="10.69" hidden="false" outlineLevel="1" customWidth="1"/>
    <col min="130" max="130" width="10.69" hidden="false" outlineLevel="1" customWidth="1"/>
    <col min="131" max="131" width="10.69" hidden="false" outlineLevel="1" customWidth="1"/>
    <col min="132" max="132" width="10.69" hidden="false" outlineLevel="1" customWidth="1"/>
    <col min="133" max="133" width="10.69" hidden="false" outlineLevel="1" customWidth="1"/>
    <col min="134" max="134" width="10.69" hidden="false" outlineLevel="1" customWidth="1"/>
    <col min="135" max="135" width="10.69" hidden="false" outlineLevel="1" customWidth="1"/>
    <col min="136" max="136" width="10.69" hidden="false" outlineLevel="1" customWidth="1"/>
    <col min="137" max="137" width="10.69" hidden="false" outlineLevel="1" customWidth="1"/>
    <col min="138" max="138" width="10.69" hidden="false" outlineLevel="1" customWidth="1"/>
    <col min="139" max="139" width="10.69" hidden="false" outlineLevel="1" customWidth="1"/>
    <col min="140" max="140" width="10.69" hidden="false" outlineLevel="1" customWidth="1"/>
    <col min="141" max="141" width="10.69" hidden="false" outlineLevel="1" customWidth="1"/>
    <col min="142" max="142" width="10.69" hidden="false" outlineLevel="1" customWidth="1"/>
    <col min="143" max="143" width="10.69" hidden="false" outlineLevel="1" customWidth="1"/>
    <col min="144" max="144" width="10.69" hidden="false" outlineLevel="1" customWidth="1"/>
    <col min="145" max="145" width="10.69" hidden="false" outlineLevel="1" customWidth="1"/>
    <col min="146" max="146" width="10.69" hidden="false" outlineLevel="1" customWidth="1"/>
    <col min="147" max="147" width="10.69" hidden="false" outlineLevel="1" customWidth="1"/>
    <col min="148" max="148" width="10.69" hidden="false" outlineLevel="1" customWidth="1"/>
    <col min="149" max="149" width="10.69" hidden="false" outlineLevel="1" customWidth="1"/>
    <col min="150" max="150" width="10.69" hidden="false" outlineLevel="1" customWidth="1"/>
    <col min="151" max="151" width="10.69" hidden="false" outlineLevel="1" customWidth="1"/>
    <col min="152" max="152" width="10.69" hidden="false" outlineLevel="1" customWidth="1"/>
    <col min="153" max="153" width="10.69" hidden="false" outlineLevel="1" customWidth="1"/>
    <col min="154" max="154" width="10.69" hidden="false" outlineLevel="1" customWidth="1"/>
    <col min="155" max="155" width="10.69" hidden="false" outlineLevel="1" customWidth="1"/>
    <col min="156" max="156" width="10.69" hidden="false" outlineLevel="1" customWidth="1"/>
    <col min="157" max="157" width="10.69" hidden="false" outlineLevel="1" customWidth="1"/>
    <col min="158" max="158" width="10.69" hidden="false" outlineLevel="1" customWidth="1"/>
    <col min="159" max="159" width="10.69" hidden="false" outlineLevel="1" customWidth="1"/>
    <col min="160" max="160" width="10.69" hidden="false" outlineLevel="1" customWidth="1"/>
    <col min="161" max="161" width="10.69" hidden="false" outlineLevel="1" customWidth="1"/>
    <col min="162" max="162" width="10.69" hidden="false" outlineLevel="1" customWidth="1"/>
    <col min="163" max="163" width="10.69" hidden="false" outlineLevel="1" customWidth="1"/>
    <col min="164" max="164" width="10.69" hidden="false" outlineLevel="1" customWidth="1"/>
    <col min="165" max="165" width="10.69" hidden="false" outlineLevel="1" customWidth="1"/>
    <col min="166" max="166" width="10.69" hidden="false" outlineLevel="1" customWidth="1"/>
    <col min="167" max="167" width="10.69" hidden="false" outlineLevel="1" customWidth="1"/>
    <col min="168" max="168" width="10.69" hidden="false" outlineLevel="1" customWidth="1"/>
    <col min="169" max="169" width="10.69" hidden="false" outlineLevel="1" customWidth="1"/>
    <col min="170" max="170" width="10.69" hidden="false" outlineLevel="1" customWidth="1"/>
    <col min="171" max="171" width="10.69" hidden="false" outlineLevel="1" customWidth="1"/>
    <col min="172" max="172" width="10.69" hidden="false" outlineLevel="1" customWidth="1"/>
    <col min="173" max="173" width="10.69" hidden="false" outlineLevel="1" customWidth="1"/>
    <col min="174" max="174" width="10.69" hidden="false" outlineLevel="1" customWidth="1"/>
    <col min="175" max="175" width="10.69" hidden="false" outlineLevel="1" customWidth="1"/>
    <col min="176" max="176" width="10.69" hidden="false" outlineLevel="1" customWidth="1"/>
    <col min="177" max="177" width="10.69" hidden="false" outlineLevel="1" customWidth="1"/>
    <col min="178" max="178" width="10.69" hidden="false" outlineLevel="1" customWidth="1"/>
    <col min="179" max="179" width="10.69" hidden="false" outlineLevel="1" customWidth="1"/>
    <col min="180" max="180" width="10.69" hidden="false" outlineLevel="1" customWidth="1"/>
    <col min="181" max="181" width="10.69" hidden="false" outlineLevel="1" customWidth="1"/>
    <col min="182" max="182" width="10.69" hidden="false" outlineLevel="1" customWidth="1"/>
    <col min="183" max="183" width="10.69" hidden="false" outlineLevel="1" customWidth="1"/>
    <col min="184" max="184" width="10.69" hidden="false" outlineLevel="1" customWidth="1"/>
    <col min="185" max="185" width="10.69" hidden="false" outlineLevel="1" customWidth="1"/>
    <col min="186" max="186" width="10.69" hidden="false" outlineLevel="1" customWidth="1"/>
    <col min="187" max="187" width="10.69" hidden="false" outlineLevel="1" customWidth="1"/>
    <col min="188" max="188" width="10.69" hidden="false" outlineLevel="1" customWidth="1"/>
    <col min="189" max="189" width="10.69" hidden="false" outlineLevel="1" customWidth="1"/>
    <col min="190" max="190" width="10.69" hidden="false" outlineLevel="1" customWidth="1"/>
    <col min="191" max="191" width="10.69" hidden="false" outlineLevel="1" customWidth="1"/>
    <col min="192" max="192" width="10.69" hidden="false" outlineLevel="1" customWidth="1"/>
    <col min="193" max="193" width="10.69" hidden="false" outlineLevel="1" customWidth="1"/>
    <col min="194" max="194" width="10.69" hidden="false" outlineLevel="1" customWidth="1"/>
    <col min="195" max="195" width="10.69" hidden="false" outlineLevel="1" customWidth="1"/>
    <col min="196" max="196" width="10.69" hidden="false" outlineLevel="1" customWidth="1"/>
    <col min="197" max="197" width="10.69" hidden="false" outlineLevel="1" customWidth="1"/>
    <col min="198" max="198" width="10.69" hidden="false" outlineLevel="1" customWidth="1"/>
    <col min="199" max="199" width="10.69" hidden="false" outlineLevel="1" customWidth="1"/>
    <col min="200" max="200" width="10.69" hidden="false" outlineLevel="1" customWidth="1"/>
    <col min="201" max="201" width="10.69" hidden="false" outlineLevel="1" customWidth="1"/>
    <col min="202" max="202" width="10.69" hidden="false" outlineLevel="1" customWidth="1"/>
    <col min="203" max="203" width="10.69" hidden="false" outlineLevel="1" customWidth="1"/>
    <col min="204" max="204" width="10.69" hidden="false" outlineLevel="1" customWidth="1"/>
    <col min="205" max="205" width="10.69" hidden="false" outlineLevel="1" customWidth="1"/>
    <col min="206" max="206" width="10.69" hidden="false" outlineLevel="1" customWidth="1"/>
    <col min="207" max="207" width="10.69" hidden="false" outlineLevel="1" customWidth="1"/>
    <col min="208" max="208" width="10.69" hidden="false" outlineLevel="1" customWidth="1"/>
    <col min="209" max="209" width="10.69" hidden="false" outlineLevel="1" customWidth="1"/>
    <col min="210" max="210" width="10.69" hidden="false" outlineLevel="1" customWidth="1"/>
    <col min="211" max="211" width="10.69" hidden="false" outlineLevel="1" customWidth="1"/>
    <col min="212" max="212" width="10.69" hidden="false" outlineLevel="1" customWidth="1"/>
    <col min="213" max="213" width="10.69" hidden="false" outlineLevel="1" customWidth="1"/>
    <col min="214" max="214" width="10.69" hidden="false" outlineLevel="1" customWidth="1"/>
    <col min="215" max="215" width="10.69" hidden="false" outlineLevel="1" customWidth="1"/>
    <col min="216" max="216" width="10.69" hidden="false" outlineLevel="1" customWidth="1"/>
    <col min="217" max="217" width="10.69" hidden="false" outlineLevel="1" customWidth="1"/>
    <col min="218" max="218" width="10.69" hidden="false" outlineLevel="1" customWidth="1"/>
    <col min="219" max="219" width="10.69" hidden="false" outlineLevel="1" customWidth="1"/>
    <col min="220" max="220" width="10.69" hidden="false" outlineLevel="1" customWidth="1"/>
    <col min="221" max="221" width="10.69" hidden="false" outlineLevel="1" customWidth="1"/>
    <col min="222" max="222" width="10.69" hidden="false" outlineLevel="1" customWidth="1"/>
    <col min="223" max="223" width="10.69" hidden="false" outlineLevel="1" customWidth="1"/>
    <col min="224" max="224" width="10.69" hidden="false" outlineLevel="1" customWidth="1"/>
    <col min="225" max="225" width="10.69" hidden="false" outlineLevel="1" customWidth="1"/>
    <col min="226" max="226" width="10.69" hidden="false" outlineLevel="1" customWidth="1"/>
    <col min="227" max="227" width="10.69" hidden="false" outlineLevel="1" customWidth="1"/>
    <col min="228" max="228" width="10.69" hidden="false" outlineLevel="1" customWidth="1"/>
    <col min="229" max="229" width="10.69" hidden="false" outlineLevel="1" customWidth="1"/>
    <col min="230" max="230" width="10.69" hidden="false" outlineLevel="1" customWidth="1"/>
    <col min="231" max="231" width="10.69" hidden="false" outlineLevel="1" customWidth="1"/>
    <col min="232" max="232" width="10.69" hidden="false" outlineLevel="1" customWidth="1"/>
    <col min="233" max="233" width="10.69" hidden="false" outlineLevel="1" customWidth="1"/>
    <col min="234" max="234" width="10.69" hidden="false" outlineLevel="1" customWidth="1"/>
    <col min="235" max="235" width="10.69" hidden="false" outlineLevel="1" customWidth="1"/>
    <col min="236" max="236" width="10.69" hidden="false" outlineLevel="1" customWidth="1"/>
    <col min="237" max="237" width="10.69" hidden="false" outlineLevel="1" customWidth="1"/>
    <col min="238" max="238" width="10.69" hidden="false" outlineLevel="1" customWidth="1"/>
    <col min="239" max="239" width="10.69" hidden="false" outlineLevel="1" customWidth="1"/>
    <col min="240" max="240" width="10.69" hidden="false" outlineLevel="1" customWidth="1"/>
    <col min="241" max="241" width="10.69" hidden="false" outlineLevel="1" customWidth="1"/>
    <col min="242" max="242" width="10.69" hidden="false" outlineLevel="1" customWidth="1"/>
    <col min="243" max="243" width="10.69" hidden="false" outlineLevel="1" customWidth="1"/>
    <col min="244" max="244" width="10.69" hidden="false" outlineLevel="1" customWidth="1"/>
    <col min="245" max="245" width="10.69" hidden="false" outlineLevel="1" customWidth="1"/>
    <col min="246" max="246" width="10.69" hidden="false" outlineLevel="1" customWidth="1"/>
    <col min="247" max="247" width="10.69" hidden="false" outlineLevel="1" customWidth="1"/>
    <col min="248" max="248" width="10.69" hidden="false" outlineLevel="1" customWidth="1"/>
    <col min="249" max="249" width="10.69" hidden="false" outlineLevel="1" customWidth="1"/>
    <col min="250" max="250" width="10.69" hidden="false" outlineLevel="1" customWidth="1"/>
    <col min="251" max="251" width="10.69" hidden="false" outlineLevel="1" customWidth="1"/>
    <col min="252" max="252" width="10.69" hidden="false" outlineLevel="1" customWidth="1"/>
    <col min="253" max="253" width="10.69" hidden="false" outlineLevel="1" customWidth="1"/>
    <col min="254" max="254" width="10.69" hidden="false" outlineLevel="1" customWidth="1"/>
    <col min="255" max="255" width="10.69" hidden="false" outlineLevel="1" customWidth="1"/>
    <col min="256" max="256" width="10.69" hidden="false" outlineLevel="1" customWidth="1"/>
    <col min="257" max="257" width="10.69" hidden="false" outlineLevel="1" customWidth="1"/>
    <col min="258" max="258" width="10.69" hidden="false" outlineLevel="1" customWidth="1"/>
    <col min="259" max="259" width="10.69" hidden="false" outlineLevel="1" customWidth="1"/>
    <col min="260" max="260" width="10.69" hidden="false" outlineLevel="1" customWidth="1"/>
    <col min="261" max="261" width="10.69" hidden="false" outlineLevel="1" customWidth="1"/>
    <col min="262" max="262" width="10.69" hidden="false" outlineLevel="1" customWidth="1"/>
    <col min="263" max="263" width="10.69" hidden="false" outlineLevel="1" customWidth="1"/>
    <col min="264" max="264" width="10.69" hidden="false" outlineLevel="1" customWidth="1"/>
    <col min="265" max="265" width="10.69" hidden="false" outlineLevel="1" customWidth="1"/>
    <col min="266" max="266" width="10.69" hidden="false" outlineLevel="1" customWidth="1"/>
    <col min="267" max="267" width="10.69" hidden="false" outlineLevel="1" customWidth="1"/>
    <col min="268" max="268" width="10.69" hidden="false" outlineLevel="1" customWidth="1"/>
    <col min="269" max="269" width="10.69" hidden="false" outlineLevel="1" customWidth="1"/>
    <col min="270" max="270" width="10.69" hidden="false" outlineLevel="1" customWidth="1"/>
    <col min="271" max="271" width="10.69" hidden="false" outlineLevel="1" customWidth="1"/>
    <col min="272" max="272" width="10.69" hidden="false" outlineLevel="1" customWidth="1"/>
    <col min="273" max="273" width="10.69" hidden="false" outlineLevel="1" customWidth="1"/>
    <col min="274" max="274" width="10.69" hidden="false" outlineLevel="1" customWidth="1"/>
    <col min="275" max="275" width="10.69" hidden="false" outlineLevel="1" customWidth="1"/>
    <col min="276" max="276" width="10.69" hidden="false" outlineLevel="1" customWidth="1"/>
    <col min="277" max="277" width="10.69" hidden="false" outlineLevel="1" customWidth="1"/>
    <col min="278" max="278" width="10.69" hidden="false" outlineLevel="1" customWidth="1"/>
    <col min="279" max="279" width="10.69" hidden="false" outlineLevel="1" customWidth="1"/>
    <col min="280" max="280" width="10.69" hidden="false" outlineLevel="1" customWidth="1"/>
    <col min="281" max="281" width="10.69" hidden="false" outlineLevel="1" customWidth="1"/>
    <col min="282" max="282" width="10.69" hidden="false" outlineLevel="1" customWidth="1"/>
    <col min="283" max="283" width="10.69" hidden="false" outlineLevel="1" customWidth="1"/>
    <col min="284" max="284" width="10.69" hidden="false" outlineLevel="1" customWidth="1"/>
    <col min="285" max="285" width="10.69" hidden="false" outlineLevel="1" customWidth="1"/>
    <col min="286" max="286" width="10.69" hidden="false" outlineLevel="1" customWidth="1"/>
    <col min="287" max="287" width="10.69" hidden="false" outlineLevel="1" customWidth="1"/>
    <col min="288" max="288" width="10.69" hidden="false" outlineLevel="1" customWidth="1"/>
    <col min="289" max="289" width="10.69" hidden="false" outlineLevel="1" customWidth="1"/>
    <col min="290" max="290" width="10.69" hidden="false" outlineLevel="1" customWidth="1"/>
    <col min="291" max="291" width="10.69" hidden="false" outlineLevel="1" customWidth="1"/>
    <col min="292" max="292" width="10.69" hidden="false" outlineLevel="1" customWidth="1"/>
    <col min="293" max="293" width="10.69" hidden="false" outlineLevel="1" customWidth="1"/>
    <col min="294" max="294" width="10.69" hidden="false" outlineLevel="1" customWidth="1"/>
    <col min="295" max="295" width="10.69" hidden="false" outlineLevel="1" customWidth="1"/>
    <col min="296" max="296" width="10.69" hidden="false" outlineLevel="1" customWidth="1"/>
    <col min="297" max="297" width="10.69" hidden="false" outlineLevel="1" customWidth="1"/>
    <col min="298" max="298" width="10.69" hidden="false" outlineLevel="1" customWidth="1"/>
    <col min="299" max="299" width="10.69" hidden="false" outlineLevel="1" customWidth="1"/>
    <col min="300" max="300" width="10.69" hidden="false" outlineLevel="1" customWidth="1"/>
    <col min="301" max="301" width="10.69" hidden="false" outlineLevel="1" customWidth="1"/>
    <col min="302" max="302" width="10.69" hidden="false" outlineLevel="1" customWidth="1"/>
    <col min="303" max="303" width="10.69" hidden="false" outlineLevel="1" customWidth="1"/>
    <col min="304" max="304" width="10.69" hidden="false" outlineLevel="1" customWidth="1"/>
    <col min="305" max="305" width="10.69" hidden="false" outlineLevel="1" customWidth="1"/>
    <col min="306" max="306" width="10.69" hidden="false" outlineLevel="1" customWidth="1"/>
    <col min="307" max="307" width="10.69" hidden="false" outlineLevel="1" customWidth="1"/>
    <col min="308" max="308" width="10.69" hidden="false" outlineLevel="1" customWidth="1"/>
    <col min="309" max="309" width="10.69" hidden="false" outlineLevel="1" customWidth="1"/>
    <col min="310" max="310" width="10.69" hidden="false" outlineLevel="1" customWidth="1"/>
    <col min="311" max="311" width="10.69" hidden="false" outlineLevel="1" customWidth="1"/>
    <col min="312" max="312" width="10.69" hidden="false" outlineLevel="1" customWidth="1"/>
    <col min="313" max="313" width="10.69" hidden="false" outlineLevel="1" customWidth="1"/>
    <col min="314" max="314" width="10.69" hidden="false" outlineLevel="1" customWidth="1"/>
    <col min="315" max="315" width="10.69" hidden="false" outlineLevel="1" customWidth="1"/>
    <col min="316" max="316" width="10.69" hidden="false" outlineLevel="1" customWidth="1"/>
    <col min="317" max="317" width="10.69" hidden="false" outlineLevel="1" customWidth="1"/>
    <col min="318" max="318" width="10.69" hidden="false" outlineLevel="1" customWidth="1"/>
    <col min="319" max="319" width="10.69" hidden="false" outlineLevel="1" customWidth="1"/>
    <col min="320" max="320" width="10.69" hidden="false" outlineLevel="1" customWidth="1"/>
    <col min="321" max="321" width="10.69" hidden="false" outlineLevel="1" customWidth="1"/>
    <col min="322" max="322" width="10.69" hidden="false" outlineLevel="1" customWidth="1"/>
    <col min="323" max="323" width="10.69" hidden="false" outlineLevel="1" customWidth="1"/>
    <col min="324" max="324" width="10.69" hidden="false" outlineLevel="1" customWidth="1"/>
    <col min="325" max="325" width="10.69" hidden="false" outlineLevel="1" customWidth="1"/>
    <col min="326" max="326" width="10.69" hidden="false" outlineLevel="1" customWidth="1"/>
    <col min="327" max="327" width="10.69" hidden="false" outlineLevel="1" customWidth="1"/>
    <col min="328" max="328" width="10.69" hidden="false" outlineLevel="1" customWidth="1"/>
    <col min="329" max="329" width="10.69" hidden="false" outlineLevel="1" customWidth="1"/>
    <col min="330" max="330" width="10.69" hidden="false" outlineLevel="1" customWidth="1"/>
    <col min="331" max="331" width="10.69" hidden="false" outlineLevel="1" customWidth="1"/>
    <col min="332" max="332" width="10.69" hidden="false" outlineLevel="1" customWidth="1"/>
    <col min="333" max="333" width="10.69" hidden="false" outlineLevel="1" customWidth="1"/>
    <col min="334" max="334" width="10.69" hidden="false" outlineLevel="1" customWidth="1"/>
    <col min="335" max="335" width="10.69" hidden="false" outlineLevel="1" customWidth="1"/>
    <col min="336" max="336" width="10.69" hidden="false" outlineLevel="1" customWidth="1"/>
    <col min="337" max="337" width="10.69" hidden="false" outlineLevel="1" customWidth="1"/>
    <col min="338" max="338" width="10.69" hidden="false" outlineLevel="1" customWidth="1"/>
    <col min="339" max="339" width="10.69" hidden="false" outlineLevel="1" customWidth="1"/>
    <col min="340" max="340" width="10.69" hidden="false" outlineLevel="1" customWidth="1"/>
    <col min="341" max="341" width="10.69" hidden="false" outlineLevel="1" customWidth="1"/>
    <col min="342" max="342" width="10.69" hidden="false" outlineLevel="1" customWidth="1"/>
    <col min="343" max="343" width="10.69" hidden="false" outlineLevel="1" customWidth="1"/>
    <col min="344" max="344" width="10.69" hidden="false" outlineLevel="1" customWidth="1"/>
    <col min="345" max="345" width="10.69" hidden="false" outlineLevel="1" customWidth="1"/>
    <col min="346" max="346" width="10.69" hidden="false" outlineLevel="1" customWidth="1"/>
    <col min="347" max="347" width="10.69" hidden="false" outlineLevel="1" customWidth="1"/>
    <col min="348" max="348" width="10.69" hidden="false" outlineLevel="1" customWidth="1"/>
    <col min="349" max="349" width="10.69" hidden="false" outlineLevel="1" customWidth="1"/>
    <col min="350" max="350" width="10.69" hidden="false" outlineLevel="1" customWidth="1"/>
    <col min="351" max="351" width="10.69" hidden="false" outlineLevel="1" customWidth="1"/>
    <col min="352" max="352" width="10.69" hidden="false" outlineLevel="1" customWidth="1"/>
    <col min="353" max="353" width="10.69" hidden="false" outlineLevel="1" customWidth="1"/>
    <col min="354" max="354" width="10.69" hidden="false" outlineLevel="1" customWidth="1"/>
    <col min="355" max="355" width="10.69" hidden="false" outlineLevel="1" customWidth="1"/>
    <col min="356" max="356" width="10.69" hidden="false" outlineLevel="1" customWidth="1"/>
    <col min="357" max="357" width="10.69" hidden="false" outlineLevel="1" customWidth="1"/>
    <col min="358" max="358" width="10.69" hidden="false" outlineLevel="1" customWidth="1"/>
    <col min="359" max="359" width="10.69" hidden="false" outlineLevel="1" customWidth="1"/>
    <col min="360" max="360" width="10.69" hidden="false" outlineLevel="1" customWidth="1"/>
    <col min="361" max="361" width="10.69" hidden="false" outlineLevel="1" customWidth="1"/>
    <col min="362" max="362" width="10.69" hidden="false" outlineLevel="1" customWidth="1"/>
    <col min="363" max="363" width="10.69" hidden="false" outlineLevel="1" customWidth="1"/>
    <col min="364" max="364" width="10.69" hidden="false" outlineLevel="1" customWidth="1"/>
    <col min="365" max="365" width="10.69" hidden="false" outlineLevel="1" customWidth="1"/>
    <col min="366" max="366" width="10.69" hidden="false" outlineLevel="1" customWidth="1"/>
    <col min="367" max="367" width="10.69" hidden="false" outlineLevel="1" customWidth="1"/>
    <col min="368" max="368" width="10.69" hidden="false" outlineLevel="1" customWidth="1"/>
    <col min="369" max="369" width="10.69" hidden="false" outlineLevel="1" customWidth="1"/>
    <col min="370" max="370" width="10.69" hidden="false" outlineLevel="1" customWidth="1"/>
    <col min="371" max="371" width="10.69" hidden="false" outlineLevel="1" customWidth="1"/>
    <col min="372" max="372" width="10.69" hidden="false" outlineLevel="1" customWidth="1"/>
    <col min="373" max="373" width="10.69" hidden="false" outlineLevel="1" customWidth="1"/>
    <col min="374" max="374" width="10.69" hidden="false" outlineLevel="1" customWidth="1"/>
    <col min="375" max="375" width="10.69" hidden="false" outlineLevel="1" customWidth="1"/>
    <col min="376" max="376" width="10.69" hidden="false" outlineLevel="1" customWidth="1"/>
    <col min="377" max="377" width="10.69" hidden="false" outlineLevel="1" customWidth="1"/>
    <col min="378" max="378" width="10.69" hidden="false" outlineLevel="1" customWidth="1"/>
    <col min="379" max="379" width="10.69" hidden="false" outlineLevel="1" customWidth="1"/>
    <col min="380" max="380" width="10.69" hidden="false" outlineLevel="1" customWidth="1"/>
    <col min="381" max="381" width="10.69" hidden="false" outlineLevel="1" customWidth="1"/>
    <col min="382" max="382" width="10.69" hidden="false" outlineLevel="1" customWidth="1"/>
    <col min="383" max="383" width="10.69" hidden="false" outlineLevel="1" customWidth="1"/>
    <col min="384" max="384" width="10.69" hidden="false" outlineLevel="1" customWidth="1"/>
    <col min="385" max="385" width="10.69" hidden="false" outlineLevel="1" customWidth="1"/>
    <col min="386" max="386" width="10.69" hidden="false" outlineLevel="1" customWidth="1"/>
    <col min="387" max="387" width="10.69" hidden="false" outlineLevel="1" customWidth="1"/>
    <col min="388" max="388" width="10.69" hidden="false" outlineLevel="1" customWidth="1"/>
    <col min="389" max="389" width="10.69" hidden="false" outlineLevel="1" customWidth="1"/>
    <col min="390" max="390" width="10.69" hidden="false" outlineLevel="1" customWidth="1"/>
    <col min="391" max="391" width="10.69" hidden="false" outlineLevel="1" customWidth="1"/>
    <col min="392" max="392" width="10.69" hidden="false" outlineLevel="1" customWidth="1"/>
    <col min="393" max="393" width="10.69" hidden="false" outlineLevel="1" customWidth="1"/>
    <col min="394" max="394" width="10.69" hidden="false" outlineLevel="1" customWidth="1"/>
    <col min="395" max="395" width="10.69" hidden="false" outlineLevel="1" customWidth="1"/>
    <col min="396" max="396" width="10.69" hidden="false" outlineLevel="1" customWidth="1"/>
    <col min="397" max="397" width="10.69" hidden="false" outlineLevel="1" customWidth="1"/>
    <col min="398" max="398" width="10.69" hidden="false" outlineLevel="1" customWidth="1"/>
    <col min="399" max="399" width="10.69" hidden="false" outlineLevel="1" customWidth="1"/>
    <col min="400" max="400" width="10.69" hidden="false" outlineLevel="1" customWidth="1"/>
    <col min="401" max="401" width="10.69" hidden="false" outlineLevel="1" customWidth="1"/>
    <col min="402" max="402" width="10.69" hidden="false" outlineLevel="1" customWidth="1"/>
    <col min="403" max="403" width="10.69" hidden="false" outlineLevel="1" customWidth="1"/>
    <col min="404" max="404" width="10.69" hidden="false" outlineLevel="1" customWidth="1"/>
    <col min="405" max="405" width="10.69" hidden="false" outlineLevel="1" customWidth="1"/>
    <col min="406" max="406" width="10.69" hidden="false" outlineLevel="1" customWidth="1"/>
    <col min="407" max="407" width="10.69" hidden="false" outlineLevel="1" customWidth="1"/>
    <col min="408" max="408" width="10.69" hidden="false" outlineLevel="1" customWidth="1"/>
    <col min="409" max="409" width="10.69" hidden="false" outlineLevel="1" customWidth="1"/>
    <col min="410" max="410" width="10.69" hidden="false" outlineLevel="1" customWidth="1"/>
    <col min="411" max="411" width="10.69" hidden="false" outlineLevel="1" customWidth="1"/>
    <col min="412" max="412" width="10.69" hidden="false" outlineLevel="1" customWidth="1"/>
    <col min="413" max="413" width="10.69" hidden="false" outlineLevel="1" customWidth="1"/>
    <col min="414" max="414" width="10.69" hidden="false" outlineLevel="1" customWidth="1"/>
    <col min="415" max="415" width="10.69" hidden="false" outlineLevel="1" customWidth="1"/>
    <col min="416" max="416" width="10.69" hidden="false" outlineLevel="1" customWidth="1"/>
    <col min="417" max="417" width="10.69" hidden="false" outlineLevel="1" customWidth="1"/>
    <col min="418" max="418" width="10.69" hidden="false" outlineLevel="1" customWidth="1"/>
    <col min="419" max="419" width="10.69" hidden="false" outlineLevel="1" customWidth="1"/>
    <col min="420" max="420" width="10.69" hidden="false" outlineLevel="1" customWidth="1"/>
    <col min="421" max="421" width="10.69" hidden="false" outlineLevel="1" customWidth="1"/>
    <col min="422" max="422" width="10.69" hidden="false" outlineLevel="1" customWidth="1"/>
    <col min="423" max="423" width="10.69" hidden="false" outlineLevel="1" customWidth="1"/>
    <col min="424" max="424" width="10.69" hidden="false" outlineLevel="1" customWidth="1"/>
    <col min="425" max="425" width="10.69" hidden="false" outlineLevel="1" customWidth="1"/>
    <col min="426" max="426" width="10.69" hidden="false" outlineLevel="1" customWidth="1"/>
    <col min="427" max="427" width="10.69" hidden="false" outlineLevel="1" customWidth="1"/>
    <col min="428" max="428" width="10.69" hidden="false" outlineLevel="1" customWidth="1"/>
    <col min="429" max="429" width="10.69" hidden="false" outlineLevel="1" customWidth="1"/>
    <col min="430" max="430" width="10.69" hidden="false" outlineLevel="1" customWidth="1"/>
    <col min="431" max="431" width="10.69" hidden="false" outlineLevel="1" customWidth="1"/>
    <col min="432" max="432" width="10.69" hidden="false" outlineLevel="1" customWidth="1"/>
    <col min="433" max="433" width="10.69" hidden="false" outlineLevel="1" customWidth="1"/>
    <col min="434" max="434" width="10.69" hidden="false" outlineLevel="1" customWidth="1"/>
    <col min="435" max="435" width="10.69" hidden="false" outlineLevel="1" customWidth="1"/>
    <col min="436" max="436" width="10.69" hidden="false" outlineLevel="1" customWidth="1"/>
    <col min="437" max="437" width="10.69" hidden="false" outlineLevel="1" customWidth="1"/>
    <col min="438" max="438" width="10.69" hidden="false" outlineLevel="1" customWidth="1"/>
    <col min="439" max="439" width="10.69" hidden="false" outlineLevel="1" customWidth="1"/>
    <col min="440" max="440" width="10.69" hidden="false" outlineLevel="1" customWidth="1"/>
    <col min="441" max="441" width="10.69" hidden="false" outlineLevel="1" customWidth="1"/>
    <col min="442" max="442" width="10.69" hidden="false" outlineLevel="1" customWidth="1"/>
    <col min="443" max="443" width="10.69" hidden="false" outlineLevel="1" customWidth="1"/>
    <col min="444" max="444" width="10.69" hidden="false" outlineLevel="1" customWidth="1"/>
    <col min="445" max="445" width="10.69" hidden="false" outlineLevel="1" customWidth="1"/>
    <col min="446" max="446" width="10.69" hidden="false" outlineLevel="1" customWidth="1"/>
    <col min="447" max="447" width="10.69" hidden="false" outlineLevel="1" customWidth="1"/>
    <col min="448" max="448" width="10.69" hidden="false" outlineLevel="1" customWidth="1"/>
    <col min="449" max="449" width="10.69" hidden="false" outlineLevel="1" customWidth="1"/>
    <col min="450" max="450" width="10.69" hidden="false" outlineLevel="1" customWidth="1"/>
    <col min="451" max="451" width="10.69" hidden="false" outlineLevel="1" customWidth="1"/>
    <col min="452" max="452" width="10.69" hidden="false" outlineLevel="1" customWidth="1"/>
    <col min="453" max="453" width="10.69" hidden="false" outlineLevel="1" customWidth="1"/>
    <col min="454" max="454" width="10.69" hidden="false" outlineLevel="1" customWidth="1"/>
    <col min="455" max="455" width="10.69" hidden="false" outlineLevel="1" customWidth="1"/>
    <col min="456" max="456" width="10.69" hidden="false" outlineLevel="1" customWidth="1"/>
    <col min="457" max="457" width="10.69" hidden="false" outlineLevel="1" customWidth="1"/>
    <col min="458" max="458" width="10.69" hidden="false" outlineLevel="1" customWidth="1"/>
    <col min="459" max="459" width="10.69" hidden="false" outlineLevel="1" customWidth="1"/>
    <col min="460" max="460" width="10.69" hidden="false" outlineLevel="1" customWidth="1"/>
    <col min="461" max="461" width="10.69" hidden="false" outlineLevel="1" customWidth="1"/>
    <col min="462" max="462" width="10.69" hidden="false" outlineLevel="1" customWidth="1"/>
    <col min="463" max="463" width="10.69" hidden="false" outlineLevel="1" customWidth="1"/>
    <col min="464" max="464" width="10.69" hidden="false" outlineLevel="1" customWidth="1"/>
    <col min="465" max="465" width="10.69" hidden="false" outlineLevel="1" customWidth="1"/>
    <col min="466" max="466" width="10.69" hidden="false" outlineLevel="1" customWidth="1"/>
    <col min="467" max="467" width="10.69" hidden="false" outlineLevel="1" customWidth="1"/>
    <col min="468" max="468" width="10.69" hidden="false" outlineLevel="1" customWidth="1"/>
    <col min="469" max="469" width="10.69" hidden="false" outlineLevel="1" customWidth="1"/>
    <col min="470" max="470" width="10.69" hidden="false" outlineLevel="1" customWidth="1"/>
    <col min="471" max="471" width="10.69" hidden="false" outlineLevel="1" customWidth="1"/>
    <col min="472" max="472" width="10.69" hidden="false" outlineLevel="1" customWidth="1"/>
    <col min="473" max="473" width="10.69" hidden="false" outlineLevel="1" customWidth="1"/>
    <col min="474" max="474" width="10.69" hidden="false" outlineLevel="1" customWidth="1"/>
    <col min="475" max="475" width="10.69" hidden="false" outlineLevel="1" customWidth="1"/>
    <col min="476" max="476" width="10.69" hidden="false" outlineLevel="1" customWidth="1"/>
    <col min="477" max="477" width="10.69" hidden="false" outlineLevel="1" customWidth="1"/>
    <col min="478" max="478" width="10.69" hidden="false" outlineLevel="1" customWidth="1"/>
    <col min="479" max="479" width="10.69" hidden="false" outlineLevel="1" customWidth="1"/>
    <col min="480" max="480" width="10.69" hidden="false" outlineLevel="1" customWidth="1"/>
    <col min="481" max="481" width="10.69" hidden="false" outlineLevel="1" customWidth="1"/>
    <col min="482" max="482" width="10.69" hidden="false" outlineLevel="1" customWidth="1"/>
    <col min="483" max="483" width="10.69" hidden="false" outlineLevel="1" customWidth="1"/>
    <col min="484" max="484" width="10.69" hidden="false" outlineLevel="1" customWidth="1"/>
    <col min="485" max="485" width="10.69" hidden="false" outlineLevel="1" customWidth="1"/>
    <col min="486" max="486" width="10.69" hidden="false" outlineLevel="1" customWidth="1"/>
    <col min="487" max="487" width="10.69" hidden="false" outlineLevel="1" customWidth="1"/>
    <col min="488" max="488" width="10.69" hidden="false" outlineLevel="1" customWidth="1"/>
    <col min="489" max="489" width="10.69" hidden="false" outlineLevel="1" customWidth="1"/>
    <col min="490" max="490" width="10.69" hidden="false" outlineLevel="1" customWidth="1"/>
    <col min="491" max="491" width="10.69" hidden="false" outlineLevel="1" customWidth="1"/>
    <col min="492" max="492" width="10.69" hidden="false" outlineLevel="1" customWidth="1"/>
    <col min="493" max="493" width="10.69" hidden="false" outlineLevel="1" customWidth="1"/>
    <col min="494" max="494" width="10.69" hidden="false" outlineLevel="1" customWidth="1"/>
    <col min="495" max="495" width="10.69" hidden="false" outlineLevel="1" customWidth="1"/>
    <col min="496" max="496" width="10.69" hidden="false" outlineLevel="1" customWidth="1"/>
    <col min="497" max="497" width="10.69" hidden="false" outlineLevel="1" customWidth="1"/>
    <col min="498" max="498" width="10.69" hidden="false" outlineLevel="1" customWidth="1"/>
    <col min="499" max="499" width="10.69" hidden="false" outlineLevel="1" customWidth="1"/>
    <col min="500" max="500" width="10.69" hidden="false" outlineLevel="1" customWidth="1"/>
    <col min="501" max="501" width="10.69" hidden="false" outlineLevel="1" customWidth="1"/>
    <col min="502" max="502" width="10.69" hidden="false" outlineLevel="1" customWidth="1"/>
    <col min="503" max="503" width="10.69" hidden="false" outlineLevel="1" customWidth="1"/>
    <col min="504" max="504" width="10.69" hidden="false" outlineLevel="1" customWidth="1"/>
    <col min="505" max="505" width="10.69" hidden="false" outlineLevel="1" customWidth="1"/>
    <col min="506" max="506" width="10.69" hidden="false" outlineLevel="1" customWidth="1"/>
    <col min="507" max="507" width="10.69" hidden="false" outlineLevel="1" customWidth="1"/>
    <col min="508" max="508" width="10.69" hidden="false" outlineLevel="1" customWidth="1"/>
    <col min="509" max="509" width="10.69" hidden="false" outlineLevel="1" customWidth="1"/>
    <col min="510" max="510" width="10.69" hidden="false" outlineLevel="1" customWidth="1"/>
    <col min="511" max="511" width="10.69" hidden="false" outlineLevel="1" customWidth="1"/>
    <col min="512" max="512" width="10.69" hidden="false" outlineLevel="1" customWidth="1"/>
    <col min="513" max="513" width="10.69" hidden="false" outlineLevel="1" customWidth="1"/>
    <col min="514" max="514" width="10.69" hidden="false" outlineLevel="1" customWidth="1"/>
    <col min="515" max="515" width="10.69" hidden="false" outlineLevel="1" customWidth="1"/>
    <col min="516" max="516" width="10.69" hidden="false" outlineLevel="1" customWidth="1"/>
    <col min="517" max="517" width="10.69" hidden="false" outlineLevel="1" customWidth="1"/>
    <col min="518" max="518" width="10.69" hidden="false" outlineLevel="1" customWidth="1"/>
    <col min="519" max="519" width="10.69" hidden="false" outlineLevel="1" customWidth="1"/>
    <col min="520" max="520" width="10.69" hidden="false" outlineLevel="1" customWidth="1"/>
    <col min="521" max="521" width="10.69" hidden="false" outlineLevel="1" customWidth="1"/>
    <col min="522" max="522" width="10.69" hidden="false" outlineLevel="1" customWidth="1"/>
    <col min="523" max="523" width="10.69" hidden="false" outlineLevel="1" customWidth="1"/>
    <col min="524" max="524" width="10.69" hidden="false" outlineLevel="1" customWidth="1"/>
    <col min="525" max="525" width="10.69" hidden="false" outlineLevel="1" customWidth="1"/>
    <col min="526" max="526" width="10.69" hidden="false" outlineLevel="1" customWidth="1"/>
    <col min="527" max="527" width="10.69" hidden="false" outlineLevel="1" customWidth="1"/>
    <col min="528" max="528" width="10.69" hidden="false" outlineLevel="1" customWidth="1"/>
    <col min="529" max="529" width="10.69" hidden="false" outlineLevel="1" customWidth="1"/>
    <col min="530" max="530" width="10.69" hidden="false" outlineLevel="1" customWidth="1"/>
    <col min="531" max="531" width="10.69" hidden="false" outlineLevel="1" customWidth="1"/>
    <col min="532" max="532" width="10.69" hidden="false" outlineLevel="1" customWidth="1"/>
    <col min="533" max="533" width="10.69" hidden="false" outlineLevel="1" customWidth="1"/>
    <col min="534" max="534" width="10.69" hidden="false" outlineLevel="1" customWidth="1"/>
    <col min="535" max="535" width="10.69" hidden="false" outlineLevel="1" customWidth="1"/>
    <col min="536" max="536" width="10.69" hidden="false" outlineLevel="1" customWidth="1"/>
    <col min="537" max="537" width="10.69" hidden="false" outlineLevel="1" customWidth="1"/>
    <col min="538" max="538" width="10.69" hidden="false" outlineLevel="1" customWidth="1"/>
    <col min="539" max="539" width="10.69" hidden="false" outlineLevel="1" customWidth="1"/>
    <col min="540" max="540" width="10.69" hidden="false" outlineLevel="1" customWidth="1"/>
    <col min="541" max="541" width="10.69" hidden="false" outlineLevel="1" customWidth="1"/>
    <col min="542" max="542" width="10.69" hidden="false" outlineLevel="1" customWidth="1"/>
    <col min="543" max="543" width="10.69" hidden="false" outlineLevel="1" customWidth="1"/>
    <col min="544" max="544" width="10.69" hidden="false" outlineLevel="1" customWidth="1"/>
    <col min="545" max="545" width="10.69" hidden="false" outlineLevel="1" customWidth="1"/>
    <col min="546" max="546" width="10.69" hidden="false" outlineLevel="1" customWidth="1"/>
    <col min="547" max="547" width="10.69" hidden="false" outlineLevel="1" customWidth="1"/>
    <col min="548" max="548" width="10.69" hidden="false" outlineLevel="1" customWidth="1"/>
    <col min="549" max="549" width="10.69" hidden="false" outlineLevel="1" customWidth="1"/>
    <col min="550" max="550" width="10.69" hidden="false" outlineLevel="1" customWidth="1"/>
    <col min="551" max="551" width="10.69" hidden="false" outlineLevel="1" customWidth="1"/>
    <col min="552" max="552" width="10.69" hidden="false" outlineLevel="1" customWidth="1"/>
    <col min="553" max="553" width="10.69" hidden="false" outlineLevel="1" customWidth="1"/>
    <col min="554" max="554" width="10.69" hidden="false" outlineLevel="1" customWidth="1"/>
    <col min="555" max="555" width="10.69" hidden="false" outlineLevel="1" customWidth="1"/>
    <col min="556" max="556" width="10.69" hidden="false" outlineLevel="1" customWidth="1"/>
    <col min="557" max="557" width="10.69" hidden="false" outlineLevel="1" customWidth="1"/>
    <col min="558" max="558" width="10.69" hidden="false" outlineLevel="1" customWidth="1"/>
    <col min="559" max="559" width="10.69" hidden="false" outlineLevel="1" customWidth="1"/>
    <col min="560" max="560" width="10.69" hidden="false" outlineLevel="1" customWidth="1"/>
    <col min="561" max="561" width="10.69" hidden="false" outlineLevel="1" customWidth="1"/>
    <col min="562" max="562" width="10.69" hidden="false" outlineLevel="1" customWidth="1"/>
    <col min="563" max="563" width="10.69" hidden="false" outlineLevel="1" customWidth="1"/>
    <col min="564" max="564" width="10.69" hidden="false" outlineLevel="1" customWidth="1"/>
    <col min="565" max="565" width="10.69" hidden="false" outlineLevel="1" customWidth="1"/>
    <col min="566" max="566" width="10.69" hidden="false" outlineLevel="1" customWidth="1"/>
    <col min="567" max="567" width="10.69" hidden="false" outlineLevel="1" customWidth="1"/>
    <col min="568" max="568" width="10.69" hidden="false" outlineLevel="1" customWidth="1"/>
    <col min="569" max="569" width="10.69" hidden="false" outlineLevel="1" customWidth="1"/>
    <col min="570" max="570" width="10.69" hidden="false" outlineLevel="1" customWidth="1"/>
    <col min="571" max="571" width="10.69" hidden="false" outlineLevel="1" customWidth="1"/>
    <col min="572" max="572" width="10.69" hidden="false" outlineLevel="1" customWidth="1"/>
    <col min="573" max="573" width="10.69" hidden="false" outlineLevel="1" customWidth="1"/>
    <col min="574" max="574" width="10.69" hidden="false" outlineLevel="1" customWidth="1"/>
    <col min="575" max="575" width="10.69" hidden="false" outlineLevel="1" customWidth="1"/>
    <col min="576" max="576" width="10.69" hidden="false" outlineLevel="1" customWidth="1"/>
    <col min="577" max="577" width="10.69" hidden="false" outlineLevel="1" customWidth="1"/>
    <col min="578" max="578" width="10.69" hidden="false" outlineLevel="1" customWidth="1"/>
    <col min="579" max="579" width="10.69" hidden="false" outlineLevel="1" customWidth="1"/>
    <col min="580" max="580" width="10.69" hidden="false" outlineLevel="1" customWidth="1"/>
    <col min="581" max="581" width="10.69" hidden="false" outlineLevel="1" customWidth="1"/>
    <col min="582" max="582" width="10.69" hidden="false" outlineLevel="1" customWidth="1"/>
    <col min="583" max="583" width="10.69" hidden="false" outlineLevel="1" customWidth="1"/>
    <col min="584" max="584" width="10.69" hidden="false" outlineLevel="1" customWidth="1"/>
    <col min="585" max="585" width="10.69" hidden="false" outlineLevel="1" customWidth="1"/>
    <col min="586" max="586" width="10.69" hidden="false" outlineLevel="1" customWidth="1"/>
    <col min="587" max="587" width="10.69" hidden="false" outlineLevel="1" customWidth="1"/>
    <col min="588" max="588" width="10.69" hidden="false" outlineLevel="1" customWidth="1"/>
    <col min="589" max="589" width="10.69" hidden="false" outlineLevel="1" customWidth="1"/>
    <col min="590" max="590" width="10.69" hidden="false" outlineLevel="1" customWidth="1"/>
    <col min="591" max="591" width="10.69" hidden="false" outlineLevel="1" customWidth="1"/>
    <col min="592" max="592" width="10.69" hidden="false" outlineLevel="1" customWidth="1"/>
    <col min="593" max="593" width="10.69" hidden="false" outlineLevel="1" customWidth="1"/>
    <col min="594" max="594" width="10.69" hidden="false" outlineLevel="1" customWidth="1"/>
    <col min="595" max="595" width="10.69" hidden="false" outlineLevel="1" customWidth="1"/>
    <col min="596" max="596" width="10.69" hidden="false" outlineLevel="1" customWidth="1"/>
    <col min="597" max="597" width="10.69" hidden="false" outlineLevel="1" customWidth="1"/>
    <col min="598" max="598" width="10.69" hidden="false" outlineLevel="1" customWidth="1"/>
    <col min="599" max="599" width="10.69" hidden="false" outlineLevel="1" customWidth="1"/>
    <col min="600" max="600" width="10.69" hidden="false" outlineLevel="1" customWidth="1"/>
    <col min="601" max="601" width="10.69" hidden="false" outlineLevel="1" customWidth="1"/>
    <col min="602" max="602" width="10.69" hidden="false" outlineLevel="1" customWidth="1"/>
    <col min="603" max="603" width="10.69" hidden="false" outlineLevel="1" customWidth="1"/>
    <col min="604" max="604" width="10.69" hidden="false" outlineLevel="1" customWidth="1"/>
    <col min="605" max="605" width="10.69" hidden="false" outlineLevel="1" customWidth="1"/>
    <col min="606" max="606" width="10.69" hidden="false" outlineLevel="1" customWidth="1"/>
    <col min="607" max="607" width="10.69" hidden="false" outlineLevel="1" customWidth="1"/>
    <col min="608" max="608" width="10.69" hidden="false" outlineLevel="1" customWidth="1"/>
    <col min="609" max="609" width="10.69" hidden="false" outlineLevel="1" customWidth="1"/>
    <col min="610" max="610" width="10.69" hidden="false" outlineLevel="1" customWidth="1"/>
    <col min="611" max="611" width="10.69" hidden="false" outlineLevel="1" customWidth="1"/>
    <col min="612" max="612" width="10.69" hidden="false" outlineLevel="1" customWidth="1"/>
    <col min="613" max="613" width="10.69" hidden="false" outlineLevel="1" customWidth="1"/>
    <col min="614" max="614" width="10.69" hidden="false" outlineLevel="1" customWidth="1"/>
    <col min="615" max="615" width="10.69" hidden="false" outlineLevel="1" customWidth="1"/>
    <col min="616" max="616" width="10.69" hidden="false" outlineLevel="1" customWidth="1"/>
    <col min="617" max="617" width="10.69" hidden="false" outlineLevel="1" customWidth="1"/>
    <col min="618" max="618" width="10.69" hidden="false" outlineLevel="1" customWidth="1"/>
    <col min="619" max="619" width="10.69" hidden="false" outlineLevel="1" customWidth="1"/>
    <col min="620" max="620" width="10.69" hidden="false" outlineLevel="1" customWidth="1"/>
    <col min="621" max="621" width="10.69" hidden="false" outlineLevel="1" customWidth="1"/>
    <col min="622" max="622" width="10.69" hidden="false" outlineLevel="1" customWidth="1"/>
    <col min="623" max="623" width="10.69" hidden="false" outlineLevel="1" customWidth="1"/>
    <col min="624" max="624" width="10.69" hidden="false" outlineLevel="1" customWidth="1"/>
    <col min="625" max="625" width="10.69" hidden="false" outlineLevel="1" customWidth="1"/>
    <col min="626" max="626" width="10.69" hidden="false" outlineLevel="1" customWidth="1"/>
    <col min="627" max="627" width="10.69" hidden="false" outlineLevel="1" customWidth="1"/>
    <col min="628" max="628" width="10.69" hidden="false" outlineLevel="1" customWidth="1"/>
    <col min="629" max="629" width="10.69" hidden="false" outlineLevel="1" customWidth="1"/>
    <col min="630" max="630" width="10.69" hidden="false" outlineLevel="1" customWidth="1"/>
    <col min="631" max="631" width="10.69" hidden="false" outlineLevel="1" customWidth="1"/>
    <col min="632" max="632" width="10.69" hidden="false" outlineLevel="1" customWidth="1"/>
    <col min="633" max="633" width="10.69" hidden="false" outlineLevel="1" customWidth="1"/>
    <col min="634" max="634" width="10.69" hidden="false" outlineLevel="1" customWidth="1"/>
    <col min="635" max="635" width="10.69" hidden="false" outlineLevel="1" customWidth="1"/>
    <col min="636" max="636" width="10.69" hidden="false" outlineLevel="1" customWidth="1"/>
    <col min="637" max="637" width="10.69" hidden="false" outlineLevel="1" customWidth="1"/>
    <col min="638" max="638" width="10.69" hidden="false" outlineLevel="1" customWidth="1"/>
    <col min="639" max="639" width="10.69" hidden="false" outlineLevel="1" customWidth="1"/>
    <col min="640" max="640" width="10.69" hidden="false" outlineLevel="1" customWidth="1"/>
    <col min="641" max="641" width="10.69" hidden="false" outlineLevel="1" customWidth="1"/>
    <col min="642" max="642" width="10.69" hidden="false" outlineLevel="1" customWidth="1"/>
    <col min="643" max="643" width="10.69" hidden="false" outlineLevel="1" customWidth="1"/>
    <col min="644" max="644" width="10.69" hidden="false" outlineLevel="1" customWidth="1"/>
    <col min="645" max="645" width="10.69" hidden="false" outlineLevel="1" customWidth="1"/>
    <col min="646" max="646" width="10.69" hidden="false" outlineLevel="1" customWidth="1"/>
    <col min="647" max="647" width="10.69" hidden="false" outlineLevel="1" customWidth="1"/>
    <col min="648" max="648" width="10.69" hidden="false" outlineLevel="1" customWidth="1"/>
    <col min="649" max="649" width="10.69" hidden="false" outlineLevel="1" customWidth="1"/>
    <col min="650" max="650" width="10.69" hidden="false" outlineLevel="1" customWidth="1"/>
    <col min="651" max="651" width="10.69" hidden="false" outlineLevel="1" customWidth="1"/>
    <col min="652" max="652" width="10.69" hidden="false" outlineLevel="1" customWidth="1"/>
    <col min="653" max="653" width="10.69" hidden="false" outlineLevel="1" customWidth="1"/>
    <col min="654" max="654" width="10.69" hidden="false" outlineLevel="1" customWidth="1"/>
    <col min="655" max="655" width="10.69" hidden="false" outlineLevel="1" customWidth="1"/>
    <col min="656" max="656" width="10.69" hidden="false" outlineLevel="1" customWidth="1"/>
    <col min="657" max="657" width="10.69" hidden="false" outlineLevel="1" customWidth="1"/>
    <col min="658" max="658" width="10.69" hidden="false" outlineLevel="1" customWidth="1"/>
    <col min="659" max="659" width="10.69" hidden="false" outlineLevel="1" customWidth="1"/>
    <col min="660" max="660" width="10.69" hidden="false" outlineLevel="1" customWidth="1"/>
    <col min="661" max="661" width="10.69" hidden="false" outlineLevel="1" customWidth="1"/>
    <col min="662" max="662" width="10.69" hidden="false" outlineLevel="1" customWidth="1"/>
    <col min="663" max="663" width="10.69" hidden="false" outlineLevel="1" customWidth="1"/>
    <col min="664" max="664" width="10.69" hidden="false" outlineLevel="1" customWidth="1"/>
    <col min="665" max="665" width="10.69" hidden="false" outlineLevel="1" customWidth="1"/>
    <col min="666" max="666" width="10.69" hidden="false" outlineLevel="1" customWidth="1"/>
    <col min="667" max="667" width="10.69" hidden="false" outlineLevel="1" customWidth="1"/>
    <col min="668" max="668" width="10.69" hidden="false" outlineLevel="1" customWidth="1"/>
    <col min="669" max="669" width="10.69" hidden="false" outlineLevel="1" customWidth="1"/>
    <col min="670" max="670" width="10.69" hidden="false" outlineLevel="1" customWidth="1"/>
    <col min="671" max="671" width="10.69" hidden="false" outlineLevel="1" customWidth="1"/>
    <col min="672" max="672" width="10.69" hidden="false" outlineLevel="1" customWidth="1"/>
    <col min="673" max="673" width="10.69" hidden="false" outlineLevel="1" customWidth="1"/>
    <col min="674" max="674" width="10.69" hidden="false" outlineLevel="1" customWidth="1"/>
    <col min="675" max="675" width="10.69" hidden="false" outlineLevel="1" customWidth="1"/>
    <col min="676" max="676" width="10.69" hidden="false" outlineLevel="1" customWidth="1"/>
    <col min="677" max="677" width="10.69" hidden="false" outlineLevel="1" customWidth="1"/>
    <col min="678" max="678" width="10.69" hidden="false" outlineLevel="1" customWidth="1"/>
    <col min="679" max="679" width="10.69" hidden="false" outlineLevel="1" customWidth="1"/>
    <col min="680" max="680" width="10.69" hidden="false" outlineLevel="1" customWidth="1"/>
    <col min="681" max="681" width="10.69" hidden="false" outlineLevel="1" customWidth="1"/>
    <col min="682" max="682" width="10.69" hidden="false" outlineLevel="1" customWidth="1"/>
    <col min="683" max="683" width="10.69" hidden="false" outlineLevel="1" customWidth="1"/>
    <col min="684" max="684" width="10.69" hidden="false" outlineLevel="1" customWidth="1"/>
    <col min="685" max="685" width="10.69" hidden="false" outlineLevel="1" customWidth="1"/>
    <col min="686" max="686" width="10.69" hidden="false" outlineLevel="1" customWidth="1"/>
    <col min="687" max="687" width="10.69" hidden="false" outlineLevel="1" customWidth="1"/>
    <col min="688" max="688" width="10.69" hidden="false" outlineLevel="1" customWidth="1"/>
    <col min="689" max="689" width="10.69" hidden="false" outlineLevel="1" customWidth="1"/>
    <col min="690" max="690" width="10.69" hidden="false" outlineLevel="1" customWidth="1"/>
    <col min="691" max="691" width="10.69" hidden="false" outlineLevel="1" customWidth="1"/>
    <col min="692" max="692" width="10.69" hidden="false" outlineLevel="1" customWidth="1"/>
    <col min="693" max="693" width="10.69" hidden="false" outlineLevel="1" customWidth="1"/>
    <col min="694" max="694" width="10.69" hidden="false" outlineLevel="1" customWidth="1"/>
    <col min="695" max="695" width="10.69" hidden="false" outlineLevel="1" customWidth="1"/>
    <col min="696" max="696" width="10.69" hidden="false" outlineLevel="1" customWidth="1"/>
    <col min="697" max="697" width="10.69" hidden="false" outlineLevel="1" customWidth="1"/>
    <col min="698" max="698" width="10.69" hidden="false" outlineLevel="1" customWidth="1"/>
    <col min="699" max="699" width="10.69" hidden="false" outlineLevel="1" customWidth="1"/>
    <col min="700" max="700" width="10.69" hidden="false" outlineLevel="1" customWidth="1"/>
    <col min="701" max="701" width="10.69" hidden="false" outlineLevel="1" customWidth="1"/>
    <col min="702" max="702" width="10.69" hidden="false" outlineLevel="1" customWidth="1"/>
    <col min="703" max="703" width="10.69" hidden="false" outlineLevel="1" customWidth="1"/>
    <col min="704" max="704" width="10.69" hidden="false" outlineLevel="1" customWidth="1"/>
    <col min="705" max="705" width="10.69" hidden="false" outlineLevel="1" customWidth="1"/>
    <col min="706" max="706" width="10.69" hidden="false" outlineLevel="1" customWidth="1"/>
    <col min="707" max="707" width="10.69" hidden="false" outlineLevel="1" customWidth="1"/>
    <col min="708" max="708" width="10.69" hidden="false" outlineLevel="1" customWidth="1"/>
    <col min="709" max="709" width="10.69" hidden="false" outlineLevel="1" customWidth="1"/>
    <col min="710" max="710" width="10.69" hidden="false" outlineLevel="1" customWidth="1"/>
    <col min="711" max="711" width="10.69" hidden="false" outlineLevel="1" customWidth="1"/>
    <col min="712" max="712" width="10.69" hidden="false" outlineLevel="1" customWidth="1"/>
    <col min="713" max="713" width="10.69" hidden="false" outlineLevel="1" customWidth="1"/>
    <col min="714" max="714" width="10.69" hidden="false" outlineLevel="1" customWidth="1"/>
    <col min="715" max="715" width="10.69" hidden="false" outlineLevel="1" customWidth="1"/>
    <col min="716" max="716" width="10.69" hidden="false" outlineLevel="1" customWidth="1"/>
    <col min="717" max="717" width="10.69" hidden="false" outlineLevel="1" customWidth="1"/>
    <col min="718" max="718" width="10.69" hidden="false" outlineLevel="1" customWidth="1"/>
    <col min="719" max="719" width="10.69" hidden="false" outlineLevel="1" customWidth="1"/>
    <col min="720" max="720" width="10.69" hidden="false" outlineLevel="1" customWidth="1"/>
    <col min="721" max="721" width="10.69" hidden="false" outlineLevel="1" customWidth="1"/>
    <col min="722" max="722" width="10.69" hidden="false" outlineLevel="1" customWidth="1"/>
    <col min="723" max="723" width="10.69" hidden="false" outlineLevel="1" customWidth="1"/>
    <col min="724" max="724" width="10.69" hidden="false" outlineLevel="1" customWidth="1"/>
    <col min="725" max="725" width="10.69" hidden="false" outlineLevel="1" customWidth="1"/>
    <col min="726" max="726" width="10.69" hidden="false" outlineLevel="1" customWidth="1"/>
    <col min="727" max="727" width="10.69" hidden="false" outlineLevel="1" customWidth="1"/>
    <col min="728" max="728" width="10.69" hidden="false" outlineLevel="1" customWidth="1"/>
    <col min="729" max="729" width="10.69" hidden="false" outlineLevel="1" customWidth="1"/>
    <col min="730" max="730" width="10.69" hidden="false" outlineLevel="1" customWidth="1"/>
    <col min="731" max="731" width="10.69" hidden="false" outlineLevel="1" customWidth="1"/>
    <col min="732" max="732" width="10.69" hidden="false" outlineLevel="1" customWidth="1"/>
    <col min="733" max="733" width="10.69" hidden="false" outlineLevel="1" customWidth="1"/>
    <col min="734" max="734" width="10.69" hidden="false" outlineLevel="1" customWidth="1"/>
    <col min="735" max="735" width="10.69" hidden="false" outlineLevel="1" customWidth="1"/>
    <col min="736" max="736" width="10.69" hidden="false" outlineLevel="1" customWidth="1"/>
    <col min="737" max="737" width="10.69" hidden="false" outlineLevel="1" customWidth="1"/>
    <col min="738" max="738" width="10.69" hidden="false" outlineLevel="1" customWidth="1"/>
    <col min="739" max="739" width="10.69" hidden="false" outlineLevel="1" customWidth="1"/>
    <col min="740" max="740" width="10.69" hidden="false" outlineLevel="1" customWidth="1"/>
    <col min="741" max="741" width="10.69" hidden="false" outlineLevel="1" customWidth="1"/>
    <col min="742" max="742" width="10.69" hidden="false" outlineLevel="1" customWidth="1"/>
    <col min="743" max="743" width="10.69" hidden="false" outlineLevel="1" customWidth="1"/>
    <col min="744" max="744" width="10.69" hidden="false" outlineLevel="1" customWidth="1"/>
    <col min="745" max="745" width="10.69" hidden="false" outlineLevel="1" customWidth="1"/>
    <col min="746" max="746" width="10.69" hidden="false" outlineLevel="1" customWidth="1"/>
    <col min="747" max="747" width="10.69" hidden="false" outlineLevel="1" customWidth="1"/>
    <col min="748" max="748" width="10.69" hidden="false" outlineLevel="1" customWidth="1"/>
    <col min="749" max="749" width="10.69" hidden="false" outlineLevel="1" customWidth="1"/>
    <col min="750" max="750" width="10.69" hidden="false" outlineLevel="1" customWidth="1"/>
    <col min="751" max="751" width="10.69" hidden="false" outlineLevel="1" customWidth="1"/>
    <col min="752" max="752" width="10.69" hidden="false" outlineLevel="1" customWidth="1"/>
    <col min="753" max="753" width="10.69" hidden="false" outlineLevel="1" customWidth="1"/>
    <col min="754" max="754" width="10.69" hidden="false" outlineLevel="1" customWidth="1"/>
    <col min="755" max="755" width="10.69" hidden="false" outlineLevel="1" customWidth="1"/>
    <col min="756" max="756" width="10.69" hidden="false" outlineLevel="1" customWidth="1"/>
    <col min="757" max="757" width="10.69" hidden="false" outlineLevel="1" customWidth="1"/>
    <col min="758" max="758" width="10.69" hidden="false" outlineLevel="1" customWidth="1"/>
    <col min="759" max="759" width="10.69" hidden="false" outlineLevel="1" customWidth="1"/>
    <col min="760" max="760" width="10.69" hidden="false" outlineLevel="1" customWidth="1"/>
    <col min="761" max="761" width="10.69" hidden="false" outlineLevel="1" customWidth="1"/>
    <col min="762" max="762" width="10.69" hidden="false" outlineLevel="1" customWidth="1"/>
    <col min="763" max="763" width="10.69" hidden="false" outlineLevel="1" customWidth="1"/>
    <col min="764" max="764" width="10.69" hidden="false" outlineLevel="1" customWidth="1"/>
    <col min="765" max="765" width="10.69" hidden="false" outlineLevel="1" customWidth="1"/>
    <col min="766" max="766" width="10.69" hidden="false" outlineLevel="1" customWidth="1"/>
    <col min="767" max="767" width="10.69" hidden="false" outlineLevel="1" customWidth="1"/>
    <col min="768" max="768" width="10.69" hidden="false" outlineLevel="1" customWidth="1"/>
    <col min="769" max="769" width="10.69" hidden="false" outlineLevel="1" customWidth="1"/>
    <col min="770" max="770" width="10.69" hidden="false" outlineLevel="1" customWidth="1"/>
    <col min="771" max="771" width="10.69" hidden="false" outlineLevel="1" customWidth="1"/>
    <col min="772" max="772" width="10.69" hidden="false" outlineLevel="1" customWidth="1"/>
    <col min="773" max="773" width="10.69" hidden="false" outlineLevel="1" customWidth="1"/>
    <col min="774" max="774" width="10.69" hidden="false" outlineLevel="1" customWidth="1"/>
    <col min="775" max="775" width="10.69" hidden="false" outlineLevel="1" customWidth="1"/>
    <col min="776" max="776" width="10.69" hidden="false" outlineLevel="1" customWidth="1"/>
    <col min="777" max="777" width="10.69" hidden="false" outlineLevel="1" customWidth="1"/>
    <col min="778" max="778" width="10.69" hidden="false" outlineLevel="1" customWidth="1"/>
    <col min="779" max="779" width="10.69" hidden="false" outlineLevel="1" customWidth="1"/>
    <col min="780" max="780" width="10.69" hidden="false" outlineLevel="1" customWidth="1"/>
    <col min="781" max="781" width="10.69" hidden="false" outlineLevel="1" customWidth="1"/>
    <col min="782" max="782" width="10.69" hidden="false" outlineLevel="1" customWidth="1"/>
    <col min="783" max="783" width="10.69" hidden="false" outlineLevel="1" customWidth="1"/>
    <col min="784" max="784" width="10.69" hidden="false" outlineLevel="1" customWidth="1"/>
    <col min="785" max="785" width="10.69" hidden="false" outlineLevel="1" customWidth="1"/>
    <col min="786" max="786" width="10.69" hidden="false" outlineLevel="1" customWidth="1"/>
    <col min="787" max="787" width="10.69" hidden="false" outlineLevel="1" customWidth="1"/>
    <col min="788" max="788" width="10.69" hidden="false" outlineLevel="1" customWidth="1"/>
    <col min="789" max="789" width="10.69" hidden="false" outlineLevel="1" customWidth="1"/>
    <col min="790" max="790" width="10.69" hidden="false" outlineLevel="1" customWidth="1"/>
    <col min="791" max="791" width="10.69" hidden="false" outlineLevel="1" customWidth="1"/>
    <col min="792" max="792" width="10.69" hidden="false" outlineLevel="1" customWidth="1"/>
    <col min="793" max="793" width="10.69" hidden="false" outlineLevel="1" customWidth="1"/>
    <col min="794" max="794" width="10.69" hidden="false" outlineLevel="1" customWidth="1"/>
    <col min="795" max="795" width="10.69" hidden="false" outlineLevel="1" customWidth="1"/>
    <col min="796" max="796" width="10.69" hidden="false" outlineLevel="1" customWidth="1"/>
    <col min="797" max="797" width="10.69" hidden="false" outlineLevel="1" customWidth="1"/>
    <col min="798" max="798" width="10.69" hidden="false" outlineLevel="1" customWidth="1"/>
    <col min="799" max="799" width="10.69" hidden="false" outlineLevel="1" customWidth="1"/>
    <col min="800" max="800" width="10.69" hidden="false" outlineLevel="1" customWidth="1"/>
    <col min="801" max="801" width="10.69" hidden="false" outlineLevel="1" customWidth="1"/>
    <col min="802" max="802" width="10.69" hidden="false" outlineLevel="1" customWidth="1"/>
    <col min="803" max="803" width="10.69" hidden="false" outlineLevel="1" customWidth="1"/>
    <col min="804" max="804" width="10.69" hidden="false" outlineLevel="1" customWidth="1"/>
    <col min="805" max="805" width="10.69" hidden="false" outlineLevel="1" customWidth="1"/>
    <col min="806" max="806" width="10.69" hidden="false" outlineLevel="1" customWidth="1"/>
    <col min="807" max="807" width="10.69" hidden="false" outlineLevel="1" customWidth="1"/>
    <col min="808" max="808" width="10.69" hidden="false" outlineLevel="1" customWidth="1"/>
    <col min="809" max="809" width="10.69" hidden="false" outlineLevel="1" customWidth="1"/>
    <col min="810" max="810" width="10.69" hidden="false" outlineLevel="1" customWidth="1"/>
    <col min="811" max="811" width="10.69" hidden="false" outlineLevel="1" customWidth="1"/>
    <col min="812" max="812" width="10.69" hidden="false" outlineLevel="1" customWidth="1"/>
    <col min="813" max="813" width="10.69" hidden="false" outlineLevel="1" customWidth="1"/>
    <col min="814" max="814" width="10.69" hidden="false" outlineLevel="1" customWidth="1"/>
    <col min="815" max="815" width="10.69" hidden="false" outlineLevel="1" customWidth="1"/>
    <col min="816" max="816" width="10.69" hidden="false" outlineLevel="1" customWidth="1"/>
    <col min="817" max="817" width="10.69" hidden="false" outlineLevel="1" customWidth="1"/>
    <col min="818" max="818" width="10.69" hidden="false" outlineLevel="1" customWidth="1"/>
    <col min="819" max="819" width="10.69" hidden="false" outlineLevel="1" customWidth="1"/>
    <col min="820" max="820" width="10.69" hidden="false" outlineLevel="1" customWidth="1"/>
    <col min="821" max="821" width="10.69" hidden="false" outlineLevel="1" customWidth="1"/>
    <col min="822" max="822" width="10.69" hidden="false" outlineLevel="1" customWidth="1"/>
    <col min="823" max="823" width="10.69" hidden="false" outlineLevel="1" customWidth="1"/>
    <col min="824" max="824" width="10.69" hidden="false" outlineLevel="1" customWidth="1"/>
    <col min="825" max="825" width="10.69" hidden="false" outlineLevel="1" customWidth="1"/>
    <col min="826" max="826" width="10.69" hidden="false" outlineLevel="1" customWidth="1"/>
    <col min="827" max="827" width="10.69" hidden="false" outlineLevel="1" customWidth="1"/>
    <col min="828" max="828" width="10.69" hidden="false" outlineLevel="1" customWidth="1"/>
    <col min="829" max="829" width="10.69" hidden="false" outlineLevel="1" customWidth="1"/>
    <col min="830" max="830" width="10.69" hidden="false" outlineLevel="1" customWidth="1"/>
    <col min="831" max="831" width="10.69" hidden="false" outlineLevel="1" customWidth="1"/>
    <col min="832" max="832" width="10.69" hidden="false" outlineLevel="1" customWidth="1"/>
    <col min="833" max="833" width="10.69" hidden="false" outlineLevel="1" customWidth="1"/>
    <col min="834" max="834" width="10.69" hidden="false" outlineLevel="1" customWidth="1"/>
    <col min="835" max="835" width="10.69" hidden="false" outlineLevel="1" customWidth="1"/>
    <col min="836" max="836" width="10.69" hidden="false" outlineLevel="1" customWidth="1"/>
    <col min="837" max="837" width="10.69" hidden="false" outlineLevel="1" customWidth="1"/>
    <col min="838" max="838" width="10.69" hidden="false" outlineLevel="1" customWidth="1"/>
    <col min="839" max="839" width="10.69" hidden="false" outlineLevel="1" customWidth="1"/>
    <col min="840" max="840" width="10.69" hidden="false" outlineLevel="1" customWidth="1"/>
    <col min="841" max="841" width="10.69" hidden="false" outlineLevel="1" customWidth="1"/>
    <col min="842" max="842" width="10.69" hidden="false" outlineLevel="1" customWidth="1"/>
    <col min="843" max="843" width="10.69" hidden="false" outlineLevel="1" customWidth="1"/>
    <col min="844" max="844" width="10.69" hidden="false" outlineLevel="1" customWidth="1"/>
    <col min="845" max="845" width="10.69" hidden="false" outlineLevel="1" customWidth="1"/>
    <col min="846" max="846" width="10.69" hidden="false" outlineLevel="1" customWidth="1"/>
    <col min="847" max="847" width="10.69" hidden="false" outlineLevel="1" customWidth="1"/>
    <col min="848" max="848" width="10.69" hidden="false" outlineLevel="1" customWidth="1"/>
    <col min="849" max="849" width="10.69" hidden="false" outlineLevel="1" customWidth="1"/>
    <col min="850" max="850" width="10.69" hidden="false" outlineLevel="1" customWidth="1"/>
    <col min="851" max="851" width="10.69" hidden="false" outlineLevel="1" customWidth="1"/>
    <col min="852" max="852" width="10.69" hidden="false" outlineLevel="1" customWidth="1"/>
    <col min="853" max="853" width="10.69" hidden="false" outlineLevel="1" customWidth="1"/>
    <col min="854" max="854" width="10.69" hidden="false" outlineLevel="1" customWidth="1"/>
    <col min="855" max="855" width="10.69" hidden="false" outlineLevel="1" customWidth="1"/>
    <col min="856" max="856" width="10.69" hidden="false" outlineLevel="1" customWidth="1"/>
    <col min="857" max="857" width="10.69" hidden="false" outlineLevel="1" customWidth="1"/>
    <col min="858" max="858" width="10.69" hidden="false" outlineLevel="1" customWidth="1"/>
    <col min="859" max="859" width="10.69" hidden="false" outlineLevel="1" customWidth="1"/>
    <col min="860" max="860" width="10.69" hidden="false" outlineLevel="1" customWidth="1"/>
    <col min="861" max="861" width="10.69" hidden="false" outlineLevel="1" customWidth="1"/>
    <col min="862" max="862" width="10.69" hidden="false" outlineLevel="1" customWidth="1"/>
    <col min="863" max="863" width="10.69" hidden="false" outlineLevel="1" customWidth="1"/>
    <col min="864" max="864" width="10.69" hidden="false" outlineLevel="1" customWidth="1"/>
    <col min="865" max="865" width="10.69" hidden="false" outlineLevel="1" customWidth="1"/>
    <col min="866" max="866" width="10.69" hidden="false" outlineLevel="1" customWidth="1"/>
    <col min="867" max="867" width="10.69" hidden="false" outlineLevel="1" customWidth="1"/>
    <col min="868" max="868" width="10.69" hidden="false" outlineLevel="1" customWidth="1"/>
    <col min="869" max="869" width="10.69" hidden="false" outlineLevel="1" customWidth="1"/>
    <col min="870" max="870" width="10.69" hidden="false" outlineLevel="1" customWidth="1"/>
    <col min="871" max="871" width="10.69" hidden="false" outlineLevel="1" customWidth="1"/>
    <col min="872" max="872" width="10.69" hidden="false" outlineLevel="1" customWidth="1"/>
    <col min="873" max="873" width="10.69" hidden="false" outlineLevel="1" customWidth="1"/>
    <col min="874" max="874" width="10.69" hidden="false" outlineLevel="1" customWidth="1"/>
    <col min="875" max="875" width="10.69" hidden="false" outlineLevel="1" customWidth="1"/>
    <col min="876" max="876" width="10.69" hidden="false" outlineLevel="1" customWidth="1"/>
    <col min="877" max="877" width="10.69" hidden="false" outlineLevel="1" customWidth="1"/>
    <col min="878" max="878" width="10.69" hidden="false" outlineLevel="1" customWidth="1"/>
    <col min="879" max="879" width="10.69" hidden="false" outlineLevel="1" customWidth="1"/>
    <col min="880" max="880" width="10.69" hidden="false" outlineLevel="1" customWidth="1"/>
    <col min="881" max="881" width="10.69" hidden="false" outlineLevel="1" customWidth="1"/>
    <col min="882" max="882" width="10.69" hidden="false" outlineLevel="1" customWidth="1"/>
    <col min="883" max="883" width="10.69" hidden="false" outlineLevel="1" customWidth="1"/>
    <col min="884" max="884" width="10.69" hidden="false" outlineLevel="1" customWidth="1"/>
    <col min="885" max="885" width="10.69" hidden="false" outlineLevel="1" customWidth="1"/>
    <col min="886" max="886" width="10.69" hidden="false" outlineLevel="1" customWidth="1"/>
    <col min="887" max="887" width="10.69" hidden="false" outlineLevel="1" customWidth="1"/>
    <col min="888" max="888" width="10.69" hidden="false" outlineLevel="1" customWidth="1"/>
    <col min="889" max="889" width="10.69" hidden="false" outlineLevel="1" customWidth="1"/>
    <col min="890" max="890" width="10.69" hidden="false" outlineLevel="1" customWidth="1"/>
    <col min="891" max="891" width="10.69" hidden="false" outlineLevel="1" customWidth="1"/>
    <col min="892" max="892" width="10.69" hidden="false" outlineLevel="1" customWidth="1"/>
    <col min="893" max="893" width="10.69" hidden="false" outlineLevel="1" customWidth="1"/>
    <col min="894" max="894" width="10.69" hidden="false" outlineLevel="1" customWidth="1"/>
    <col min="895" max="895" width="10.69" hidden="false" outlineLevel="1" customWidth="1"/>
    <col min="896" max="896" width="10.69" hidden="false" outlineLevel="1" customWidth="1"/>
    <col min="897" max="897" width="10.69" hidden="false" outlineLevel="1" customWidth="1"/>
    <col min="898" max="898" width="10.69" hidden="false" outlineLevel="1" customWidth="1"/>
    <col min="899" max="899" width="10.69" hidden="false" outlineLevel="1" customWidth="1"/>
    <col min="900" max="900" width="10.69" hidden="false" outlineLevel="1" customWidth="1"/>
    <col min="901" max="901" width="10.69" hidden="false" outlineLevel="1" customWidth="1"/>
    <col min="902" max="902" width="10.69" hidden="false" outlineLevel="1" customWidth="1"/>
    <col min="903" max="903" width="10.69" hidden="false" outlineLevel="1" customWidth="1"/>
    <col min="904" max="904" width="10.69" hidden="false" outlineLevel="1" customWidth="1"/>
    <col min="905" max="905" width="10.69" hidden="false" outlineLevel="1" customWidth="1"/>
    <col min="906" max="906" width="10.69" hidden="false" outlineLevel="1" customWidth="1"/>
    <col min="907" max="907" width="10.69" hidden="false" outlineLevel="1" customWidth="1"/>
    <col min="908" max="908" width="10.69" hidden="false" outlineLevel="1" customWidth="1"/>
    <col min="909" max="909" width="10.69" hidden="false" outlineLevel="1" customWidth="1"/>
    <col min="910" max="910" width="10.69" hidden="false" outlineLevel="1" customWidth="1"/>
    <col min="911" max="911" width="10.69" hidden="false" outlineLevel="1" customWidth="1"/>
    <col min="912" max="912" width="10.69" hidden="false" outlineLevel="1" customWidth="1"/>
    <col min="913" max="913" width="10.69" hidden="false" outlineLevel="1" customWidth="1"/>
    <col min="914" max="914" width="10.69" hidden="false" outlineLevel="1" customWidth="1"/>
    <col min="915" max="915" width="10.69" hidden="false" outlineLevel="1" customWidth="1"/>
    <col min="916" max="916" width="10.69" hidden="false" outlineLevel="1" customWidth="1"/>
    <col min="917" max="917" width="10.69" hidden="false" outlineLevel="1" customWidth="1"/>
    <col min="918" max="918" width="10.69" hidden="false" outlineLevel="1" customWidth="1"/>
    <col min="919" max="919" width="10.69" hidden="false" outlineLevel="1" customWidth="1"/>
    <col min="920" max="920" width="10.69" hidden="false" outlineLevel="1" customWidth="1"/>
    <col min="921" max="921" width="10.69" hidden="false" outlineLevel="1" customWidth="1"/>
    <col min="922" max="922" width="10.69" hidden="false" outlineLevel="1" customWidth="1"/>
    <col min="923" max="923" width="10.69" hidden="false" outlineLevel="1" customWidth="1"/>
    <col min="924" max="924" width="10.69" hidden="false" outlineLevel="1" customWidth="1"/>
    <col min="925" max="925" width="10.69" hidden="false" outlineLevel="1" customWidth="1"/>
    <col min="926" max="926" width="10.69" hidden="false" outlineLevel="1" customWidth="1"/>
    <col min="927" max="927" width="10.69" hidden="false" outlineLevel="1" customWidth="1"/>
    <col min="928" max="928" width="10.69" hidden="false" outlineLevel="1" customWidth="1"/>
    <col min="929" max="929" width="10.69" hidden="false" outlineLevel="1" customWidth="1"/>
    <col min="930" max="930" width="10.69" hidden="false" outlineLevel="1" customWidth="1"/>
    <col min="931" max="931" width="10.69" hidden="false" outlineLevel="1" customWidth="1"/>
    <col min="932" max="932" width="10.69" hidden="false" outlineLevel="1" customWidth="1"/>
    <col min="933" max="933" width="10.69" hidden="false" outlineLevel="1" customWidth="1"/>
    <col min="934" max="934" width="10.69" hidden="false" outlineLevel="1" customWidth="1"/>
    <col min="935" max="935" width="10.69" hidden="false" outlineLevel="1" customWidth="1"/>
    <col min="936" max="936" width="10.69" hidden="false" outlineLevel="1" customWidth="1"/>
    <col min="937" max="937" width="10.69" hidden="false" outlineLevel="1" customWidth="1"/>
    <col min="938" max="938" width="10.69" hidden="false" outlineLevel="1" customWidth="1"/>
    <col min="939" max="939" width="10.69" hidden="false" outlineLevel="1" customWidth="1"/>
    <col min="940" max="940" width="10.69" hidden="false" outlineLevel="1" customWidth="1"/>
    <col min="941" max="941" width="10.69" hidden="false" outlineLevel="1" customWidth="1"/>
    <col min="942" max="942" width="10.69" hidden="false" outlineLevel="1" customWidth="1"/>
    <col min="943" max="943" width="10.69" hidden="false" outlineLevel="1" customWidth="1"/>
    <col min="944" max="944" width="10.69" hidden="false" outlineLevel="1" customWidth="1"/>
    <col min="945" max="945" width="10.69" hidden="false" outlineLevel="1" customWidth="1"/>
    <col min="946" max="946" width="10.69" hidden="false" outlineLevel="1" customWidth="1"/>
    <col min="947" max="947" width="10.69" hidden="false" outlineLevel="1" customWidth="1"/>
    <col min="948" max="948" width="10.69" hidden="false" outlineLevel="1" customWidth="1"/>
    <col min="949" max="949" width="10.69" hidden="false" outlineLevel="1" customWidth="1"/>
    <col min="950" max="950" width="10.69" hidden="false" outlineLevel="1" customWidth="1"/>
    <col min="951" max="951" width="10.69" hidden="false" outlineLevel="1" customWidth="1"/>
    <col min="952" max="952" width="10.69" hidden="false" outlineLevel="1" customWidth="1"/>
    <col min="953" max="953" width="10.69" hidden="false" outlineLevel="1" customWidth="1"/>
    <col min="954" max="954" width="10.69" hidden="false" outlineLevel="1" customWidth="1"/>
    <col min="955" max="955" width="10.69" hidden="false" outlineLevel="1" customWidth="1"/>
    <col min="956" max="956" width="10.69" hidden="false" outlineLevel="1" customWidth="1"/>
    <col min="957" max="957" width="10.69" hidden="false" outlineLevel="1" customWidth="1"/>
    <col min="958" max="958" width="10.69" hidden="false" outlineLevel="1" customWidth="1"/>
    <col min="959" max="959" width="10.69" hidden="false" outlineLevel="1" customWidth="1"/>
    <col min="960" max="960" width="10.69" hidden="false" outlineLevel="1" customWidth="1"/>
    <col min="961" max="961" width="10.69" hidden="false" outlineLevel="1" customWidth="1"/>
    <col min="962" max="962" width="10.69" hidden="false" outlineLevel="1" customWidth="1"/>
    <col min="963" max="963" width="10.69" hidden="false" outlineLevel="1" customWidth="1"/>
    <col min="964" max="964" width="10.69" hidden="false" outlineLevel="1" customWidth="1"/>
    <col min="965" max="965" width="10.69" hidden="false" outlineLevel="1" customWidth="1"/>
    <col min="966" max="966" width="10.69" hidden="false" outlineLevel="1" customWidth="1"/>
    <col min="967" max="967" width="10.69" hidden="false" outlineLevel="1" customWidth="1"/>
    <col min="968" max="968" width="10.69" hidden="false" outlineLevel="1" customWidth="1"/>
    <col min="969" max="969" width="10.69" hidden="false" outlineLevel="1" customWidth="1"/>
    <col min="970" max="970" width="10.69" hidden="false" outlineLevel="1" customWidth="1"/>
    <col min="971" max="971" width="10.69" hidden="false" outlineLevel="1" customWidth="1"/>
    <col min="972" max="972" width="10.69" hidden="false" outlineLevel="1" customWidth="1"/>
    <col min="973" max="973" width="10.69" hidden="false" outlineLevel="1" customWidth="1"/>
    <col min="974" max="974" width="10.69" hidden="false" outlineLevel="1" customWidth="1"/>
    <col min="975" max="975" width="10.69" hidden="false" outlineLevel="1" customWidth="1"/>
    <col min="976" max="976" width="10.69" hidden="false" outlineLevel="1" customWidth="1"/>
    <col min="977" max="977" width="10.69" hidden="false" outlineLevel="1" customWidth="1"/>
    <col min="978" max="978" width="10.69" hidden="false" outlineLevel="1" customWidth="1"/>
    <col min="979" max="979" width="10.69" hidden="false" outlineLevel="1" customWidth="1"/>
    <col min="980" max="980" width="10.69" hidden="false" outlineLevel="1" customWidth="1"/>
    <col min="981" max="981" width="10.69" hidden="false" outlineLevel="1" customWidth="1"/>
    <col min="982" max="982" width="10.69" hidden="false" outlineLevel="1" customWidth="1"/>
    <col min="983" max="983" width="10.69" hidden="false" outlineLevel="1" customWidth="1"/>
    <col min="984" max="984" width="10.69" hidden="false" outlineLevel="1" customWidth="1"/>
    <col min="985" max="985" width="10.69" hidden="false" outlineLevel="1" customWidth="1"/>
    <col min="986" max="986" width="10.69" hidden="false" outlineLevel="1" customWidth="1"/>
    <col min="987" max="987" width="10.69" hidden="false" outlineLevel="1" customWidth="1"/>
    <col min="988" max="988" width="10.69" hidden="false" outlineLevel="1" customWidth="1"/>
    <col min="989" max="989" width="10.69" hidden="false" outlineLevel="1" customWidth="1"/>
    <col min="990" max="990" width="10.69" hidden="false" outlineLevel="1" customWidth="1"/>
    <col min="991" max="991" width="10.69" hidden="false" outlineLevel="1" customWidth="1"/>
    <col min="992" max="992" width="10.69" hidden="false" outlineLevel="1" customWidth="1"/>
    <col min="993" max="993" width="10.69" hidden="false" outlineLevel="1" customWidth="1"/>
    <col min="994" max="994" width="10.69" hidden="false" outlineLevel="1" customWidth="1"/>
    <col min="995" max="995" width="10.69" hidden="false" outlineLevel="1" customWidth="1"/>
    <col min="996" max="996" width="10.69" hidden="false" outlineLevel="1" customWidth="1"/>
    <col min="997" max="997" width="10.69" hidden="false" outlineLevel="1" customWidth="1"/>
    <col min="998" max="998" width="10.69" hidden="false" outlineLevel="1" customWidth="1"/>
    <col min="999" max="999" width="10.69" hidden="false" outlineLevel="1" customWidth="1"/>
    <col min="1000" max="1000" width="10.69" hidden="false" outlineLevel="1" customWidth="1"/>
    <col min="1001" max="1001" width="10.69" hidden="false" outlineLevel="1" customWidth="1"/>
    <col min="1002" max="1002" width="10.69" hidden="false" outlineLevel="1" customWidth="1"/>
    <col min="1003" max="1003" width="10.69" hidden="false" outlineLevel="1" customWidth="1"/>
    <col min="1004" max="1004" width="10.69" hidden="false" outlineLevel="1" customWidth="1"/>
    <col min="1005" max="1005" width="10.69" hidden="false" outlineLevel="1" customWidth="1"/>
    <col min="1006" max="1006" width="10.69" hidden="false" outlineLevel="1" customWidth="1"/>
    <col min="1007" max="1007" width="10.69" hidden="false" outlineLevel="1" customWidth="1"/>
    <col min="1008" max="1008" width="10.69" hidden="false" outlineLevel="1" customWidth="1"/>
    <col min="1009" max="1009" width="10.69" hidden="false" outlineLevel="1" customWidth="1"/>
    <col min="1010" max="1010" width="10.69" hidden="false" outlineLevel="1" customWidth="1"/>
    <col min="1011" max="1011" width="10.69" hidden="false" outlineLevel="1" customWidth="1"/>
    <col min="1012" max="1012" width="10.69" hidden="false" outlineLevel="1" customWidth="1"/>
    <col min="1013" max="1013" width="10.69" hidden="false" outlineLevel="1" customWidth="1"/>
    <col min="1014" max="1014" width="10.69" hidden="false" outlineLevel="1" customWidth="1"/>
    <col min="1015" max="1015" width="10.69" hidden="false" outlineLevel="1" customWidth="1"/>
    <col min="1016" max="1016" width="10.69" hidden="false" outlineLevel="1" customWidth="1"/>
    <col min="1017" max="1017" width="10.69" hidden="false" outlineLevel="1" customWidth="1"/>
    <col min="1018" max="1018" width="10.69" hidden="false" outlineLevel="1" customWidth="1"/>
    <col min="1019" max="1019" width="10.69" hidden="false" outlineLevel="1" customWidth="1"/>
    <col min="1020" max="1020" width="10.69" hidden="false" outlineLevel="1" customWidth="1"/>
    <col min="1021" max="1021" width="10.69" hidden="false" outlineLevel="1" customWidth="1"/>
    <col min="1022" max="1022" width="10.69" hidden="false" outlineLevel="1" customWidth="1"/>
    <col min="1023" max="1023" width="10.69" hidden="false" outlineLevel="1" customWidth="1"/>
    <col min="1024" max="1024" width="10.69" hidden="false" outlineLevel="1" customWidth="1"/>
    <col min="1025" max="1025" width="10.69" hidden="false" outlineLevel="1" customWidth="1"/>
  </cols>
  <sheetData>
    <row r="1" ht="26.25" customHeight="1">
      <c r="A1" s="805" t="s">
        <v>961</v>
      </c>
      <c r="B1" s="805"/>
      <c r="C1" s="805"/>
      <c r="D1" s="805"/>
      <c r="E1" s="805"/>
      <c r="F1" s="805"/>
      <c r="G1" s="805"/>
      <c r="H1" s="805"/>
      <c r="I1" s="805"/>
      <c r="J1" s="805"/>
      <c r="K1" s="805"/>
      <c r="L1" s="805"/>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row>
    <row r="2" ht="20.1" customHeight="1">
      <c r="A2" s="806"/>
      <c r="B2" s="806"/>
      <c r="C2" s="807"/>
      <c r="D2" s="807"/>
      <c r="E2" s="807"/>
      <c r="F2" s="807"/>
      <c r="G2" s="807"/>
      <c r="H2" s="808"/>
      <c r="I2" s="401"/>
      <c r="J2" s="809"/>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row>
    <row r="3" ht="20.1" customHeight="1">
      <c r="A3" s="806"/>
      <c r="B3" s="810" t="s">
        <v>962</v>
      </c>
      <c r="E3" s="811"/>
      <c r="F3" s="807"/>
      <c r="G3" s="807"/>
      <c r="H3" s="808"/>
      <c r="I3" s="401"/>
      <c r="J3" s="809"/>
      <c r="L3" t="s">
        <v>963</v>
      </c>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row>
    <row r="4" ht="20.1" customHeight="1">
      <c r="A4" s="806"/>
      <c r="B4" s="812"/>
      <c r="E4" s="811"/>
      <c r="F4" s="807"/>
      <c r="G4" s="807"/>
      <c r="J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row>
    <row r="5" ht="20.1" customHeight="1">
      <c r="A5" s="12" t="s">
        <v>964</v>
      </c>
      <c r="B5" s="813" t="n">
        <v>100003</v>
      </c>
      <c r="E5" s="811"/>
      <c r="F5" s="807"/>
      <c r="G5" s="807"/>
      <c r="J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row>
    <row r="6" ht="20.1" customHeight="1">
      <c r="A6" s="9" t="s">
        <v>965</v>
      </c>
      <c r="B6" s="812"/>
      <c r="E6" s="811"/>
      <c r="F6" s="807"/>
      <c r="G6" s="807"/>
      <c r="J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row>
    <row r="7" ht="20.1" customHeight="1">
      <c r="B7" s="812"/>
      <c r="E7" s="811"/>
      <c r="F7" s="807"/>
      <c r="G7" s="807"/>
      <c r="J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row>
    <row r="8" ht="20.1" customHeight="1">
      <c r="A8" s="12" t="s">
        <v>966</v>
      </c>
      <c r="B8" s="814" t="n">
        <v>43839</v>
      </c>
      <c r="E8" s="12" t="s">
        <v>967</v>
      </c>
      <c r="F8" s="813" t="n">
        <v>2019</v>
      </c>
      <c r="G8" s="807"/>
      <c r="J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row>
    <row r="9" ht="20.1" customHeight="1">
      <c r="A9" s="806"/>
      <c r="B9" s="812"/>
      <c r="E9" s="20" t="s">
        <v>968</v>
      </c>
      <c r="F9" s="807"/>
      <c r="G9" s="807"/>
      <c r="J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row>
    <row r="10" ht="20.1" customHeight="1">
      <c r="A10" s="806"/>
      <c r="B10" s="812"/>
      <c r="E10" s="811"/>
      <c r="F10" s="807"/>
      <c r="G10" s="807"/>
      <c r="J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row>
    <row r="11" ht="20.1" customHeight="1">
      <c r="A11" s="806"/>
      <c r="B11" s="810" t="s">
        <v>969</v>
      </c>
      <c r="E11" s="811"/>
      <c r="F11" s="807"/>
      <c r="G11" s="807"/>
      <c r="J11"/>
      <c r="L11" t="s">
        <v>963</v>
      </c>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row>
    <row r="12" ht="20.1" customHeight="1">
      <c r="A12" s="806"/>
      <c r="B12" s="812"/>
      <c r="E12" s="811"/>
      <c r="F12" s="807"/>
      <c r="G12" s="807"/>
      <c r="J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row>
    <row r="13" ht="20.1" customHeight="1">
      <c r="A13" s="12" t="s">
        <v>80</v>
      </c>
      <c r="B13" s="813" t="s">
        <v>970</v>
      </c>
      <c r="C13" s="815"/>
      <c r="G13" s="816"/>
      <c r="H13" s="817" t="s">
        <v>105</v>
      </c>
      <c r="J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row>
    <row r="14" ht="20.1" customHeight="1">
      <c r="G14" s="43"/>
      <c r="H14" s="818"/>
      <c r="I14" s="818"/>
      <c r="J14" s="818"/>
      <c r="L14" s="819"/>
      <c r="M14"/>
      <c r="N14"/>
      <c r="O14"/>
      <c r="P14"/>
      <c r="Q14" s="819"/>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row>
    <row r="15" ht="20.1" customHeight="1">
      <c r="A15" s="12" t="s">
        <v>971</v>
      </c>
      <c r="B15" s="448" t="s">
        <v>972</v>
      </c>
      <c r="C15" s="22"/>
      <c r="E15" s="820" t="s">
        <v>973</v>
      </c>
      <c r="F15" s="814" t="s">
        <v>974</v>
      </c>
      <c r="H15" s="818"/>
      <c r="I15" s="818"/>
      <c r="J15" s="818"/>
      <c r="L15" s="819"/>
      <c r="M15" s="819"/>
      <c r="N15" s="819"/>
      <c r="O15" s="819"/>
      <c r="P15" s="819"/>
      <c r="Q15" s="819"/>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row>
    <row r="16" ht="20.1" customHeight="1">
      <c r="B16" s="821"/>
      <c r="H16" s="818"/>
      <c r="I16" s="818"/>
      <c r="J16" s="818"/>
      <c r="L16" s="819"/>
      <c r="M16" s="819"/>
      <c r="N16" s="819"/>
      <c r="O16" s="819"/>
      <c r="P16" s="819"/>
      <c r="Q16" s="819"/>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row>
    <row r="17" ht="20.1" customHeight="1">
      <c r="A17" s="12" t="s">
        <v>975</v>
      </c>
      <c r="B17" s="585" t="s">
        <v>976</v>
      </c>
      <c r="C17" s="585"/>
      <c r="E17" s="12" t="s">
        <v>81</v>
      </c>
      <c r="F17" s="585" t="s">
        <v>977</v>
      </c>
      <c r="H17" s="818"/>
      <c r="I17" s="818"/>
      <c r="J17" s="818"/>
      <c r="L17" s="819"/>
      <c r="M17" s="819"/>
      <c r="N17" s="819"/>
      <c r="O17" s="819"/>
      <c r="P17" s="819"/>
      <c r="Q17" s="819"/>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row>
    <row r="18" ht="20.1" customHeight="1">
      <c r="H18" s="818"/>
      <c r="I18" s="818"/>
      <c r="J18" s="818"/>
      <c r="L18" s="819"/>
      <c r="M18" s="819"/>
      <c r="N18" s="819"/>
      <c r="O18" s="819"/>
      <c r="P18" s="819"/>
      <c r="Q18" s="819"/>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row>
    <row r="19" ht="20.1" customHeight="1">
      <c r="A19" s="820" t="s">
        <v>978</v>
      </c>
      <c r="B19" s="483" t="s">
        <v>979</v>
      </c>
      <c r="E19" s="820" t="s">
        <v>980</v>
      </c>
      <c r="F19" s="483" t="s">
        <v>253</v>
      </c>
      <c r="H19" s="818"/>
      <c r="I19" s="818"/>
      <c r="J19" s="818"/>
      <c r="L19" s="822"/>
      <c r="M19" s="819"/>
      <c r="N19" s="819"/>
      <c r="O19" s="819"/>
      <c r="P19" s="819"/>
      <c r="Q19" s="8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row>
    <row r="20" ht="20.1" customHeight="1">
      <c r="A20" s="12"/>
      <c r="G20" s="816"/>
      <c r="H20" s="818"/>
      <c r="I20" s="818"/>
      <c r="J20" s="818"/>
      <c r="L20" s="819"/>
      <c r="M20" s="819"/>
      <c r="N20" s="819"/>
      <c r="O20" s="819"/>
      <c r="P20" s="819"/>
      <c r="Q20" s="819"/>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row>
    <row r="21" ht="20.1" customHeight="1">
      <c r="A21" s="820" t="s">
        <v>981</v>
      </c>
      <c r="B21" s="483" t="s">
        <v>253</v>
      </c>
      <c r="E21" s="820" t="s">
        <v>982</v>
      </c>
      <c r="F21" s="483" t="s">
        <v>254</v>
      </c>
      <c r="G21" s="816"/>
      <c r="H21" s="818"/>
      <c r="I21" s="818"/>
      <c r="J21" s="818"/>
      <c r="L21" s="819"/>
      <c r="M21" s="819"/>
      <c r="N21" s="819"/>
      <c r="O21" s="819"/>
      <c r="P21" s="819"/>
      <c r="Q21" s="819"/>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row>
    <row r="22" ht="20.1" customHeight="1">
      <c r="A22" s="12"/>
      <c r="G22" s="816"/>
      <c r="H22" s="818"/>
      <c r="I22" s="818"/>
      <c r="J22" s="818"/>
      <c r="L22" s="819"/>
      <c r="M22" s="819"/>
      <c r="N22" s="819"/>
      <c r="O22" s="819"/>
      <c r="P22" s="819"/>
      <c r="Q22" s="819"/>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row>
    <row r="23" ht="20.1" customHeight="1">
      <c r="A23" s="12"/>
      <c r="G23" s="816"/>
      <c r="H23" s="818"/>
      <c r="I23" s="818"/>
      <c r="J23" s="818"/>
      <c r="L23" s="819"/>
      <c r="M23" s="819"/>
      <c r="N23" s="819"/>
      <c r="O23" s="819"/>
      <c r="P23" s="819"/>
      <c r="Q23" s="819"/>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row>
    <row r="24" ht="20.1" customHeight="1">
      <c r="A24" s="12" t="s">
        <v>93</v>
      </c>
      <c r="B24" s="823" t="n">
        <f aca="false">SUM(B25:B32)</f>
        <v>77</v>
      </c>
      <c r="C24" s="43" t="s">
        <v>94</v>
      </c>
      <c r="E24" s="12" t="s">
        <v>104</v>
      </c>
      <c r="F24" s="585"/>
      <c r="G24" s="9" t="s">
        <v>94</v>
      </c>
      <c r="H24" s="818"/>
      <c r="I24" s="818"/>
      <c r="J24" s="818"/>
      <c r="L24" s="819"/>
      <c r="M24" s="819"/>
      <c r="N24" s="819"/>
      <c r="O24" s="819"/>
      <c r="P24" s="819"/>
      <c r="Q24" s="819"/>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row>
    <row r="25" ht="30.75" customHeight="1">
      <c r="A25" s="824" t="s">
        <v>983</v>
      </c>
      <c r="B25" s="825" t="n">
        <v>76</v>
      </c>
      <c r="C25" s="826" t="s">
        <v>94</v>
      </c>
      <c r="G25" s="816"/>
      <c r="H25" s="818"/>
      <c r="I25" s="818"/>
      <c r="J25" s="818"/>
      <c r="L25" s="819"/>
      <c r="M25" s="819"/>
      <c r="N25" s="819"/>
      <c r="O25" s="819"/>
      <c r="P25" s="819"/>
      <c r="Q25" s="819"/>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row>
    <row r="26" ht="20.1" customHeight="1">
      <c r="A26" s="827" t="s">
        <v>984</v>
      </c>
      <c r="B26" s="825"/>
      <c r="C26" s="798" t="s">
        <v>94</v>
      </c>
      <c r="G26" s="816"/>
      <c r="H26" s="818"/>
      <c r="I26" s="818"/>
      <c r="J26" s="818"/>
      <c r="L26" s="819"/>
      <c r="M26" s="819"/>
      <c r="N26" s="819"/>
      <c r="O26" s="819"/>
      <c r="P26" s="819"/>
      <c r="Q26" s="819"/>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row>
    <row r="27" ht="30" customHeight="1">
      <c r="A27" s="828" t="s">
        <v>985</v>
      </c>
      <c r="B27" s="825" t="n">
        <v>1</v>
      </c>
      <c r="C27" s="826" t="s">
        <v>94</v>
      </c>
      <c r="G27" s="816"/>
      <c r="H27" s="818"/>
      <c r="I27" s="818"/>
      <c r="J27" s="818"/>
      <c r="L27" s="819"/>
      <c r="M27" s="819"/>
      <c r="N27" s="819"/>
      <c r="O27" s="819"/>
      <c r="P27" s="819"/>
      <c r="Q27" s="819"/>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row>
    <row r="28" ht="20.1" customHeight="1">
      <c r="A28" s="827" t="s">
        <v>97</v>
      </c>
      <c r="B28" s="825"/>
      <c r="C28" s="798" t="s">
        <v>94</v>
      </c>
      <c r="G28" s="816"/>
      <c r="H28" s="818"/>
      <c r="I28" s="818"/>
      <c r="J28" s="818"/>
      <c r="L28" s="819"/>
      <c r="M28" s="819"/>
      <c r="N28" s="819"/>
      <c r="O28" s="819"/>
      <c r="P28" s="819"/>
      <c r="Q28" s="819"/>
      <c r="R28" s="819"/>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row>
    <row r="29" ht="20.1" customHeight="1">
      <c r="A29" s="827" t="s">
        <v>98</v>
      </c>
      <c r="B29" s="825"/>
      <c r="C29" s="798" t="s">
        <v>94</v>
      </c>
      <c r="G29" s="816"/>
      <c r="H29" s="818"/>
      <c r="I29" s="818"/>
      <c r="J29" s="818"/>
      <c r="L29" s="819"/>
      <c r="M29" s="819"/>
      <c r="N29" s="819"/>
      <c r="O29" s="819"/>
      <c r="P29" s="819"/>
      <c r="Q29" s="819"/>
      <c r="R29" s="81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row>
    <row r="30" ht="20.1" customHeight="1">
      <c r="A30" s="827" t="s">
        <v>100</v>
      </c>
      <c r="B30" s="825"/>
      <c r="C30" s="798" t="s">
        <v>94</v>
      </c>
      <c r="J30"/>
      <c r="L30" s="819"/>
      <c r="M30" s="819"/>
      <c r="N30" s="819"/>
      <c r="O30" s="819"/>
      <c r="P30" s="819"/>
      <c r="Q30" s="819"/>
      <c r="R30" s="819"/>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row>
    <row r="31" ht="20.1" customHeight="1">
      <c r="A31" s="824" t="s">
        <v>986</v>
      </c>
      <c r="B31" s="825"/>
      <c r="C31" s="798" t="s">
        <v>94</v>
      </c>
      <c r="D31" s="9" t="s">
        <v>987</v>
      </c>
      <c r="E31" s="829"/>
      <c r="F31" s="829"/>
      <c r="G31" s="829"/>
      <c r="J31"/>
      <c r="L31" s="819"/>
      <c r="M31" s="819"/>
      <c r="N31" s="819"/>
      <c r="O31" s="819"/>
      <c r="P31" s="819"/>
      <c r="Q31" s="819"/>
      <c r="R31" s="819"/>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row>
    <row r="32" ht="30" customHeight="1">
      <c r="A32" s="828" t="s">
        <v>988</v>
      </c>
      <c r="B32" s="825"/>
      <c r="C32" s="826" t="s">
        <v>94</v>
      </c>
      <c r="D32" s="37" t="s">
        <v>987</v>
      </c>
      <c r="E32" s="830"/>
      <c r="F32" s="830"/>
      <c r="G32" s="830"/>
      <c r="J32"/>
      <c r="L32" s="819"/>
      <c r="M32" s="819"/>
      <c r="N32" s="819"/>
      <c r="O32" s="819"/>
      <c r="P32" s="819"/>
      <c r="Q32" s="819"/>
      <c r="R32" s="819"/>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row>
    <row r="33" ht="20.1" customHeight="1">
      <c r="A33" s="12"/>
      <c r="B33" s="44"/>
      <c r="E33" s="817"/>
      <c r="F33" s="44"/>
      <c r="G33" s="401"/>
      <c r="L33" s="819"/>
      <c r="M33" s="819"/>
      <c r="N33" s="819"/>
      <c r="O33" s="819"/>
      <c r="P33" s="819"/>
      <c r="Q33" s="819"/>
      <c r="R33" s="819"/>
    </row>
    <row r="34" ht="20.1" customHeight="1">
      <c r="L34" s="819"/>
      <c r="M34" s="819"/>
      <c r="N34" s="819"/>
      <c r="O34" s="819"/>
      <c r="P34" s="819"/>
      <c r="R34" s="819"/>
    </row>
    <row r="35" ht="20.1" customHeight="1">
      <c r="B35" s="810" t="s">
        <v>989</v>
      </c>
      <c r="H35" s="831"/>
      <c r="I35" s="831"/>
      <c r="J35" s="832"/>
      <c r="L35" t="s">
        <v>963</v>
      </c>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row>
    <row r="36" ht="20.1" customHeight="1">
      <c r="H36" s="831"/>
      <c r="I36" s="831"/>
      <c r="J36" s="832"/>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row>
    <row r="37" ht="20.1" customHeight="1">
      <c r="A37" s="12" t="s">
        <v>107</v>
      </c>
      <c r="B37" s="833" t="n">
        <v>2</v>
      </c>
      <c r="H37" s="831"/>
      <c r="I37" s="831"/>
      <c r="J37" s="832"/>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row>
    <row r="38" ht="20.25" customHeight="1">
      <c r="A38" s="834" t="s">
        <v>990</v>
      </c>
      <c r="B38" s="834"/>
      <c r="C38" s="833" t="n">
        <v>1</v>
      </c>
      <c r="E38" s="12" t="s">
        <v>991</v>
      </c>
      <c r="F38" s="833" t="s">
        <v>114</v>
      </c>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row>
    <row r="39" ht="19.5" customHeight="1">
      <c r="A39" s="834" t="s">
        <v>992</v>
      </c>
      <c r="B39" s="834"/>
      <c r="C39" s="833" t="n">
        <v>1</v>
      </c>
      <c r="E39" s="807"/>
      <c r="F39" s="807"/>
      <c r="G39" s="807"/>
      <c r="J39"/>
      <c r="L39"/>
      <c r="M39"/>
      <c r="N39"/>
      <c r="O39" s="819"/>
      <c r="P39"/>
      <c r="Q39"/>
      <c r="R39" s="81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row>
    <row r="40" ht="20.1" customHeight="1">
      <c r="A40" s="834" t="s">
        <v>993</v>
      </c>
      <c r="B40" s="834"/>
      <c r="C40" s="833"/>
      <c r="E40" s="807"/>
      <c r="F40" s="807"/>
      <c r="G40" s="807"/>
      <c r="O40" s="819"/>
      <c r="R40" s="819"/>
    </row>
    <row r="41" ht="20.1" customHeight="1">
      <c r="E41" s="807"/>
      <c r="F41" s="807"/>
      <c r="G41" s="807"/>
      <c r="O41" s="819"/>
      <c r="R41" s="819"/>
    </row>
    <row r="42" ht="20.1" customHeight="1">
      <c r="A42" s="12" t="s">
        <v>116</v>
      </c>
      <c r="B42" s="833"/>
      <c r="C42" s="835" t="s">
        <v>739</v>
      </c>
      <c r="D42" s="30"/>
      <c r="E42" s="30"/>
      <c r="F42" s="30"/>
      <c r="G42" s="30"/>
      <c r="O42" s="819"/>
      <c r="R42" s="819"/>
    </row>
    <row r="43" ht="20.1" customHeight="1">
      <c r="E43" s="807"/>
      <c r="F43" s="807"/>
      <c r="G43" s="807"/>
      <c r="O43" s="819"/>
      <c r="R43" s="819"/>
    </row>
    <row r="44" ht="20.1" customHeight="1">
      <c r="B44" s="810" t="s">
        <v>994</v>
      </c>
      <c r="E44" s="807"/>
      <c r="G44" s="807"/>
      <c r="I44" s="401"/>
      <c r="J44" s="809"/>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row>
    <row r="45" ht="20.1" customHeight="1">
      <c r="B45" s="810"/>
      <c r="E45" s="807"/>
      <c r="G45" s="807"/>
      <c r="I45" s="401"/>
      <c r="J45" s="809"/>
      <c r="L45"/>
      <c r="M45"/>
      <c r="N45"/>
      <c r="O45"/>
      <c r="P45"/>
      <c r="Q45" s="43"/>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row>
    <row r="46" ht="20.1" customHeight="1">
      <c r="A46" s="806" t="s">
        <v>995</v>
      </c>
      <c r="B46" s="836"/>
      <c r="C46" s="401"/>
      <c r="D46" s="401"/>
      <c r="E46" s="401"/>
      <c r="F46" s="401"/>
      <c r="G46" s="401"/>
      <c r="H46" s="837"/>
      <c r="I46" s="837"/>
      <c r="J46" s="837"/>
      <c r="L46"/>
      <c r="M46"/>
      <c r="N46"/>
      <c r="O46"/>
      <c r="P46"/>
      <c r="Q46" s="43"/>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row>
    <row r="47" ht="20.1" customHeight="1">
      <c r="A47" s="808"/>
      <c r="B47" s="808"/>
      <c r="C47" s="838"/>
      <c r="D47" s="401"/>
      <c r="E47" s="401"/>
      <c r="F47" s="401"/>
      <c r="G47" s="401"/>
      <c r="H47" s="401"/>
      <c r="I47" s="401"/>
      <c r="J47" s="809"/>
      <c r="L47" t="s">
        <v>996</v>
      </c>
      <c r="M47"/>
      <c r="N47"/>
      <c r="O47"/>
      <c r="P47"/>
      <c r="Q47" s="43"/>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row>
    <row r="48" ht="48.75" customHeight="1">
      <c r="A48" s="839" t="s">
        <v>997</v>
      </c>
      <c r="B48" s="840" t="s">
        <v>998</v>
      </c>
      <c r="C48" s="840"/>
      <c r="D48" s="725" t="s">
        <v>999</v>
      </c>
      <c r="E48" s="841" t="s">
        <v>1000</v>
      </c>
      <c r="F48" s="841"/>
      <c r="G48" s="842" t="s">
        <v>124</v>
      </c>
      <c r="H48" s="725" t="s">
        <v>1001</v>
      </c>
      <c r="I48" s="725" t="s">
        <v>1002</v>
      </c>
      <c r="J48" s="843" t="s">
        <v>1003</v>
      </c>
      <c r="K48"/>
      <c r="L48"/>
      <c r="M48"/>
      <c r="N48"/>
      <c r="O48"/>
      <c r="P48" s="43"/>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row>
    <row r="49" ht="37.5" customHeight="1">
      <c r="A49" s="839"/>
      <c r="B49" s="840"/>
      <c r="C49" s="840"/>
      <c r="D49" s="725"/>
      <c r="E49" s="844" t="s">
        <v>1004</v>
      </c>
      <c r="F49" s="845" t="s">
        <v>1005</v>
      </c>
      <c r="G49" s="842"/>
      <c r="H49" s="725"/>
      <c r="I49" s="725"/>
      <c r="J49" s="843"/>
      <c r="K49"/>
      <c r="L49"/>
      <c r="M49"/>
      <c r="N49"/>
      <c r="O49"/>
      <c r="P49" s="43"/>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row>
    <row r="50" ht="20.1" customHeight="1">
      <c r="A50" s="846" t="s">
        <v>1006</v>
      </c>
      <c r="B50" s="847"/>
      <c r="C50" s="847"/>
      <c r="D50" s="848"/>
      <c r="E50" s="849"/>
      <c r="F50" s="850"/>
      <c r="G50" s="851" t="s">
        <v>1007</v>
      </c>
      <c r="H50" s="851" t="s">
        <v>1007</v>
      </c>
      <c r="I50" s="852" t="s">
        <v>1008</v>
      </c>
      <c r="J50" s="853" t="n">
        <f aca="false">SUM(J51:J60)</f>
        <v>0</v>
      </c>
      <c r="K50"/>
      <c r="L50"/>
      <c r="M50"/>
      <c r="N50"/>
      <c r="O50"/>
      <c r="P50" s="43"/>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row>
    <row r="51" ht="20.1" customHeight="1">
      <c r="A51" s="854" t="s">
        <v>1009</v>
      </c>
      <c r="B51" s="855" t="s">
        <v>4</v>
      </c>
      <c r="C51" s="855"/>
      <c r="D51" s="856"/>
      <c r="E51" s="813"/>
      <c r="F51" s="857"/>
      <c r="G51" s="813"/>
      <c r="H51" s="813"/>
      <c r="I51" s="858" t="n">
        <v>1.05</v>
      </c>
      <c r="J51" s="859" t="n">
        <f aca="false">D51*(G51/12)*I51</f>
        <v>0</v>
      </c>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row>
    <row r="52" ht="20.1" customHeight="1">
      <c r="A52" s="860"/>
      <c r="B52" s="861" t="s">
        <v>6</v>
      </c>
      <c r="C52" s="861"/>
      <c r="D52" s="856"/>
      <c r="E52" s="813"/>
      <c r="F52" s="857"/>
      <c r="G52" s="813"/>
      <c r="H52" s="813"/>
      <c r="I52" s="858" t="n">
        <v>0.85</v>
      </c>
      <c r="J52" s="859" t="n">
        <f aca="false">D52*(G52/12)*I52</f>
        <v>0</v>
      </c>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row>
    <row r="53" ht="20.1" customHeight="1">
      <c r="A53" s="860"/>
      <c r="B53" s="861" t="s">
        <v>1010</v>
      </c>
      <c r="C53" s="861"/>
      <c r="D53" s="856"/>
      <c r="E53" s="813"/>
      <c r="F53" s="857"/>
      <c r="G53" s="813"/>
      <c r="H53" s="813"/>
      <c r="I53" s="858" t="n">
        <v>0.8</v>
      </c>
      <c r="J53" s="859" t="n">
        <f aca="false">D53*(G53/12)*I53</f>
        <v>0</v>
      </c>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row>
    <row r="54" ht="20.1" customHeight="1">
      <c r="A54" s="860"/>
      <c r="B54" s="861" t="s">
        <v>1011</v>
      </c>
      <c r="C54" s="861"/>
      <c r="D54" s="856"/>
      <c r="E54" s="813"/>
      <c r="F54" s="857"/>
      <c r="G54" s="813"/>
      <c r="H54" s="813"/>
      <c r="I54" s="858" t="n">
        <v>0.2</v>
      </c>
      <c r="J54" s="859" t="n">
        <f aca="false">D54*(G54/12)*I54</f>
        <v>0</v>
      </c>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row>
    <row r="55" ht="20.1" customHeight="1">
      <c r="A55" s="862" t="s">
        <v>1012</v>
      </c>
      <c r="B55" s="861" t="s">
        <v>1013</v>
      </c>
      <c r="C55" s="861"/>
      <c r="D55" s="856"/>
      <c r="E55" s="813"/>
      <c r="F55" s="857"/>
      <c r="G55" s="813"/>
      <c r="H55" s="813"/>
      <c r="I55" s="858" t="n">
        <v>0.3</v>
      </c>
      <c r="J55" s="859" t="n">
        <f aca="false">D55*(G55/12)*I55</f>
        <v>0</v>
      </c>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row>
    <row r="56" ht="20.1" customHeight="1">
      <c r="A56" s="860"/>
      <c r="B56" s="863" t="s">
        <v>1014</v>
      </c>
      <c r="C56" s="863"/>
      <c r="D56" s="856"/>
      <c r="E56" s="813"/>
      <c r="F56" s="857"/>
      <c r="G56" s="813"/>
      <c r="H56" s="813"/>
      <c r="I56" s="858" t="n">
        <v>0.6</v>
      </c>
      <c r="J56" s="859" t="n">
        <f aca="false">D56*(G56/12)*I56</f>
        <v>0</v>
      </c>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row>
    <row r="57" ht="20.1" customHeight="1">
      <c r="A57" s="860"/>
      <c r="B57" s="863" t="s">
        <v>1015</v>
      </c>
      <c r="C57" s="863"/>
      <c r="D57" s="856"/>
      <c r="E57" s="813"/>
      <c r="F57" s="857"/>
      <c r="G57" s="813"/>
      <c r="H57" s="813"/>
      <c r="I57" s="858" t="n">
        <v>0.7</v>
      </c>
      <c r="J57" s="859" t="n">
        <f aca="false">D57*(G57/12)*I57</f>
        <v>0</v>
      </c>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row>
    <row r="58" ht="20.1" customHeight="1">
      <c r="A58" s="860"/>
      <c r="B58" s="863" t="s">
        <v>1016</v>
      </c>
      <c r="C58" s="863"/>
      <c r="D58" s="856"/>
      <c r="E58" s="813"/>
      <c r="F58" s="857"/>
      <c r="G58" s="813"/>
      <c r="H58" s="813"/>
      <c r="I58" s="858" t="n">
        <v>0.3</v>
      </c>
      <c r="J58" s="859" t="n">
        <f aca="false">D58*(G58/12)*I58</f>
        <v>0</v>
      </c>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row>
    <row r="59" ht="20.1" customHeight="1">
      <c r="A59" s="860"/>
      <c r="B59" s="863" t="s">
        <v>1017</v>
      </c>
      <c r="C59" s="863"/>
      <c r="D59" s="856"/>
      <c r="E59" s="813"/>
      <c r="F59" s="857"/>
      <c r="G59" s="813"/>
      <c r="H59" s="813"/>
      <c r="I59" s="858" t="n">
        <v>0.6</v>
      </c>
      <c r="J59" s="859" t="n">
        <f aca="false">D59*(G59/12)*I59</f>
        <v>0</v>
      </c>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row>
    <row r="60" ht="20.1" customHeight="1">
      <c r="A60" s="860"/>
      <c r="B60" s="863" t="s">
        <v>1018</v>
      </c>
      <c r="C60" s="863"/>
      <c r="D60" s="856"/>
      <c r="E60" s="813"/>
      <c r="F60" s="857"/>
      <c r="G60" s="813"/>
      <c r="H60" s="813"/>
      <c r="I60" s="858" t="n">
        <v>0.8</v>
      </c>
      <c r="J60" s="859" t="n">
        <f aca="false">D60*(G60/12)*I60</f>
        <v>0</v>
      </c>
      <c r="K60"/>
      <c r="L60"/>
      <c r="M60"/>
      <c r="N60" s="819"/>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row>
    <row r="61" ht="20.1" customHeight="1">
      <c r="A61" s="846" t="s">
        <v>1019</v>
      </c>
      <c r="B61" s="864"/>
      <c r="C61" s="864"/>
      <c r="D61" s="865"/>
      <c r="E61" s="510"/>
      <c r="F61" s="866"/>
      <c r="G61" s="510"/>
      <c r="H61" s="510"/>
      <c r="I61" s="510"/>
      <c r="J61" s="853" t="n">
        <f aca="false">SUM(J62:J66)</f>
        <v>0</v>
      </c>
      <c r="K61"/>
      <c r="L61"/>
      <c r="M61"/>
      <c r="N61" s="819"/>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row>
    <row r="62" ht="20.1" customHeight="1">
      <c r="A62" s="860"/>
      <c r="B62" s="861" t="s">
        <v>1020</v>
      </c>
      <c r="C62" s="861"/>
      <c r="D62" s="856"/>
      <c r="E62" s="813"/>
      <c r="F62" s="857"/>
      <c r="G62" s="813"/>
      <c r="H62" s="813"/>
      <c r="I62" s="858" t="n">
        <v>0.1</v>
      </c>
      <c r="J62" s="859" t="n">
        <f aca="false">D62*(G62/12)*I62</f>
        <v>0</v>
      </c>
      <c r="K62"/>
      <c r="L62"/>
      <c r="M62"/>
      <c r="N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row>
    <row r="63" ht="20.1" customHeight="1">
      <c r="A63" s="860"/>
      <c r="B63" s="861" t="s">
        <v>1021</v>
      </c>
      <c r="C63" s="861"/>
      <c r="D63" s="856"/>
      <c r="E63" s="813"/>
      <c r="F63" s="857"/>
      <c r="G63" s="813"/>
      <c r="H63" s="813"/>
      <c r="I63" s="858" t="n">
        <v>0.1</v>
      </c>
      <c r="J63" s="859" t="n">
        <f aca="false">D63*(G63/12)*I63</f>
        <v>0</v>
      </c>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row>
    <row r="64" ht="20.1" customHeight="1">
      <c r="A64" s="860"/>
      <c r="B64" s="861" t="s">
        <v>1022</v>
      </c>
      <c r="C64" s="861"/>
      <c r="D64" s="856"/>
      <c r="E64" s="813"/>
      <c r="F64" s="857"/>
      <c r="G64" s="813"/>
      <c r="H64" s="813"/>
      <c r="I64" s="858" t="n">
        <v>0.05</v>
      </c>
      <c r="J64" s="859" t="n">
        <f aca="false">D64*(G64/12)*I64</f>
        <v>0</v>
      </c>
      <c r="K64"/>
      <c r="L64"/>
      <c r="M64"/>
      <c r="N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row>
    <row r="65" ht="20.1" customHeight="1">
      <c r="A65" s="860"/>
      <c r="B65" s="861" t="s">
        <v>1023</v>
      </c>
      <c r="C65" s="861"/>
      <c r="D65" s="856"/>
      <c r="E65" s="813"/>
      <c r="F65" s="857"/>
      <c r="G65" s="813"/>
      <c r="H65" s="813"/>
      <c r="I65" s="858" t="n">
        <v>0.1</v>
      </c>
      <c r="J65" s="859" t="n">
        <f aca="false">D65*(G65/12)*I65</f>
        <v>0</v>
      </c>
      <c r="K65"/>
      <c r="L65"/>
      <c r="M65"/>
      <c r="N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row>
    <row r="66" ht="20.1" customHeight="1">
      <c r="A66" s="860"/>
      <c r="B66" s="861" t="s">
        <v>1024</v>
      </c>
      <c r="C66" s="861"/>
      <c r="D66" s="856"/>
      <c r="E66" s="813"/>
      <c r="F66" s="857"/>
      <c r="G66" s="813"/>
      <c r="H66" s="813"/>
      <c r="I66" s="858" t="n">
        <v>0.03</v>
      </c>
      <c r="J66" s="859" t="n">
        <f aca="false">D66*(G66/12)*I66</f>
        <v>0</v>
      </c>
      <c r="K66"/>
      <c r="L66"/>
      <c r="M66"/>
      <c r="N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row>
    <row r="67" ht="20.1" customHeight="1">
      <c r="A67" s="846" t="s">
        <v>1025</v>
      </c>
      <c r="B67" s="867"/>
      <c r="C67" s="867"/>
      <c r="D67" s="868"/>
      <c r="E67" s="867"/>
      <c r="F67" s="869"/>
      <c r="G67" s="867"/>
      <c r="H67" s="867"/>
      <c r="I67" s="864"/>
      <c r="J67" s="853" t="n">
        <f aca="false">SUM(J68:J72)</f>
        <v>0</v>
      </c>
      <c r="K67"/>
      <c r="L67"/>
      <c r="M67"/>
      <c r="N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row>
    <row r="68" ht="20.1" customHeight="1">
      <c r="A68" s="860"/>
      <c r="B68" s="861" t="s">
        <v>142</v>
      </c>
      <c r="C68" s="861"/>
      <c r="D68" s="856"/>
      <c r="E68" s="813"/>
      <c r="F68" s="857"/>
      <c r="G68" s="813"/>
      <c r="H68" s="813"/>
      <c r="I68" s="858" t="n">
        <v>0.31</v>
      </c>
      <c r="J68" s="859" t="n">
        <f aca="false">D68*(G68/12)*I68</f>
        <v>0</v>
      </c>
      <c r="K68"/>
      <c r="L68"/>
      <c r="M68"/>
      <c r="N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row>
    <row r="69" ht="20.1" customHeight="1">
      <c r="A69" s="860"/>
      <c r="B69" s="861" t="s">
        <v>143</v>
      </c>
      <c r="C69" s="861"/>
      <c r="D69" s="856"/>
      <c r="E69" s="813"/>
      <c r="F69" s="857"/>
      <c r="G69" s="813"/>
      <c r="H69" s="813"/>
      <c r="I69" s="858" t="n">
        <v>0.26</v>
      </c>
      <c r="J69" s="859" t="n">
        <f aca="false">D69*(G69/12)*I69</f>
        <v>0</v>
      </c>
      <c r="K69"/>
      <c r="L69"/>
      <c r="M69"/>
      <c r="N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row>
    <row r="70" ht="20.1" customHeight="1">
      <c r="A70" s="860"/>
      <c r="B70" s="861" t="s">
        <v>144</v>
      </c>
      <c r="C70" s="861"/>
      <c r="D70" s="856"/>
      <c r="E70" s="813"/>
      <c r="F70" s="857"/>
      <c r="G70" s="813"/>
      <c r="H70" s="813"/>
      <c r="I70" s="858" t="n">
        <v>0.14</v>
      </c>
      <c r="J70" s="859" t="n">
        <f aca="false">D70*(G70/12)*I70</f>
        <v>0</v>
      </c>
      <c r="K70"/>
      <c r="L70"/>
      <c r="M70"/>
      <c r="N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row>
    <row r="71" ht="20.1" customHeight="1">
      <c r="A71" s="860"/>
      <c r="B71" s="861" t="s">
        <v>145</v>
      </c>
      <c r="C71" s="861"/>
      <c r="D71" s="856"/>
      <c r="E71" s="813"/>
      <c r="F71" s="857"/>
      <c r="G71" s="813"/>
      <c r="H71" s="813"/>
      <c r="I71" s="858" t="n">
        <v>0.055</v>
      </c>
      <c r="J71" s="859" t="n">
        <f aca="false">D71*(G71/12)*I71</f>
        <v>0</v>
      </c>
      <c r="K71"/>
      <c r="L71"/>
      <c r="M71"/>
      <c r="N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row>
    <row r="72" ht="20.1" customHeight="1">
      <c r="A72" s="860"/>
      <c r="B72" s="861" t="s">
        <v>146</v>
      </c>
      <c r="C72" s="861"/>
      <c r="D72" s="856"/>
      <c r="E72" s="813"/>
      <c r="F72" s="857"/>
      <c r="G72" s="813"/>
      <c r="H72" s="813"/>
      <c r="I72" s="858" t="n">
        <v>0.26</v>
      </c>
      <c r="J72" s="859" t="n">
        <f aca="false">D72*(G72/12)*I72</f>
        <v>0</v>
      </c>
      <c r="K72"/>
      <c r="L72"/>
      <c r="M72"/>
      <c r="N72" s="819"/>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row>
    <row r="73" ht="20.1" customHeight="1">
      <c r="A73" s="846" t="s">
        <v>1026</v>
      </c>
      <c r="B73" s="867"/>
      <c r="C73" s="867"/>
      <c r="D73" s="868"/>
      <c r="E73" s="867"/>
      <c r="F73" s="869"/>
      <c r="G73" s="867"/>
      <c r="H73" s="867"/>
      <c r="I73" s="864"/>
      <c r="J73" s="853" t="n">
        <f aca="false">SUM(J74:J87)</f>
        <v>60</v>
      </c>
      <c r="K73"/>
      <c r="L73"/>
      <c r="M73"/>
      <c r="N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row>
    <row r="74" ht="20.1" customHeight="1">
      <c r="A74" s="860"/>
      <c r="B74" s="861" t="s">
        <v>148</v>
      </c>
      <c r="C74" s="861"/>
      <c r="D74" s="856"/>
      <c r="E74" s="813"/>
      <c r="F74" s="857"/>
      <c r="G74" s="813"/>
      <c r="H74" s="813"/>
      <c r="I74" s="858" t="n">
        <v>0.0096</v>
      </c>
      <c r="J74" s="859" t="n">
        <f aca="false">D74*(G74/12)*I74</f>
        <v>0</v>
      </c>
      <c r="K74"/>
      <c r="L74"/>
      <c r="M74"/>
      <c r="N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row>
    <row r="75" ht="20.1" customHeight="1">
      <c r="A75" s="860"/>
      <c r="B75" s="861" t="s">
        <v>149</v>
      </c>
      <c r="C75" s="861"/>
      <c r="D75" s="856"/>
      <c r="E75" s="813"/>
      <c r="F75" s="857"/>
      <c r="G75" s="813"/>
      <c r="H75" s="813"/>
      <c r="I75" s="858" t="n">
        <v>0.009</v>
      </c>
      <c r="J75" s="859" t="n">
        <f aca="false">D75*(G75/12)*I75</f>
        <v>0</v>
      </c>
      <c r="K75"/>
      <c r="L75"/>
      <c r="M75"/>
      <c r="N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row>
    <row r="76" ht="20.1" customHeight="1">
      <c r="A76" s="860"/>
      <c r="B76" s="861" t="s">
        <v>150</v>
      </c>
      <c r="C76" s="861"/>
      <c r="D76" s="856"/>
      <c r="E76" s="813"/>
      <c r="F76" s="857"/>
      <c r="G76" s="813"/>
      <c r="H76" s="813"/>
      <c r="I76" s="858" t="n">
        <v>0.008</v>
      </c>
      <c r="J76" s="859" t="n">
        <f aca="false">D76*(G76/12)*I76</f>
        <v>0</v>
      </c>
      <c r="K76"/>
      <c r="L76"/>
      <c r="M76"/>
      <c r="N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row>
    <row r="77" ht="20.1" customHeight="1">
      <c r="A77" s="860"/>
      <c r="B77" s="861" t="s">
        <v>151</v>
      </c>
      <c r="C77" s="861"/>
      <c r="D77" s="856"/>
      <c r="E77" s="813"/>
      <c r="F77" s="857"/>
      <c r="G77" s="813"/>
      <c r="H77" s="813"/>
      <c r="I77" s="858" t="n">
        <v>0.008</v>
      </c>
      <c r="J77" s="859" t="n">
        <f aca="false">D77*(G77/12)*I77</f>
        <v>0</v>
      </c>
      <c r="K77"/>
      <c r="L77"/>
      <c r="M77"/>
      <c r="N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row>
    <row r="78" ht="20.1" customHeight="1">
      <c r="A78" s="860"/>
      <c r="B78" s="861" t="s">
        <v>152</v>
      </c>
      <c r="C78" s="861"/>
      <c r="D78" s="856"/>
      <c r="E78" s="813"/>
      <c r="F78" s="857"/>
      <c r="G78" s="813"/>
      <c r="H78" s="813"/>
      <c r="I78" s="858" t="n">
        <v>0.01</v>
      </c>
      <c r="J78" s="859" t="n">
        <f aca="false">D78*(G78/12)*I78</f>
        <v>0</v>
      </c>
      <c r="K78"/>
      <c r="L78"/>
      <c r="M78"/>
      <c r="N78" s="819"/>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row>
    <row r="79" ht="20.1" customHeight="1">
      <c r="A79" s="860"/>
      <c r="B79" s="861" t="s">
        <v>1027</v>
      </c>
      <c r="C79" s="861"/>
      <c r="D79" s="856"/>
      <c r="E79" s="813"/>
      <c r="F79" s="857"/>
      <c r="G79" s="813"/>
      <c r="H79" s="813"/>
      <c r="I79" s="858" t="n">
        <v>0.01</v>
      </c>
      <c r="J79" s="859" t="n">
        <f aca="false">D79*(G79/12)*I79</f>
        <v>0</v>
      </c>
      <c r="K79"/>
      <c r="L79"/>
      <c r="M79"/>
      <c r="N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row>
    <row r="80" ht="20.1" customHeight="1">
      <c r="A80" s="860"/>
      <c r="B80" s="861" t="s">
        <v>154</v>
      </c>
      <c r="C80" s="861"/>
      <c r="D80" s="856"/>
      <c r="E80" s="813"/>
      <c r="F80" s="857"/>
      <c r="G80" s="813"/>
      <c r="H80" s="813"/>
      <c r="I80" s="858" t="n">
        <v>0.1</v>
      </c>
      <c r="J80" s="859" t="n">
        <f aca="false">D80*(G80/12)*I80</f>
        <v>0</v>
      </c>
      <c r="K80"/>
      <c r="L80"/>
      <c r="M80"/>
      <c r="N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row>
    <row r="81" ht="20.1" customHeight="1">
      <c r="A81" s="860"/>
      <c r="B81" s="861" t="s">
        <v>155</v>
      </c>
      <c r="C81" s="861"/>
      <c r="D81" s="856"/>
      <c r="E81" s="813"/>
      <c r="F81" s="857"/>
      <c r="G81" s="813"/>
      <c r="H81" s="813"/>
      <c r="I81" s="858" t="n">
        <v>0.0131</v>
      </c>
      <c r="J81" s="859" t="n">
        <f aca="false">D81*(G81/12)*I81</f>
        <v>0</v>
      </c>
      <c r="K81"/>
      <c r="L81"/>
      <c r="M81"/>
      <c r="N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row>
    <row r="82" ht="20.1" customHeight="1">
      <c r="A82" s="860"/>
      <c r="B82" s="861" t="s">
        <v>156</v>
      </c>
      <c r="C82" s="861"/>
      <c r="D82" s="856"/>
      <c r="E82" s="813"/>
      <c r="F82" s="857"/>
      <c r="G82" s="813"/>
      <c r="H82" s="813"/>
      <c r="I82" s="858" t="n">
        <v>0.0152</v>
      </c>
      <c r="J82" s="859" t="n">
        <f aca="false">D82*(G82/12)*I82</f>
        <v>0</v>
      </c>
      <c r="K82"/>
      <c r="L82"/>
      <c r="M82"/>
      <c r="N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row>
    <row r="83" ht="20.1" customHeight="1">
      <c r="A83" s="860"/>
      <c r="B83" s="861" t="s">
        <v>157</v>
      </c>
      <c r="C83" s="861"/>
      <c r="D83" s="856"/>
      <c r="E83" s="813"/>
      <c r="F83" s="857"/>
      <c r="G83" s="813"/>
      <c r="H83" s="813"/>
      <c r="I83" s="858" t="n">
        <v>0.015</v>
      </c>
      <c r="J83" s="859" t="n">
        <f aca="false">D83*(G83/12)*I83</f>
        <v>0</v>
      </c>
      <c r="K83"/>
      <c r="L83"/>
      <c r="M83"/>
      <c r="N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row>
    <row r="84" ht="20.1" customHeight="1">
      <c r="A84" s="860"/>
      <c r="B84" s="861" t="s">
        <v>158</v>
      </c>
      <c r="C84" s="861"/>
      <c r="D84" s="856"/>
      <c r="E84" s="813"/>
      <c r="F84" s="857"/>
      <c r="G84" s="813"/>
      <c r="H84" s="813"/>
      <c r="I84" s="858" t="n">
        <v>0.0055</v>
      </c>
      <c r="J84" s="859" t="n">
        <f aca="false">D84*(G84/12)*I84</f>
        <v>0</v>
      </c>
      <c r="K84"/>
      <c r="L84"/>
      <c r="M84" s="819"/>
      <c r="N84" s="819"/>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row>
    <row r="85" ht="20.1" customHeight="1">
      <c r="A85" s="860"/>
      <c r="B85" s="861" t="s">
        <v>159</v>
      </c>
      <c r="C85" s="861"/>
      <c r="D85" s="856"/>
      <c r="E85" s="813"/>
      <c r="F85" s="857"/>
      <c r="G85" s="813"/>
      <c r="H85" s="813"/>
      <c r="I85" s="858" t="n">
        <v>0.02</v>
      </c>
      <c r="J85" s="859" t="n">
        <f aca="false">D85*(G85/12)*I85</f>
        <v>0</v>
      </c>
      <c r="K85"/>
      <c r="L85"/>
      <c r="M85" s="819"/>
      <c r="N85" s="819"/>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row>
    <row r="86" ht="20.1" customHeight="1">
      <c r="A86" s="860"/>
      <c r="B86" s="861" t="s">
        <v>160</v>
      </c>
      <c r="C86" s="861"/>
      <c r="D86" s="856"/>
      <c r="E86" s="813"/>
      <c r="F86" s="857"/>
      <c r="G86" s="813"/>
      <c r="H86" s="813"/>
      <c r="I86" s="858" t="n">
        <v>0.02</v>
      </c>
      <c r="J86" s="859" t="n">
        <f aca="false">D86*(G86/12)*I86</f>
        <v>0</v>
      </c>
      <c r="K86"/>
      <c r="L86"/>
      <c r="M86" s="819"/>
      <c r="N86" s="819"/>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row>
    <row r="87" ht="20.1" customHeight="1">
      <c r="A87" s="860"/>
      <c r="B87" s="861" t="s">
        <v>161</v>
      </c>
      <c r="C87" s="861"/>
      <c r="D87" s="856" t="n">
        <v>6000</v>
      </c>
      <c r="E87" s="813" t="n">
        <v>6000</v>
      </c>
      <c r="F87" s="857" t="n">
        <v>0</v>
      </c>
      <c r="G87" s="813" t="n">
        <v>6</v>
      </c>
      <c r="H87" s="813"/>
      <c r="I87" s="858" t="n">
        <v>0.02</v>
      </c>
      <c r="J87" s="859" t="n">
        <f aca="false">D87*(G87/12)*I87</f>
        <v>60</v>
      </c>
      <c r="K87"/>
      <c r="L87"/>
      <c r="M87" s="819"/>
      <c r="N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row>
    <row r="88" ht="20.1" customHeight="1">
      <c r="A88" s="846" t="s">
        <v>1028</v>
      </c>
      <c r="B88" s="864"/>
      <c r="C88" s="864"/>
      <c r="D88" s="865"/>
      <c r="E88" s="510"/>
      <c r="F88" s="866"/>
      <c r="G88" s="510"/>
      <c r="H88" s="510"/>
      <c r="I88" s="510"/>
      <c r="J88" s="853" t="n">
        <f aca="false">SUM(J89:J92)</f>
        <v>0</v>
      </c>
      <c r="K88"/>
      <c r="L88"/>
      <c r="M88" s="819"/>
      <c r="N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row>
    <row r="89" ht="20.1" customHeight="1">
      <c r="A89" s="870"/>
      <c r="B89" s="861" t="s">
        <v>163</v>
      </c>
      <c r="C89" s="861"/>
      <c r="D89" s="856"/>
      <c r="E89" s="813"/>
      <c r="F89" s="857"/>
      <c r="G89" s="813"/>
      <c r="H89" s="813"/>
      <c r="I89" s="858" t="n">
        <v>0.6</v>
      </c>
      <c r="J89" s="859" t="n">
        <f aca="false">D89*(G89/12)*I89</f>
        <v>0</v>
      </c>
      <c r="K89"/>
      <c r="L89"/>
      <c r="M89" s="81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row>
    <row r="90" ht="20.1" customHeight="1">
      <c r="A90" s="870"/>
      <c r="B90" s="861" t="s">
        <v>164</v>
      </c>
      <c r="C90" s="861"/>
      <c r="D90" s="856"/>
      <c r="E90" s="813"/>
      <c r="F90" s="857"/>
      <c r="G90" s="813"/>
      <c r="H90" s="813"/>
      <c r="I90" s="858" t="n">
        <v>0.6</v>
      </c>
      <c r="J90" s="859" t="n">
        <f aca="false">D90*(G90/12)*I90</f>
        <v>0</v>
      </c>
      <c r="K90"/>
      <c r="L90"/>
      <c r="M90" s="819"/>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row>
    <row r="91" ht="20.1" customHeight="1">
      <c r="A91" s="870"/>
      <c r="B91" s="861" t="s">
        <v>1029</v>
      </c>
      <c r="C91" s="861"/>
      <c r="D91" s="856"/>
      <c r="E91" s="813"/>
      <c r="F91" s="857"/>
      <c r="G91" s="813"/>
      <c r="H91" s="813"/>
      <c r="I91" s="813"/>
      <c r="J91" s="859" t="n">
        <f aca="false">D91*(G91/12)*I91</f>
        <v>0</v>
      </c>
      <c r="K91"/>
      <c r="L91"/>
      <c r="M91" s="819"/>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row>
    <row r="92" ht="20.1" customHeight="1">
      <c r="A92" s="870"/>
      <c r="B92" s="861" t="s">
        <v>166</v>
      </c>
      <c r="C92" s="861"/>
      <c r="D92" s="856"/>
      <c r="E92" s="813"/>
      <c r="F92" s="857"/>
      <c r="G92" s="813"/>
      <c r="H92" s="813"/>
      <c r="I92" s="813"/>
      <c r="J92" s="859" t="n">
        <f aca="false">D92*(G92/12)*I92</f>
        <v>0</v>
      </c>
      <c r="K92"/>
      <c r="L92"/>
      <c r="M92"/>
      <c r="N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row>
    <row r="93" ht="20.1" customHeight="1">
      <c r="A93" s="846" t="s">
        <v>1030</v>
      </c>
      <c r="B93" s="871"/>
      <c r="C93" s="871"/>
      <c r="D93" s="868"/>
      <c r="E93" s="867"/>
      <c r="F93" s="869"/>
      <c r="G93" s="867"/>
      <c r="H93" s="867"/>
      <c r="I93" s="872"/>
      <c r="J93" s="853" t="n">
        <f aca="false">SUM(J94:J95)</f>
        <v>0</v>
      </c>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row>
    <row r="94" ht="20.1" customHeight="1">
      <c r="A94" s="873" t="s">
        <v>1031</v>
      </c>
      <c r="B94" s="619" t="s">
        <v>1032</v>
      </c>
      <c r="C94" s="619"/>
      <c r="D94" s="856"/>
      <c r="E94" s="813"/>
      <c r="F94" s="857"/>
      <c r="G94" s="813"/>
      <c r="H94" s="813"/>
      <c r="I94" s="813"/>
      <c r="J94" s="859" t="n">
        <f aca="false">D94*(G94/12)*I94</f>
        <v>0</v>
      </c>
      <c r="K94"/>
      <c r="L94"/>
      <c r="M94" s="401"/>
      <c r="N94" s="401"/>
      <c r="O94" s="401"/>
      <c r="P94" s="401"/>
      <c r="Q94" s="401"/>
      <c r="R94" s="401"/>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row>
    <row r="95" ht="20.1" customHeight="1">
      <c r="A95" s="830" t="s">
        <v>1031</v>
      </c>
      <c r="B95" s="619" t="s">
        <v>1032</v>
      </c>
      <c r="C95" s="619"/>
      <c r="D95" s="813"/>
      <c r="E95" s="874"/>
      <c r="F95" s="875"/>
      <c r="G95" s="876"/>
      <c r="H95" s="813"/>
      <c r="I95" s="813"/>
      <c r="J95" s="859" t="n">
        <f aca="false">D95*(G95/12)*I95</f>
        <v>0</v>
      </c>
      <c r="M95" s="401"/>
      <c r="N95" s="401"/>
      <c r="O95" s="401"/>
      <c r="P95" s="401"/>
      <c r="Q95" s="401"/>
      <c r="R95" s="401"/>
    </row>
    <row r="96" ht="20.1" customHeight="1">
      <c r="A96" s="530"/>
      <c r="B96" s="815"/>
      <c r="C96" s="815"/>
      <c r="D96" s="815"/>
      <c r="E96" s="815"/>
      <c r="F96" s="815"/>
      <c r="G96" s="815"/>
      <c r="H96" s="877"/>
      <c r="I96" s="877"/>
      <c r="J96" s="877"/>
      <c r="K96" s="878"/>
      <c r="L96" s="879"/>
      <c r="M96" s="9"/>
      <c r="P96" s="401"/>
      <c r="Q96" s="401"/>
      <c r="R96" s="401"/>
      <c r="S96" s="401"/>
      <c r="T96" s="401"/>
      <c r="U96" s="401"/>
    </row>
    <row r="97" ht="20.1" customHeight="1">
      <c r="A97" s="44"/>
      <c r="B97" s="880"/>
      <c r="C97" s="618"/>
      <c r="D97" s="881" t="s">
        <v>1033</v>
      </c>
      <c r="F97" s="882" t="s">
        <v>1034</v>
      </c>
      <c r="G97"/>
      <c r="H97" s="883" t="s">
        <v>1035</v>
      </c>
      <c r="I97" s="859" t="n">
        <f aca="false">J93+J73+J67+J61+J50+J88</f>
        <v>60</v>
      </c>
      <c r="J97" s="9"/>
      <c r="K97" s="809"/>
      <c r="L97" s="809"/>
      <c r="M97" s="884"/>
      <c r="N97" s="401"/>
      <c r="O97" s="401"/>
      <c r="P97" s="401"/>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row>
    <row r="98" ht="20.1" customHeight="1">
      <c r="A98" s="885"/>
      <c r="B98" s="885"/>
      <c r="C98" s="43"/>
      <c r="D98" s="859" t="n">
        <f aca="false">SUM(D51:D95)</f>
        <v>6000</v>
      </c>
      <c r="E98" s="882"/>
      <c r="F98" s="859" t="n">
        <f aca="false">SUM(F51:F95)</f>
        <v>0</v>
      </c>
      <c r="G98"/>
      <c r="H98" s="834" t="s">
        <v>1036</v>
      </c>
      <c r="I98" s="859" t="n">
        <f aca="false">J50+J61+J88</f>
        <v>0</v>
      </c>
      <c r="J98" s="819"/>
      <c r="K98" s="886"/>
      <c r="L98" s="887"/>
      <c r="M98" s="887"/>
      <c r="N98" s="809"/>
      <c r="O98" s="809"/>
      <c r="P98" s="809"/>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row>
    <row r="99" ht="20.1" customHeight="1">
      <c r="A99" s="885"/>
      <c r="B99" s="885"/>
      <c r="C99" s="43"/>
      <c r="D99" s="881" t="s">
        <v>1037</v>
      </c>
      <c r="E99" s="43"/>
      <c r="F99" s="882" t="s">
        <v>1038</v>
      </c>
      <c r="G99"/>
      <c r="H99" s="888" t="s">
        <v>1039</v>
      </c>
      <c r="I99" s="859" t="n">
        <f aca="false">J73+J67</f>
        <v>60</v>
      </c>
      <c r="J99" s="819"/>
      <c r="K99" s="837"/>
      <c r="L99" s="886"/>
      <c r="M99" s="887"/>
      <c r="N99" s="887"/>
      <c r="O99" s="808"/>
      <c r="P99" s="401"/>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row>
    <row r="100" ht="20.1" customHeight="1">
      <c r="C100" s="401"/>
      <c r="D100" s="859" t="n">
        <f aca="false">SUM(D51:D52,D62:D63,D68,D74,D79,D90,D92)</f>
        <v>0</v>
      </c>
      <c r="E100" s="401"/>
      <c r="F100" s="859" t="n">
        <f aca="false">SUM(F51:F52,F62:F63,F68,F74,F79,F90,F92)</f>
        <v>0</v>
      </c>
      <c r="G100" s="401"/>
      <c r="H100" s="837"/>
      <c r="I100"/>
      <c r="J100" s="837"/>
      <c r="L100"/>
      <c r="M100"/>
      <c r="N100" s="837"/>
      <c r="O100" s="886"/>
      <c r="P100" s="887"/>
      <c r="Q100" s="887"/>
      <c r="R100" s="401"/>
      <c r="S100" s="401"/>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row>
    <row r="101" ht="20.1" customHeight="1">
      <c r="C101" s="401"/>
      <c r="D101" s="401"/>
      <c r="E101" s="401"/>
      <c r="F101" s="401"/>
      <c r="G101" s="401"/>
      <c r="H101" s="837"/>
      <c r="J101" s="837"/>
      <c r="N101" s="837"/>
      <c r="O101" s="886"/>
      <c r="P101" s="887"/>
      <c r="Q101" s="887"/>
      <c r="R101" s="401"/>
      <c r="S101" s="401"/>
    </row>
    <row r="102" ht="20.1" customHeight="1">
      <c r="A102" s="806" t="s">
        <v>1040</v>
      </c>
      <c r="B102" s="810"/>
      <c r="C102" s="401"/>
      <c r="D102" s="401"/>
      <c r="E102" s="401"/>
      <c r="F102" s="401"/>
      <c r="G102" s="401"/>
      <c r="H102" s="837"/>
      <c r="I102" s="837"/>
      <c r="J102" s="837"/>
      <c r="L102" t="s">
        <v>1041</v>
      </c>
      <c r="M102"/>
      <c r="N102" s="837"/>
      <c r="O102" s="886"/>
      <c r="P102" s="887"/>
      <c r="Q102" s="887"/>
      <c r="R102" s="401"/>
      <c r="S102" s="401"/>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row>
    <row r="103" ht="20.1" customHeight="1">
      <c r="A103" s="401"/>
      <c r="B103" s="401"/>
      <c r="C103" s="401"/>
      <c r="D103" s="401"/>
      <c r="E103" s="401"/>
      <c r="F103" s="401"/>
      <c r="G103" s="401"/>
      <c r="H103" s="401"/>
      <c r="I103" s="401"/>
      <c r="J103" s="809"/>
      <c r="K103" s="889"/>
      <c r="L103" s="401"/>
      <c r="M103" s="401"/>
      <c r="O103" s="886"/>
      <c r="P103" s="887"/>
      <c r="Q103" s="887"/>
      <c r="R103" s="401"/>
      <c r="S103" s="401"/>
      <c r="T103" s="890"/>
      <c r="W103" s="886"/>
      <c r="X103" s="887"/>
      <c r="Y103" s="887"/>
    </row>
    <row r="104" ht="20.1" customHeight="1">
      <c r="A104" s="891"/>
      <c r="B104" s="892"/>
      <c r="C104" s="893" t="s">
        <v>179</v>
      </c>
      <c r="D104" s="894"/>
      <c r="E104" s="894"/>
      <c r="F104" s="893" t="s">
        <v>180</v>
      </c>
      <c r="G104" s="895"/>
      <c r="H104"/>
      <c r="I104"/>
      <c r="J104" s="889"/>
      <c r="K104" s="401"/>
      <c r="L104" s="401"/>
      <c r="M104" s="887"/>
      <c r="N104" s="887"/>
      <c r="O104" s="401"/>
      <c r="P104" s="401"/>
      <c r="Q104" s="896"/>
      <c r="R104"/>
      <c r="S104"/>
      <c r="T104" s="886"/>
      <c r="U104" s="887"/>
      <c r="V104" s="887"/>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row>
    <row r="105" ht="20.1" customHeight="1">
      <c r="A105" s="429" t="s">
        <v>1042</v>
      </c>
      <c r="B105" s="43" t="s">
        <v>182</v>
      </c>
      <c r="C105" s="387"/>
      <c r="D105" s="757" t="s">
        <v>1043</v>
      </c>
      <c r="E105" s="897" t="s">
        <v>1044</v>
      </c>
      <c r="F105" s="833"/>
      <c r="G105" s="757" t="s">
        <v>184</v>
      </c>
      <c r="J105" s="898"/>
      <c r="K105" s="809"/>
      <c r="L105" s="809"/>
      <c r="M105" s="887"/>
      <c r="N105" s="887"/>
      <c r="O105" s="401"/>
      <c r="P105" s="401"/>
      <c r="Q105" s="401"/>
      <c r="R105" s="401"/>
      <c r="S105" s="401"/>
      <c r="T105" s="837"/>
      <c r="U105" s="886"/>
      <c r="V105" s="887"/>
      <c r="W105" s="887"/>
    </row>
    <row r="106" ht="20.1" customHeight="1">
      <c r="A106" s="429"/>
      <c r="B106" s="43" t="s">
        <v>185</v>
      </c>
      <c r="C106" s="387"/>
      <c r="D106" s="757" t="s">
        <v>1043</v>
      </c>
      <c r="E106" s="897" t="s">
        <v>1044</v>
      </c>
      <c r="F106" s="833"/>
      <c r="G106" s="757" t="s">
        <v>184</v>
      </c>
      <c r="J106" s="899"/>
      <c r="K106" s="809"/>
      <c r="L106" s="837"/>
      <c r="M106" s="889"/>
      <c r="N106" s="889"/>
      <c r="O106" s="401"/>
      <c r="P106" s="401"/>
    </row>
    <row r="107" ht="20.1" customHeight="1">
      <c r="A107" s="429"/>
      <c r="B107" s="43" t="s">
        <v>186</v>
      </c>
      <c r="C107" s="387"/>
      <c r="D107" s="757" t="s">
        <v>1043</v>
      </c>
      <c r="E107" s="897" t="s">
        <v>1044</v>
      </c>
      <c r="F107" s="833"/>
      <c r="G107" s="757" t="s">
        <v>184</v>
      </c>
      <c r="J107" s="836"/>
      <c r="K107" s="896"/>
      <c r="L107" s="896"/>
      <c r="M107" s="889"/>
      <c r="N107" s="889"/>
      <c r="O107" s="401"/>
      <c r="P107" s="401"/>
      <c r="Q107" s="401"/>
      <c r="R107" s="401"/>
      <c r="S107" s="401"/>
      <c r="T107" s="401"/>
      <c r="U107" s="401"/>
      <c r="V107" s="401"/>
    </row>
    <row r="108" ht="20.1" customHeight="1">
      <c r="A108" s="429"/>
      <c r="B108" s="808"/>
      <c r="C108" s="387"/>
      <c r="D108" s="757"/>
      <c r="E108" s="897"/>
      <c r="F108" s="833"/>
      <c r="G108" s="757"/>
      <c r="H108"/>
      <c r="I108"/>
      <c r="J108" s="836"/>
      <c r="K108" s="896"/>
      <c r="L108" s="896"/>
      <c r="M108" s="900"/>
      <c r="N108" s="900"/>
      <c r="O108" s="401"/>
      <c r="P108" s="401"/>
      <c r="Q108" s="401"/>
      <c r="R108" s="401"/>
      <c r="S108" s="401"/>
      <c r="T108" s="401"/>
      <c r="U108" s="401"/>
      <c r="V108" s="401"/>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row>
    <row r="109" ht="20.1" customHeight="1">
      <c r="A109" s="901"/>
      <c r="B109" s="401"/>
      <c r="C109" s="401"/>
      <c r="D109" s="401"/>
      <c r="E109" s="401"/>
      <c r="F109" s="401"/>
      <c r="G109" s="401"/>
      <c r="H109"/>
      <c r="I109"/>
      <c r="J109" s="401"/>
      <c r="K109" s="885"/>
      <c r="L109" s="401"/>
      <c r="M109" s="896"/>
      <c r="N109" s="896"/>
      <c r="O109" s="401"/>
      <c r="P109" s="401"/>
      <c r="Q109" s="401"/>
      <c r="R109" s="902"/>
      <c r="S109" s="902"/>
      <c r="T109" s="902"/>
      <c r="U109" s="401"/>
      <c r="V109" s="401"/>
      <c r="W109" s="401"/>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row>
    <row r="110" ht="48.75" customHeight="1">
      <c r="A110" s="903" t="s">
        <v>1045</v>
      </c>
      <c r="B110" s="904" t="s">
        <v>1046</v>
      </c>
      <c r="C110" s="904" t="s">
        <v>1047</v>
      </c>
      <c r="D110" s="905" t="s">
        <v>1048</v>
      </c>
      <c r="E110" s="906" t="s">
        <v>1049</v>
      </c>
      <c r="F110"/>
      <c r="G110" s="903" t="s">
        <v>1050</v>
      </c>
      <c r="H110" s="904" t="s">
        <v>1051</v>
      </c>
      <c r="I110" s="904" t="s">
        <v>1047</v>
      </c>
      <c r="J110" s="905" t="s">
        <v>1052</v>
      </c>
      <c r="K110" s="907" t="s">
        <v>307</v>
      </c>
      <c r="L110" s="907"/>
      <c r="M110" s="889"/>
      <c r="N110" s="889"/>
      <c r="O110" s="401"/>
      <c r="P110" s="401"/>
      <c r="Q110" s="401"/>
      <c r="R110" s="902"/>
      <c r="S110" s="902"/>
      <c r="T110" s="902"/>
      <c r="U110" s="401"/>
      <c r="V110" s="401"/>
      <c r="W110" s="401"/>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row>
    <row r="111" ht="20.1" customHeight="1">
      <c r="A111" s="908"/>
      <c r="B111" s="909"/>
      <c r="C111" s="757" t="s">
        <v>551</v>
      </c>
      <c r="D111" s="757" t="s">
        <v>1053</v>
      </c>
      <c r="E111" s="910"/>
      <c r="F111"/>
      <c r="G111" s="908"/>
      <c r="H111" s="757"/>
      <c r="I111" s="757" t="s">
        <v>551</v>
      </c>
      <c r="J111" s="757" t="s">
        <v>1053</v>
      </c>
      <c r="K111" s="910"/>
      <c r="L111" s="910"/>
      <c r="M111" s="889"/>
      <c r="N111" s="889"/>
      <c r="O111" s="401"/>
      <c r="P111" s="401"/>
      <c r="Q111" s="401"/>
      <c r="R111" s="902"/>
      <c r="S111" s="902"/>
      <c r="T111" s="902"/>
      <c r="U111" s="401"/>
      <c r="V111" s="401"/>
      <c r="W111" s="40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row>
    <row r="112" ht="20.1" customHeight="1">
      <c r="A112" s="911" t="s">
        <v>1054</v>
      </c>
      <c r="B112" s="912"/>
      <c r="C112" s="912"/>
      <c r="D112" s="872"/>
      <c r="E112" s="913"/>
      <c r="F112"/>
      <c r="G112" s="911" t="s">
        <v>1054</v>
      </c>
      <c r="H112" s="912"/>
      <c r="I112" s="912"/>
      <c r="J112" s="912"/>
      <c r="K112" s="914"/>
      <c r="L112" s="914"/>
      <c r="M112" s="889"/>
      <c r="N112" s="889"/>
      <c r="O112" s="401"/>
      <c r="P112" s="401"/>
      <c r="Q112" s="401"/>
      <c r="R112" s="902"/>
      <c r="S112" s="902"/>
      <c r="T112" s="902"/>
      <c r="U112" s="401"/>
      <c r="V112" s="401"/>
      <c r="W112" s="401"/>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row>
    <row r="113" ht="20.1" customHeight="1">
      <c r="A113" s="915" t="s">
        <v>1055</v>
      </c>
      <c r="B113" s="833"/>
      <c r="C113" s="833"/>
      <c r="D113" s="399" t="n">
        <f aca="false">C113*B113/1000</f>
        <v>0</v>
      </c>
      <c r="E113" s="857"/>
      <c r="F113"/>
      <c r="G113" s="915" t="s">
        <v>1055</v>
      </c>
      <c r="H113" s="813"/>
      <c r="I113" s="813"/>
      <c r="J113" s="399" t="n">
        <f aca="false">I113*H113/1000</f>
        <v>0</v>
      </c>
      <c r="K113" s="916"/>
      <c r="L113" s="916"/>
      <c r="M113" s="889"/>
      <c r="Q113" s="401"/>
      <c r="R113" s="902"/>
      <c r="S113" s="902"/>
      <c r="T113" s="902"/>
      <c r="U113" s="401"/>
      <c r="V113" s="401"/>
      <c r="W113" s="401"/>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row>
    <row r="114" ht="20.1" customHeight="1">
      <c r="A114" s="915" t="s">
        <v>1056</v>
      </c>
      <c r="B114" s="833"/>
      <c r="C114" s="833"/>
      <c r="D114" s="399" t="n">
        <f aca="false">C114*B114/1000</f>
        <v>0</v>
      </c>
      <c r="E114" s="857"/>
      <c r="F114"/>
      <c r="G114" s="915" t="s">
        <v>1056</v>
      </c>
      <c r="H114" s="813"/>
      <c r="I114" s="813"/>
      <c r="J114" s="399" t="n">
        <f aca="false">I114*H114/1000</f>
        <v>0</v>
      </c>
      <c r="K114" s="916"/>
      <c r="L114" s="916"/>
      <c r="M114" s="889"/>
      <c r="N114" s="889"/>
      <c r="O114" s="401"/>
      <c r="P114" s="401"/>
      <c r="Q114" s="401"/>
      <c r="R114" s="902"/>
      <c r="S114" s="902"/>
      <c r="T114" s="902"/>
      <c r="U114" s="401"/>
      <c r="V114" s="401"/>
      <c r="W114" s="401"/>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row>
    <row r="115" ht="20.1" customHeight="1">
      <c r="A115" s="915" t="s">
        <v>1057</v>
      </c>
      <c r="B115" s="833"/>
      <c r="C115" s="833"/>
      <c r="D115" s="399" t="n">
        <f aca="false">C115*B115/1000</f>
        <v>0</v>
      </c>
      <c r="E115" s="857"/>
      <c r="F115"/>
      <c r="G115" s="915" t="s">
        <v>1057</v>
      </c>
      <c r="H115" s="917"/>
      <c r="I115" s="813"/>
      <c r="J115" s="399" t="n">
        <f aca="false">I115*H115/1000</f>
        <v>0</v>
      </c>
      <c r="K115" s="916"/>
      <c r="L115" s="916"/>
      <c r="M115" s="889"/>
      <c r="N115" s="889"/>
      <c r="O115" s="401"/>
      <c r="P115" s="401"/>
      <c r="Q115" s="401"/>
      <c r="R115" s="902"/>
      <c r="S115" s="902"/>
      <c r="T115" s="902"/>
      <c r="U115" s="401"/>
      <c r="V115" s="401"/>
      <c r="W115" s="401"/>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row>
    <row r="116" ht="20.1" customHeight="1">
      <c r="A116" s="915" t="s">
        <v>1058</v>
      </c>
      <c r="B116" s="833"/>
      <c r="C116" s="833"/>
      <c r="D116" s="399" t="n">
        <f aca="false">C116*B116/1000</f>
        <v>0</v>
      </c>
      <c r="E116" s="857"/>
      <c r="F116"/>
      <c r="G116" s="915" t="s">
        <v>1058</v>
      </c>
      <c r="H116" s="813"/>
      <c r="I116" s="813"/>
      <c r="J116" s="399" t="n">
        <f aca="false">I116*H116/1000</f>
        <v>0</v>
      </c>
      <c r="K116" s="916"/>
      <c r="L116" s="916"/>
      <c r="M116" s="889"/>
      <c r="N116" s="889"/>
      <c r="O116" s="401"/>
      <c r="P116" s="401"/>
      <c r="Q116" s="401"/>
      <c r="R116" s="902"/>
      <c r="S116" s="902"/>
      <c r="T116" s="902"/>
      <c r="U116" s="401"/>
      <c r="V116" s="401"/>
      <c r="W116" s="401"/>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row>
    <row r="117" ht="20.1" customHeight="1">
      <c r="A117" s="915" t="s">
        <v>1059</v>
      </c>
      <c r="B117" s="833"/>
      <c r="C117" s="833"/>
      <c r="D117" s="399" t="n">
        <f aca="false">C117*B117/1000</f>
        <v>0</v>
      </c>
      <c r="E117" s="857"/>
      <c r="F117"/>
      <c r="G117" s="915" t="s">
        <v>1059</v>
      </c>
      <c r="H117" s="813"/>
      <c r="I117" s="813"/>
      <c r="J117" s="399" t="n">
        <f aca="false">I117*H117/1000</f>
        <v>0</v>
      </c>
      <c r="K117" s="916"/>
      <c r="L117" s="916"/>
      <c r="M117" s="889"/>
      <c r="N117" s="889"/>
      <c r="O117" s="401"/>
      <c r="P117" s="401"/>
      <c r="Q117" s="401"/>
      <c r="R117" s="902"/>
      <c r="S117" s="902"/>
      <c r="T117" s="902"/>
      <c r="U117" s="401"/>
      <c r="V117" s="401"/>
      <c r="W117" s="401"/>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row>
    <row r="118" ht="20.1" customHeight="1">
      <c r="A118" s="915" t="s">
        <v>1060</v>
      </c>
      <c r="B118" s="833"/>
      <c r="C118" s="833"/>
      <c r="D118" s="399" t="n">
        <f aca="false">C118*B118/1000</f>
        <v>0</v>
      </c>
      <c r="E118" s="857"/>
      <c r="F118"/>
      <c r="G118" s="915" t="s">
        <v>1060</v>
      </c>
      <c r="H118" s="813"/>
      <c r="I118" s="813"/>
      <c r="J118" s="399" t="n">
        <f aca="false">I118*H118/1000</f>
        <v>0</v>
      </c>
      <c r="K118" s="916"/>
      <c r="L118" s="916"/>
      <c r="M118" s="889"/>
      <c r="N118" s="889"/>
      <c r="O118" s="401"/>
      <c r="P118" s="401"/>
      <c r="Q118" s="401"/>
      <c r="R118" s="902"/>
      <c r="S118" s="902"/>
      <c r="T118" s="902"/>
      <c r="U118" s="401"/>
      <c r="V118" s="401"/>
      <c r="W118" s="401"/>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row>
    <row r="119" ht="20.1" customHeight="1">
      <c r="A119" s="915" t="s">
        <v>1061</v>
      </c>
      <c r="B119" s="833"/>
      <c r="C119" s="833"/>
      <c r="D119" s="399" t="n">
        <f aca="false">C119*B119/1000</f>
        <v>0</v>
      </c>
      <c r="E119" s="857"/>
      <c r="F119"/>
      <c r="G119" s="915" t="s">
        <v>1061</v>
      </c>
      <c r="H119" s="813"/>
      <c r="I119" s="813"/>
      <c r="J119" s="399" t="n">
        <f aca="false">I119*H119/1000</f>
        <v>0</v>
      </c>
      <c r="K119" s="916"/>
      <c r="L119" s="916"/>
      <c r="M119" s="889"/>
      <c r="N119" s="889"/>
      <c r="O119" s="401"/>
      <c r="P119" s="401"/>
      <c r="Q119" s="401"/>
      <c r="R119" s="902"/>
      <c r="S119" s="902"/>
      <c r="T119" s="902"/>
      <c r="U119" s="401"/>
      <c r="V119" s="401"/>
      <c r="W119" s="401"/>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row>
    <row r="120" ht="20.1" customHeight="1">
      <c r="A120" s="915" t="s">
        <v>1062</v>
      </c>
      <c r="B120" s="833"/>
      <c r="C120" s="833"/>
      <c r="D120" s="399" t="n">
        <f aca="false">C120*B120/1000</f>
        <v>0</v>
      </c>
      <c r="E120" s="857"/>
      <c r="F120"/>
      <c r="G120" s="915" t="s">
        <v>1062</v>
      </c>
      <c r="H120" s="813"/>
      <c r="I120" s="813"/>
      <c r="J120" s="399" t="n">
        <f aca="false">I120*H120/1000</f>
        <v>0</v>
      </c>
      <c r="K120" s="916"/>
      <c r="L120" s="916"/>
      <c r="M120" s="889"/>
      <c r="N120" s="889"/>
      <c r="O120" s="401"/>
      <c r="P120" s="401"/>
      <c r="Q120" s="401"/>
      <c r="R120" s="902"/>
      <c r="S120" s="902"/>
      <c r="T120" s="902"/>
      <c r="U120" s="401"/>
      <c r="V120" s="401"/>
      <c r="W120" s="401"/>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row>
    <row r="121" ht="20.1" customHeight="1">
      <c r="A121" s="911" t="s">
        <v>1063</v>
      </c>
      <c r="B121" s="912"/>
      <c r="C121" s="912"/>
      <c r="D121" s="872"/>
      <c r="E121" s="913"/>
      <c r="G121" s="911" t="s">
        <v>1063</v>
      </c>
      <c r="H121" s="912"/>
      <c r="I121" s="912"/>
      <c r="J121" s="864"/>
      <c r="K121" s="914"/>
      <c r="L121" s="914"/>
      <c r="M121" s="889"/>
      <c r="N121" s="889"/>
      <c r="O121" s="401"/>
      <c r="P121" s="401"/>
      <c r="Q121" s="401"/>
      <c r="R121" s="902"/>
      <c r="S121" s="902"/>
      <c r="T121" s="902"/>
      <c r="U121" s="401"/>
      <c r="V121" s="401"/>
      <c r="W121" s="401"/>
    </row>
    <row r="122" ht="20.1" customHeight="1">
      <c r="A122" s="915" t="s">
        <v>1064</v>
      </c>
      <c r="B122" s="833"/>
      <c r="C122" s="833"/>
      <c r="D122" s="399" t="n">
        <f aca="false">C122*B122/1000</f>
        <v>0</v>
      </c>
      <c r="E122" s="857"/>
      <c r="F122" s="401"/>
      <c r="G122" s="915" t="s">
        <v>1064</v>
      </c>
      <c r="H122" s="813"/>
      <c r="I122" s="813"/>
      <c r="J122" s="399" t="n">
        <f aca="false">I122*H122/1000</f>
        <v>0</v>
      </c>
      <c r="K122" s="916"/>
      <c r="L122" s="916"/>
      <c r="M122" s="889"/>
      <c r="N122" s="889"/>
      <c r="O122" s="401"/>
      <c r="P122" s="401"/>
      <c r="Q122" s="401"/>
      <c r="R122" s="902"/>
      <c r="S122" s="902"/>
      <c r="T122" s="902"/>
      <c r="U122" s="401"/>
      <c r="V122" s="401"/>
      <c r="W122" s="401"/>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row>
    <row r="123" ht="20.1" customHeight="1">
      <c r="A123" s="915" t="s">
        <v>1065</v>
      </c>
      <c r="B123" s="833"/>
      <c r="C123" s="833"/>
      <c r="D123" s="399" t="n">
        <f aca="false">C123*B123/1000</f>
        <v>0</v>
      </c>
      <c r="E123" s="857"/>
      <c r="F123" s="401"/>
      <c r="G123" s="915" t="s">
        <v>1065</v>
      </c>
      <c r="H123" s="813"/>
      <c r="I123" s="813"/>
      <c r="J123" s="399" t="n">
        <f aca="false">I123*H123/1000</f>
        <v>0</v>
      </c>
      <c r="K123" s="916"/>
      <c r="L123" s="916"/>
      <c r="M123" s="889"/>
      <c r="N123" s="889"/>
      <c r="O123" s="401"/>
      <c r="P123" s="401"/>
      <c r="Q123" s="401"/>
      <c r="R123" s="902"/>
      <c r="S123" s="902"/>
      <c r="T123" s="902"/>
      <c r="U123" s="401"/>
      <c r="V123" s="401"/>
      <c r="W123" s="401"/>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row>
    <row r="124" ht="20.1" customHeight="1">
      <c r="A124" s="915" t="s">
        <v>1066</v>
      </c>
      <c r="B124" s="833"/>
      <c r="C124" s="833"/>
      <c r="D124" s="399" t="n">
        <f aca="false">C124*B124/1000</f>
        <v>0</v>
      </c>
      <c r="E124" s="857"/>
      <c r="F124" s="401"/>
      <c r="G124" s="915" t="s">
        <v>1066</v>
      </c>
      <c r="H124" s="813"/>
      <c r="I124" s="813"/>
      <c r="J124" s="399" t="n">
        <f aca="false">I124*H124/1000</f>
        <v>0</v>
      </c>
      <c r="K124" s="916"/>
      <c r="L124" s="916"/>
      <c r="M124" s="889"/>
      <c r="N124" s="889"/>
      <c r="O124" s="401"/>
      <c r="P124" s="401"/>
      <c r="Q124" s="401"/>
      <c r="R124" s="902"/>
      <c r="S124" s="902"/>
      <c r="T124" s="902"/>
      <c r="U124" s="401"/>
      <c r="V124" s="401"/>
      <c r="W124" s="401"/>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row>
    <row r="125" ht="20.1" customHeight="1">
      <c r="A125" s="915" t="s">
        <v>1067</v>
      </c>
      <c r="B125" s="833"/>
      <c r="C125" s="833"/>
      <c r="D125" s="399" t="n">
        <f aca="false">C125*B125/1000</f>
        <v>0</v>
      </c>
      <c r="E125" s="857"/>
      <c r="F125" s="401"/>
      <c r="G125" s="915" t="s">
        <v>1067</v>
      </c>
      <c r="H125" s="813"/>
      <c r="I125" s="813"/>
      <c r="J125" s="399" t="n">
        <f aca="false">I125*H125/1000</f>
        <v>0</v>
      </c>
      <c r="K125" s="916"/>
      <c r="L125" s="916"/>
      <c r="M125" s="889"/>
      <c r="N125" s="889"/>
      <c r="O125" s="401"/>
      <c r="P125" s="401"/>
      <c r="Q125" s="401"/>
      <c r="R125" s="902"/>
      <c r="S125" s="902"/>
      <c r="T125" s="902"/>
      <c r="U125" s="401"/>
      <c r="V125" s="401"/>
      <c r="W125" s="401"/>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row>
    <row r="126" ht="20.1" customHeight="1">
      <c r="A126" s="911" t="s">
        <v>1068</v>
      </c>
      <c r="B126" s="912"/>
      <c r="C126" s="912"/>
      <c r="D126" s="864"/>
      <c r="E126" s="913"/>
      <c r="F126" s="401"/>
      <c r="G126" s="911" t="s">
        <v>1068</v>
      </c>
      <c r="H126" s="912"/>
      <c r="I126" s="912"/>
      <c r="J126" s="864"/>
      <c r="K126" s="914"/>
      <c r="L126" s="914"/>
      <c r="M126" s="889"/>
      <c r="N126" s="889"/>
      <c r="O126" s="401"/>
      <c r="P126" s="401"/>
      <c r="Q126" s="401"/>
      <c r="R126" s="902"/>
      <c r="S126" s="902"/>
      <c r="T126" s="902"/>
      <c r="U126" s="401"/>
      <c r="V126" s="401"/>
      <c r="W126" s="401"/>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row>
    <row r="127" ht="20.1" customHeight="1">
      <c r="A127" s="915" t="s">
        <v>142</v>
      </c>
      <c r="B127" s="833"/>
      <c r="C127" s="833"/>
      <c r="D127" s="399" t="n">
        <f aca="false">C127*B127/1000</f>
        <v>0</v>
      </c>
      <c r="E127" s="857"/>
      <c r="F127" s="401"/>
      <c r="G127" s="915" t="s">
        <v>142</v>
      </c>
      <c r="H127" s="813"/>
      <c r="I127" s="813"/>
      <c r="J127" s="399" t="n">
        <f aca="false">I127*H127/1000</f>
        <v>0</v>
      </c>
      <c r="K127" s="916"/>
      <c r="L127" s="916"/>
      <c r="M127" s="889"/>
      <c r="N127" s="889"/>
      <c r="O127" s="401"/>
      <c r="P127" s="401"/>
      <c r="Q127" s="401"/>
      <c r="R127" s="902"/>
      <c r="S127" s="902"/>
      <c r="T127" s="902"/>
      <c r="U127" s="401"/>
      <c r="V127" s="401"/>
      <c r="W127" s="401"/>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row>
    <row r="128" ht="20.1" customHeight="1">
      <c r="A128" s="915" t="s">
        <v>1069</v>
      </c>
      <c r="B128" s="833"/>
      <c r="C128" s="833"/>
      <c r="D128" s="399" t="n">
        <f aca="false">C128*B128/1000</f>
        <v>0</v>
      </c>
      <c r="E128" s="857"/>
      <c r="F128" s="401"/>
      <c r="G128" s="915" t="s">
        <v>1069</v>
      </c>
      <c r="H128" s="813"/>
      <c r="I128" s="813"/>
      <c r="J128" s="399" t="n">
        <f aca="false">I128*H128/1000</f>
        <v>0</v>
      </c>
      <c r="K128" s="916"/>
      <c r="L128" s="916"/>
      <c r="M128" s="889"/>
      <c r="N128" s="889"/>
      <c r="O128" s="401"/>
      <c r="P128" s="401"/>
      <c r="Q128" s="401"/>
      <c r="R128" s="902"/>
      <c r="S128" s="902"/>
      <c r="T128" s="902"/>
      <c r="U128" s="401"/>
      <c r="V128" s="401"/>
      <c r="W128" s="401"/>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row>
    <row r="129" ht="20.1" customHeight="1">
      <c r="A129" s="915" t="s">
        <v>144</v>
      </c>
      <c r="B129" s="833"/>
      <c r="C129" s="833"/>
      <c r="D129" s="399" t="n">
        <f aca="false">C129*B129/1000</f>
        <v>0</v>
      </c>
      <c r="E129" s="857"/>
      <c r="F129" s="401"/>
      <c r="G129" s="915" t="s">
        <v>144</v>
      </c>
      <c r="H129" s="813"/>
      <c r="I129" s="813"/>
      <c r="J129" s="399" t="n">
        <f aca="false">I129*H129/1000</f>
        <v>0</v>
      </c>
      <c r="K129" s="916"/>
      <c r="L129" s="916"/>
      <c r="M129" s="889"/>
      <c r="N129" s="889"/>
      <c r="O129" s="401"/>
      <c r="P129" s="401"/>
      <c r="Q129" s="401"/>
      <c r="R129" s="902"/>
      <c r="S129" s="902"/>
      <c r="T129" s="902"/>
      <c r="U129" s="401"/>
      <c r="V129" s="401"/>
      <c r="W129" s="401"/>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row>
    <row r="130" ht="20.1" customHeight="1">
      <c r="A130" s="915" t="s">
        <v>1070</v>
      </c>
      <c r="B130" s="833"/>
      <c r="C130" s="833"/>
      <c r="D130" s="399" t="n">
        <f aca="false">C130*B130/1000</f>
        <v>0</v>
      </c>
      <c r="E130" s="857"/>
      <c r="F130" s="401"/>
      <c r="G130" s="915" t="s">
        <v>1070</v>
      </c>
      <c r="H130" s="813"/>
      <c r="I130" s="813"/>
      <c r="J130" s="399" t="n">
        <f aca="false">I130*H130/1000</f>
        <v>0</v>
      </c>
      <c r="K130" s="916"/>
      <c r="L130" s="916"/>
      <c r="M130" s="889"/>
      <c r="N130" s="889"/>
      <c r="O130" s="401"/>
      <c r="P130" s="401"/>
      <c r="Q130" s="401"/>
      <c r="R130" s="902"/>
      <c r="S130" s="902"/>
      <c r="T130" s="902"/>
      <c r="U130" s="401"/>
      <c r="V130" s="401"/>
      <c r="W130" s="401"/>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row>
    <row r="131" ht="20.1" customHeight="1">
      <c r="A131" s="915" t="s">
        <v>1071</v>
      </c>
      <c r="B131" s="833"/>
      <c r="C131" s="833"/>
      <c r="D131" s="399" t="n">
        <f aca="false">C131*B131/1000</f>
        <v>0</v>
      </c>
      <c r="E131" s="857"/>
      <c r="F131" s="401"/>
      <c r="G131" s="915" t="s">
        <v>1071</v>
      </c>
      <c r="H131" s="813"/>
      <c r="I131" s="813"/>
      <c r="J131" s="399" t="n">
        <f aca="false">I131*H131/1000</f>
        <v>0</v>
      </c>
      <c r="K131" s="916"/>
      <c r="L131" s="916"/>
      <c r="M131" s="889"/>
      <c r="N131" s="889"/>
      <c r="O131" s="401"/>
      <c r="P131" s="401"/>
      <c r="Q131" s="401"/>
      <c r="R131" s="902"/>
      <c r="S131" s="902"/>
      <c r="T131" s="902"/>
      <c r="U131" s="401"/>
      <c r="V131" s="401"/>
      <c r="W131" s="40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row>
    <row r="132" ht="20.1" customHeight="1">
      <c r="A132" s="911" t="s">
        <v>1026</v>
      </c>
      <c r="B132" s="912"/>
      <c r="C132" s="912"/>
      <c r="D132" s="864"/>
      <c r="E132" s="913"/>
      <c r="F132" s="401"/>
      <c r="G132" s="911" t="s">
        <v>1026</v>
      </c>
      <c r="H132" s="912"/>
      <c r="I132" s="912"/>
      <c r="J132" s="864"/>
      <c r="K132" s="914"/>
      <c r="L132" s="914"/>
      <c r="M132" s="889"/>
      <c r="N132" s="889"/>
      <c r="O132" s="401"/>
      <c r="P132" s="401"/>
      <c r="Q132" s="401"/>
      <c r="R132" s="902"/>
      <c r="S132" s="902"/>
      <c r="T132" s="902"/>
      <c r="U132" s="401"/>
      <c r="V132" s="401"/>
      <c r="W132" s="401"/>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row>
    <row r="133" ht="20.1" customHeight="1">
      <c r="A133" s="915" t="s">
        <v>938</v>
      </c>
      <c r="B133" s="833"/>
      <c r="C133" s="833"/>
      <c r="D133" s="399" t="n">
        <f aca="false">C133*B133/1000</f>
        <v>0</v>
      </c>
      <c r="E133" s="857"/>
      <c r="F133" s="401"/>
      <c r="G133" s="915" t="s">
        <v>938</v>
      </c>
      <c r="H133" s="813"/>
      <c r="I133" s="813"/>
      <c r="J133" s="399" t="n">
        <f aca="false">I133*H133/1000</f>
        <v>0</v>
      </c>
      <c r="K133" s="916"/>
      <c r="L133" s="916"/>
      <c r="M133" s="889"/>
      <c r="N133" s="889"/>
      <c r="O133" s="401"/>
      <c r="P133" s="401"/>
      <c r="Q133" s="401"/>
      <c r="R133" s="902"/>
      <c r="S133" s="902"/>
      <c r="T133" s="902"/>
      <c r="U133" s="401"/>
      <c r="V133" s="401"/>
      <c r="W133" s="401"/>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row>
    <row r="134" ht="20.1" customHeight="1">
      <c r="A134" s="915" t="s">
        <v>1072</v>
      </c>
      <c r="B134" s="833"/>
      <c r="C134" s="833"/>
      <c r="D134" s="399" t="n">
        <f aca="false">C134*B134/1000</f>
        <v>0</v>
      </c>
      <c r="E134" s="857"/>
      <c r="F134" s="401"/>
      <c r="G134" s="915" t="s">
        <v>1072</v>
      </c>
      <c r="H134" s="813"/>
      <c r="I134" s="813"/>
      <c r="J134" s="399" t="n">
        <f aca="false">I134*H134/1000</f>
        <v>0</v>
      </c>
      <c r="K134" s="916"/>
      <c r="L134" s="916"/>
      <c r="M134" s="889"/>
      <c r="N134" s="889"/>
      <c r="O134" s="401"/>
      <c r="P134" s="401"/>
      <c r="Q134" s="401"/>
      <c r="R134" s="902"/>
      <c r="S134" s="902"/>
      <c r="T134" s="902"/>
      <c r="U134" s="401"/>
      <c r="V134" s="401"/>
      <c r="W134" s="401"/>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row>
    <row r="135" ht="20.1" customHeight="1">
      <c r="A135" s="915" t="s">
        <v>1073</v>
      </c>
      <c r="B135" s="833"/>
      <c r="C135" s="833"/>
      <c r="D135" s="399" t="n">
        <f aca="false">C135*B135/1000</f>
        <v>0</v>
      </c>
      <c r="E135" s="857"/>
      <c r="F135" s="401"/>
      <c r="G135" s="915" t="s">
        <v>1073</v>
      </c>
      <c r="H135" s="813"/>
      <c r="I135" s="813"/>
      <c r="J135" s="399" t="n">
        <f aca="false">I135*H135/1000</f>
        <v>0</v>
      </c>
      <c r="K135" s="916"/>
      <c r="L135" s="916"/>
      <c r="M135" s="889"/>
      <c r="N135" s="889"/>
      <c r="O135" s="401"/>
      <c r="P135" s="401"/>
      <c r="Q135" s="401"/>
      <c r="R135" s="902"/>
      <c r="S135" s="902"/>
      <c r="T135" s="902"/>
      <c r="U135" s="401"/>
      <c r="V135" s="401"/>
      <c r="W135" s="401"/>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row>
    <row r="136" ht="20.1" customHeight="1">
      <c r="A136" s="915" t="s">
        <v>1074</v>
      </c>
      <c r="B136" s="833"/>
      <c r="C136" s="833"/>
      <c r="D136" s="399" t="n">
        <f aca="false">C136*B136/1000</f>
        <v>0</v>
      </c>
      <c r="E136" s="857"/>
      <c r="F136" s="401"/>
      <c r="G136" s="915" t="s">
        <v>1074</v>
      </c>
      <c r="H136" s="813"/>
      <c r="I136" s="813"/>
      <c r="J136" s="399" t="n">
        <f aca="false">I136*H136/1000</f>
        <v>0</v>
      </c>
      <c r="K136" s="916"/>
      <c r="L136" s="916"/>
      <c r="M136" s="889"/>
      <c r="N136" s="889"/>
      <c r="O136" s="401"/>
      <c r="P136" s="401"/>
      <c r="Q136" s="401"/>
      <c r="R136" s="902"/>
      <c r="S136" s="902"/>
      <c r="T136" s="902"/>
      <c r="U136" s="401"/>
      <c r="V136" s="401"/>
      <c r="W136" s="401"/>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row>
    <row r="137" ht="20.1" customHeight="1">
      <c r="A137" s="915" t="s">
        <v>1075</v>
      </c>
      <c r="B137" s="833"/>
      <c r="C137" s="833"/>
      <c r="D137" s="399" t="n">
        <f aca="false">C137*B137/1000</f>
        <v>0</v>
      </c>
      <c r="E137" s="857"/>
      <c r="F137" s="401"/>
      <c r="G137" s="915" t="s">
        <v>1075</v>
      </c>
      <c r="H137" s="813"/>
      <c r="I137" s="813"/>
      <c r="J137" s="399" t="n">
        <f aca="false">I137*H137/1000</f>
        <v>0</v>
      </c>
      <c r="K137" s="916"/>
      <c r="L137" s="916"/>
      <c r="M137" s="889"/>
      <c r="N137" s="889"/>
      <c r="O137" s="401"/>
      <c r="P137" s="401"/>
      <c r="Q137" s="401"/>
      <c r="R137" s="902"/>
      <c r="S137" s="902"/>
      <c r="T137" s="902"/>
      <c r="U137" s="401"/>
      <c r="V137" s="401"/>
      <c r="W137" s="401"/>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row>
    <row r="138" ht="20.1" customHeight="1">
      <c r="A138" s="915" t="s">
        <v>1076</v>
      </c>
      <c r="B138" s="833"/>
      <c r="C138" s="833"/>
      <c r="D138" s="399" t="n">
        <f aca="false">C138*B138/1000</f>
        <v>0</v>
      </c>
      <c r="E138" s="857"/>
      <c r="F138" s="401"/>
      <c r="G138" s="915" t="s">
        <v>1076</v>
      </c>
      <c r="H138" s="813"/>
      <c r="I138" s="813"/>
      <c r="J138" s="399" t="n">
        <f aca="false">I138*H138/1000</f>
        <v>0</v>
      </c>
      <c r="K138" s="916"/>
      <c r="L138" s="916"/>
      <c r="M138" s="889"/>
      <c r="N138" s="889"/>
      <c r="O138" s="401"/>
      <c r="P138" s="401"/>
      <c r="Q138" s="401"/>
      <c r="R138" s="902"/>
      <c r="S138" s="902"/>
      <c r="T138" s="902"/>
      <c r="U138" s="401"/>
      <c r="V138" s="401"/>
      <c r="W138" s="401"/>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row>
    <row r="139" ht="20.1" customHeight="1">
      <c r="A139" s="915" t="s">
        <v>1077</v>
      </c>
      <c r="B139" s="833"/>
      <c r="C139" s="833"/>
      <c r="D139" s="399" t="n">
        <f aca="false">C139*B139/1000</f>
        <v>0</v>
      </c>
      <c r="E139" s="857"/>
      <c r="F139" s="401"/>
      <c r="G139" s="915" t="s">
        <v>1077</v>
      </c>
      <c r="H139" s="813"/>
      <c r="I139" s="813"/>
      <c r="J139" s="399" t="n">
        <f aca="false">I139*H139/1000</f>
        <v>0</v>
      </c>
      <c r="K139" s="916"/>
      <c r="L139" s="916"/>
      <c r="M139" s="889"/>
      <c r="N139" s="889"/>
      <c r="O139" s="401"/>
      <c r="P139" s="401"/>
      <c r="Q139" s="401"/>
      <c r="R139" s="902"/>
      <c r="S139" s="902"/>
      <c r="T139" s="902"/>
      <c r="U139" s="401"/>
      <c r="V139" s="401"/>
      <c r="W139" s="401"/>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row>
    <row r="140" ht="20.1" customHeight="1">
      <c r="A140" s="915" t="s">
        <v>1078</v>
      </c>
      <c r="B140" s="833"/>
      <c r="C140" s="833"/>
      <c r="D140" s="399" t="n">
        <f aca="false">C140*B140/1000</f>
        <v>0</v>
      </c>
      <c r="E140" s="857"/>
      <c r="F140" s="401"/>
      <c r="G140" s="915" t="s">
        <v>1078</v>
      </c>
      <c r="H140" s="813"/>
      <c r="I140" s="813"/>
      <c r="J140" s="399" t="n">
        <f aca="false">I140*H140/1000</f>
        <v>0</v>
      </c>
      <c r="K140" s="916"/>
      <c r="L140" s="916"/>
      <c r="M140" s="889"/>
      <c r="N140" s="889"/>
      <c r="O140" s="401"/>
      <c r="P140" s="401"/>
      <c r="Q140" s="401"/>
      <c r="R140" s="902"/>
      <c r="S140" s="902"/>
      <c r="T140" s="902"/>
      <c r="U140" s="401"/>
      <c r="V140" s="401"/>
      <c r="W140" s="401"/>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row>
    <row r="141" ht="20.1" customHeight="1">
      <c r="A141" s="915" t="s">
        <v>1079</v>
      </c>
      <c r="B141" s="833"/>
      <c r="C141" s="833"/>
      <c r="D141" s="399" t="n">
        <f aca="false">C141*B141/1000</f>
        <v>0</v>
      </c>
      <c r="E141" s="857"/>
      <c r="F141" s="401"/>
      <c r="G141" s="915" t="s">
        <v>1079</v>
      </c>
      <c r="H141" s="813"/>
      <c r="I141" s="813"/>
      <c r="J141" s="399" t="n">
        <f aca="false">I141*H141/1000</f>
        <v>0</v>
      </c>
      <c r="K141" s="916"/>
      <c r="L141" s="916"/>
      <c r="M141" s="889"/>
      <c r="N141" s="889"/>
      <c r="O141" s="401"/>
      <c r="P141" s="401"/>
      <c r="Q141" s="401"/>
      <c r="R141" s="902"/>
      <c r="S141" s="902"/>
      <c r="T141" s="902"/>
      <c r="U141" s="401"/>
      <c r="V141" s="401"/>
      <c r="W141" s="40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row>
    <row r="142" ht="20.1" customHeight="1">
      <c r="A142" s="915" t="s">
        <v>1080</v>
      </c>
      <c r="B142" s="833" t="n">
        <v>6000</v>
      </c>
      <c r="C142" s="833" t="n">
        <v>6</v>
      </c>
      <c r="D142" s="399" t="n">
        <f aca="false">C142*B142/1000</f>
        <v>36</v>
      </c>
      <c r="E142" s="857" t="s">
        <v>1081</v>
      </c>
      <c r="F142" s="401"/>
      <c r="G142" s="915" t="s">
        <v>1080</v>
      </c>
      <c r="H142" s="813" t="n">
        <v>6000</v>
      </c>
      <c r="I142" s="813" t="n">
        <v>9.5</v>
      </c>
      <c r="J142" s="399" t="n">
        <f aca="false">I142*H142/1000</f>
        <v>57</v>
      </c>
      <c r="K142" s="916"/>
      <c r="L142" s="916"/>
      <c r="M142" s="889"/>
      <c r="N142" s="889"/>
      <c r="O142" s="401"/>
      <c r="P142" s="401"/>
      <c r="Q142" s="401"/>
      <c r="R142" s="902"/>
      <c r="S142" s="902"/>
      <c r="T142" s="902"/>
      <c r="U142" s="401"/>
      <c r="V142" s="401"/>
      <c r="W142" s="401"/>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row>
    <row r="143" ht="20.1" customHeight="1">
      <c r="A143" s="911" t="s">
        <v>1082</v>
      </c>
      <c r="B143" s="912"/>
      <c r="C143" s="912"/>
      <c r="D143" s="864"/>
      <c r="E143" s="913"/>
      <c r="F143"/>
      <c r="G143" s="918" t="s">
        <v>1082</v>
      </c>
      <c r="H143" s="912"/>
      <c r="I143" s="912"/>
      <c r="J143" s="864"/>
      <c r="K143" s="914"/>
      <c r="L143" s="914"/>
      <c r="M143" s="889"/>
      <c r="N143" s="889"/>
      <c r="O143" s="401"/>
      <c r="P143" s="401"/>
      <c r="Q143" s="401"/>
      <c r="R143" s="902"/>
      <c r="S143" s="902"/>
      <c r="T143" s="902"/>
      <c r="U143" s="401"/>
      <c r="V143" s="401"/>
      <c r="W143" s="401"/>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row>
    <row r="144" ht="20.1" customHeight="1">
      <c r="A144" s="105" t="s">
        <v>1083</v>
      </c>
      <c r="B144" s="833"/>
      <c r="C144" s="833"/>
      <c r="D144" s="399" t="n">
        <f aca="false">C144*B144/1000</f>
        <v>0</v>
      </c>
      <c r="E144" s="857"/>
      <c r="F144"/>
      <c r="G144" s="919" t="s">
        <v>1083</v>
      </c>
      <c r="H144" s="813"/>
      <c r="I144" s="813"/>
      <c r="J144" s="399" t="n">
        <f aca="false">I144*H144/1000</f>
        <v>0</v>
      </c>
      <c r="K144" s="920"/>
      <c r="L144" s="920"/>
      <c r="M144" s="889"/>
      <c r="N144" s="889"/>
      <c r="O144" s="401"/>
      <c r="P144" s="401"/>
      <c r="Q144" s="401"/>
      <c r="R144" s="902"/>
      <c r="S144" s="902"/>
      <c r="T144" s="902"/>
      <c r="U144" s="401"/>
      <c r="V144" s="401"/>
      <c r="W144" s="401"/>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row>
    <row r="145" ht="20.1" customHeight="1">
      <c r="A145" s="66" t="s">
        <v>178</v>
      </c>
      <c r="B145" s="833"/>
      <c r="C145" s="833"/>
      <c r="D145" s="399" t="n">
        <f aca="false">C145*B145/1000</f>
        <v>0</v>
      </c>
      <c r="E145" s="857"/>
      <c r="F145"/>
      <c r="G145" s="921" t="s">
        <v>178</v>
      </c>
      <c r="H145" s="813"/>
      <c r="I145" s="813"/>
      <c r="J145" s="399" t="n">
        <f aca="false">I145*H145/1000</f>
        <v>0</v>
      </c>
      <c r="K145" s="916"/>
      <c r="L145" s="916"/>
      <c r="M145" s="889"/>
      <c r="N145" s="889"/>
      <c r="O145" s="401"/>
      <c r="P145" s="401"/>
      <c r="Q145" s="401"/>
      <c r="R145" s="902"/>
      <c r="S145" s="902"/>
      <c r="T145" s="902"/>
      <c r="U145" s="401"/>
      <c r="V145" s="401"/>
      <c r="W145" s="401"/>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row>
    <row r="146" ht="20.1" customHeight="1">
      <c r="A146" s="66" t="s">
        <v>167</v>
      </c>
      <c r="B146" s="833"/>
      <c r="C146" s="833"/>
      <c r="D146" s="399" t="n">
        <f aca="false">C146*B146/1000</f>
        <v>0</v>
      </c>
      <c r="E146" s="857"/>
      <c r="F146"/>
      <c r="G146" s="921" t="s">
        <v>167</v>
      </c>
      <c r="H146" s="813"/>
      <c r="I146" s="813"/>
      <c r="J146" s="399" t="n">
        <f aca="false">I146*H146/1000</f>
        <v>0</v>
      </c>
      <c r="K146" s="916"/>
      <c r="L146" s="916"/>
      <c r="M146" s="889"/>
      <c r="N146" s="889"/>
      <c r="O146" s="401"/>
      <c r="P146" s="401"/>
      <c r="Q146" s="401"/>
      <c r="R146" s="902"/>
      <c r="S146" s="902"/>
      <c r="T146" s="902"/>
      <c r="U146" s="401"/>
      <c r="V146" s="401"/>
      <c r="W146" s="401"/>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row>
    <row r="147" ht="20.1" customHeight="1">
      <c r="A147" s="922"/>
      <c r="B147" s="833"/>
      <c r="C147" s="833"/>
      <c r="D147" s="399" t="n">
        <f aca="false">C147*B147/1000</f>
        <v>0</v>
      </c>
      <c r="E147" s="857"/>
      <c r="F147"/>
      <c r="G147" s="922"/>
      <c r="H147" s="813"/>
      <c r="I147" s="813"/>
      <c r="J147" s="399" t="n">
        <f aca="false">I147*H147/1000</f>
        <v>0</v>
      </c>
      <c r="K147" s="916"/>
      <c r="L147" s="916"/>
      <c r="M147" s="889"/>
      <c r="N147" s="889"/>
      <c r="O147" s="401"/>
      <c r="P147" s="401"/>
      <c r="Q147" s="401"/>
      <c r="R147" s="902"/>
      <c r="S147" s="902"/>
      <c r="T147" s="902"/>
      <c r="U147" s="401"/>
      <c r="V147" s="401"/>
      <c r="W147" s="401"/>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row>
    <row r="148" ht="20.1" customHeight="1">
      <c r="A148" s="43"/>
      <c r="B148" s="923"/>
      <c r="C148" s="923"/>
      <c r="D148" s="924" t="n">
        <f aca="false">C148*B148/1000</f>
        <v>0</v>
      </c>
      <c r="E148" s="875"/>
      <c r="F148"/>
      <c r="G148" s="43"/>
      <c r="H148" s="874"/>
      <c r="I148" s="874"/>
      <c r="J148" s="924" t="n">
        <f aca="false">I148*H148/1000</f>
        <v>0</v>
      </c>
      <c r="K148" s="925"/>
      <c r="L148" s="925"/>
      <c r="M148" s="889"/>
      <c r="N148" s="889"/>
      <c r="O148" s="401"/>
      <c r="P148" s="401"/>
      <c r="Q148" s="401"/>
      <c r="R148" s="902"/>
      <c r="S148" s="902"/>
      <c r="T148" s="902"/>
      <c r="U148" s="401"/>
      <c r="V148" s="401"/>
      <c r="W148" s="401"/>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row>
    <row r="149" ht="20.1" customHeight="1">
      <c r="A149" s="926"/>
      <c r="B149" s="43"/>
      <c r="C149" s="43"/>
      <c r="D149" s="43"/>
      <c r="E149" s="487"/>
      <c r="F149" s="927"/>
      <c r="G149" s="928"/>
      <c r="H149" s="929"/>
      <c r="I149"/>
      <c r="J149"/>
      <c r="K149" s="401"/>
      <c r="L149" s="885"/>
      <c r="M149" s="401"/>
      <c r="N149"/>
      <c r="O149"/>
      <c r="P149"/>
      <c r="Q149"/>
      <c r="R149" s="401"/>
      <c r="S149" s="902"/>
      <c r="T149" s="902"/>
      <c r="U149" s="902"/>
      <c r="V149" s="401"/>
      <c r="W149" s="401"/>
      <c r="X149" s="401"/>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row>
    <row r="150" ht="20.1" customHeight="1">
      <c r="A150" s="12" t="s">
        <v>1084</v>
      </c>
      <c r="B150" s="930"/>
      <c r="C150" s="589" t="n">
        <f aca="false">SUMIF(E113:E148,"Locale",B113:B148)</f>
        <v>6000</v>
      </c>
      <c r="D150" s="9" t="s">
        <v>1085</v>
      </c>
      <c r="E150" s="401"/>
      <c r="F150" s="401"/>
      <c r="G150" s="29"/>
      <c r="H150" s="931"/>
      <c r="I150"/>
      <c r="J150"/>
      <c r="K150" s="401"/>
      <c r="L150" s="885"/>
      <c r="M150" s="401"/>
      <c r="N150"/>
      <c r="O150"/>
      <c r="P150"/>
      <c r="Q150"/>
      <c r="R150" s="401"/>
      <c r="S150" s="902"/>
      <c r="T150" s="902"/>
      <c r="U150" s="902"/>
      <c r="V150" s="401"/>
      <c r="W150" s="401"/>
      <c r="X150" s="401"/>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row>
    <row r="151" ht="20.1" customHeight="1">
      <c r="A151" s="932"/>
      <c r="B151" s="9"/>
      <c r="C151" s="9"/>
      <c r="D151" s="933"/>
      <c r="E151" s="9"/>
      <c r="F151" s="9"/>
      <c r="G151" s="12"/>
      <c r="H151" s="934"/>
      <c r="I151" s="9"/>
      <c r="J151" s="934"/>
      <c r="K151" s="401"/>
      <c r="L151" s="885"/>
      <c r="M151" s="401"/>
      <c r="N151"/>
      <c r="O151"/>
      <c r="P151"/>
      <c r="Q151"/>
      <c r="R151"/>
      <c r="S151"/>
      <c r="T151" s="401"/>
      <c r="U151" s="902"/>
      <c r="V151" s="902"/>
      <c r="W151" s="902"/>
      <c r="X151" s="401"/>
      <c r="Y151" s="401"/>
      <c r="Z151" s="401"/>
    </row>
    <row r="152" ht="20.1" customHeight="1">
      <c r="A152" s="43"/>
      <c r="B152" s="43"/>
      <c r="C152" s="43"/>
      <c r="D152" s="933"/>
      <c r="E152" s="487"/>
      <c r="F152" s="487"/>
      <c r="G152" s="43"/>
      <c r="H152" s="43"/>
      <c r="I152" s="43"/>
      <c r="J152" s="934"/>
      <c r="K152" s="401"/>
      <c r="L152" s="885"/>
      <c r="M152" s="401"/>
      <c r="N152"/>
      <c r="O152"/>
      <c r="P152"/>
      <c r="Q152"/>
      <c r="R152"/>
      <c r="S152"/>
      <c r="T152" s="401"/>
      <c r="U152" s="902"/>
      <c r="V152" s="902"/>
      <c r="W152" s="902"/>
      <c r="X152" s="401"/>
      <c r="Y152" s="401"/>
      <c r="Z152" s="401"/>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row>
    <row r="153" ht="20.1" customHeight="1">
      <c r="A153"/>
      <c r="B153"/>
      <c r="C153"/>
      <c r="D153"/>
      <c r="E153"/>
      <c r="F153"/>
      <c r="G153" s="928"/>
      <c r="H153" s="929"/>
      <c r="I153" s="928"/>
      <c r="J153" s="935"/>
      <c r="K153" s="401"/>
      <c r="L153" s="885"/>
      <c r="M153" s="401"/>
      <c r="N153"/>
      <c r="O153"/>
      <c r="P153"/>
      <c r="Q153"/>
      <c r="R153"/>
      <c r="S153"/>
      <c r="T153" s="401"/>
      <c r="U153" s="902"/>
      <c r="V153" s="902"/>
      <c r="W153" s="902"/>
      <c r="X153" s="401"/>
      <c r="Y153" s="401"/>
      <c r="Z153" s="401"/>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row>
    <row r="154" ht="20.1" customHeight="1">
      <c r="A154" s="806" t="s">
        <v>1086</v>
      </c>
      <c r="B154" s="43"/>
      <c r="C154" s="43"/>
      <c r="D154" s="43"/>
      <c r="E154" s="487"/>
      <c r="F154" s="463"/>
      <c r="G154" s="928"/>
      <c r="H154" s="929"/>
      <c r="I154" s="928"/>
      <c r="J154" s="935"/>
      <c r="K154" s="401"/>
      <c r="L154" s="885" t="s">
        <v>1087</v>
      </c>
      <c r="M154" s="401"/>
      <c r="N154"/>
      <c r="O154"/>
      <c r="P154"/>
      <c r="Q154"/>
      <c r="R154"/>
      <c r="S154"/>
      <c r="T154" s="401"/>
      <c r="U154" s="902"/>
      <c r="V154" s="902"/>
      <c r="W154" s="902"/>
      <c r="X154" s="401"/>
      <c r="Y154" s="401"/>
      <c r="Z154" s="401"/>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row>
    <row r="155" ht="20.1" customHeight="1">
      <c r="A155" s="43"/>
      <c r="B155" s="43"/>
      <c r="C155" s="43"/>
      <c r="D155" s="43"/>
      <c r="E155" s="462"/>
      <c r="F155" s="927"/>
      <c r="G155" s="936"/>
      <c r="H155" s="929"/>
      <c r="I155" s="928"/>
      <c r="J155" s="935"/>
      <c r="K155" s="401"/>
      <c r="L155" s="885"/>
      <c r="M155" s="401"/>
      <c r="N155"/>
      <c r="O155"/>
      <c r="P155"/>
      <c r="Q155"/>
      <c r="R155"/>
      <c r="S155"/>
      <c r="T155" s="401"/>
      <c r="U155" s="902"/>
      <c r="V155" s="902"/>
      <c r="W155" s="902"/>
      <c r="X155" s="401"/>
      <c r="Y155" s="401"/>
      <c r="Z155" s="401"/>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row>
    <row r="156" ht="49.5" customHeight="1">
      <c r="A156" s="904" t="s">
        <v>1088</v>
      </c>
      <c r="B156" s="904"/>
      <c r="C156" s="937" t="s">
        <v>1089</v>
      </c>
      <c r="D156" s="907" t="s">
        <v>1049</v>
      </c>
      <c r="E156"/>
      <c r="F156"/>
      <c r="G156"/>
      <c r="H156" s="938" t="s">
        <v>1090</v>
      </c>
      <c r="I156" s="937" t="s">
        <v>1091</v>
      </c>
      <c r="J156" s="907" t="s">
        <v>1049</v>
      </c>
      <c r="K156" s="401"/>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row>
    <row r="157" ht="15" customHeight="1">
      <c r="A157" s="939"/>
      <c r="B157" s="939"/>
      <c r="C157" s="757" t="s">
        <v>1092</v>
      </c>
      <c r="D157" s="910"/>
      <c r="E157"/>
      <c r="F157"/>
      <c r="G157"/>
      <c r="H157" s="939"/>
      <c r="I157" s="757" t="s">
        <v>1093</v>
      </c>
      <c r="J157" s="910"/>
      <c r="K157" s="401"/>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row>
    <row r="158" ht="20.1" customHeight="1">
      <c r="A158" s="940" t="s">
        <v>1094</v>
      </c>
      <c r="B158" s="941" t="n">
        <f aca="false">SUM(C159:C161)</f>
        <v>0</v>
      </c>
      <c r="C158" s="942"/>
      <c r="D158" s="943"/>
      <c r="E158"/>
      <c r="F158"/>
      <c r="G158"/>
      <c r="H158" s="915" t="s">
        <v>192</v>
      </c>
      <c r="I158" s="944"/>
      <c r="J158" s="857"/>
      <c r="K158" s="401"/>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row>
    <row r="159" ht="20.1" customHeight="1">
      <c r="A159" s="945" t="s">
        <v>95</v>
      </c>
      <c r="B159" s="618" t="s">
        <v>193</v>
      </c>
      <c r="C159" s="946"/>
      <c r="D159" s="857"/>
      <c r="E159"/>
      <c r="F159"/>
      <c r="G159"/>
      <c r="H159" s="915" t="s">
        <v>194</v>
      </c>
      <c r="I159" s="944"/>
      <c r="J159" s="857"/>
      <c r="K159" s="401"/>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row>
    <row r="160" ht="20.1" customHeight="1">
      <c r="A160" s="945"/>
      <c r="B160" s="618" t="s">
        <v>195</v>
      </c>
      <c r="C160" s="946"/>
      <c r="D160" s="857"/>
      <c r="E160"/>
      <c r="F160"/>
      <c r="G160"/>
      <c r="H160" s="915" t="s">
        <v>196</v>
      </c>
      <c r="I160" s="944"/>
      <c r="J160" s="857"/>
      <c r="K160" s="401"/>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row>
    <row r="161" ht="20.1" customHeight="1">
      <c r="A161" s="945"/>
      <c r="B161" s="618" t="s">
        <v>197</v>
      </c>
      <c r="C161" s="946"/>
      <c r="D161" s="857"/>
      <c r="E161"/>
      <c r="F161"/>
      <c r="G161"/>
      <c r="H161" s="915" t="s">
        <v>198</v>
      </c>
      <c r="I161" s="944"/>
      <c r="J161" s="857"/>
      <c r="K161" s="40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row>
    <row r="162" ht="20.1" customHeight="1">
      <c r="A162" s="940" t="s">
        <v>1095</v>
      </c>
      <c r="B162" s="618"/>
      <c r="C162" s="946"/>
      <c r="D162" s="857"/>
      <c r="E162"/>
      <c r="F162"/>
      <c r="G162"/>
      <c r="H162" s="915" t="s">
        <v>200</v>
      </c>
      <c r="I162" s="944"/>
      <c r="J162" s="857"/>
      <c r="K162" s="401"/>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row>
    <row r="163" ht="20.1" customHeight="1">
      <c r="A163" s="940" t="s">
        <v>1096</v>
      </c>
      <c r="B163" s="941" t="n">
        <f aca="false">SUM(C164:C170)</f>
        <v>72</v>
      </c>
      <c r="C163" s="942"/>
      <c r="D163" s="943"/>
      <c r="E163"/>
      <c r="F163"/>
      <c r="G163"/>
      <c r="H163" s="915" t="s">
        <v>202</v>
      </c>
      <c r="I163" s="944"/>
      <c r="J163" s="857"/>
      <c r="K163" s="401"/>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row>
    <row r="164" ht="20.1" customHeight="1">
      <c r="A164" s="945" t="s">
        <v>95</v>
      </c>
      <c r="B164" s="618" t="s">
        <v>203</v>
      </c>
      <c r="C164" s="947"/>
      <c r="D164" s="857"/>
      <c r="E164"/>
      <c r="F164"/>
      <c r="G164"/>
      <c r="H164" s="915" t="s">
        <v>204</v>
      </c>
      <c r="I164" s="944"/>
      <c r="J164" s="857"/>
      <c r="K164" s="401"/>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row>
    <row r="165" ht="20.1" customHeight="1">
      <c r="A165" s="940"/>
      <c r="B165" s="618" t="s">
        <v>205</v>
      </c>
      <c r="C165" s="947"/>
      <c r="D165" s="857"/>
      <c r="E165"/>
      <c r="F165"/>
      <c r="G165"/>
      <c r="H165" s="915" t="s">
        <v>206</v>
      </c>
      <c r="I165" s="944"/>
      <c r="J165" s="857"/>
      <c r="K165" s="401"/>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row>
    <row r="166" ht="20.1" customHeight="1">
      <c r="A166" s="940"/>
      <c r="B166" s="618" t="s">
        <v>207</v>
      </c>
      <c r="C166" s="947" t="n">
        <v>14.4</v>
      </c>
      <c r="D166" s="857" t="s">
        <v>1081</v>
      </c>
      <c r="E166"/>
      <c r="F166"/>
      <c r="G166"/>
      <c r="H166" s="915" t="s">
        <v>208</v>
      </c>
      <c r="I166" s="944"/>
      <c r="J166" s="857"/>
      <c r="K166" s="401"/>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row>
    <row r="167" ht="20.1" customHeight="1">
      <c r="A167" s="940"/>
      <c r="B167" s="618" t="s">
        <v>209</v>
      </c>
      <c r="C167" s="947"/>
      <c r="D167" s="857"/>
      <c r="E167"/>
      <c r="F167"/>
      <c r="G167"/>
      <c r="H167" s="915" t="s">
        <v>210</v>
      </c>
      <c r="I167" s="944"/>
      <c r="J167" s="857"/>
      <c r="K167" s="401"/>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row>
    <row r="168" ht="20.1" customHeight="1">
      <c r="A168" s="940"/>
      <c r="B168" s="618" t="s">
        <v>211</v>
      </c>
      <c r="C168" s="947"/>
      <c r="D168" s="857"/>
      <c r="E168"/>
      <c r="F168"/>
      <c r="G168"/>
      <c r="H168" s="915" t="s">
        <v>212</v>
      </c>
      <c r="I168" s="944"/>
      <c r="J168" s="857"/>
      <c r="K168" s="401"/>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row>
    <row r="169" ht="20.1" customHeight="1">
      <c r="A169" s="940" t="s">
        <v>1097</v>
      </c>
      <c r="B169" s="618" t="s">
        <v>213</v>
      </c>
      <c r="C169" s="947" t="n">
        <v>57.6</v>
      </c>
      <c r="D169" s="857" t="s">
        <v>1081</v>
      </c>
      <c r="E169"/>
      <c r="F169"/>
      <c r="G169"/>
      <c r="H169" s="915" t="s">
        <v>214</v>
      </c>
      <c r="I169" s="944"/>
      <c r="J169" s="857"/>
      <c r="K169" s="401"/>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row>
    <row r="170" ht="20.1" customHeight="1">
      <c r="A170" s="940"/>
      <c r="B170" s="43" t="s">
        <v>215</v>
      </c>
      <c r="C170" s="947"/>
      <c r="D170" s="857"/>
      <c r="E170"/>
      <c r="F170"/>
      <c r="G170"/>
      <c r="H170" s="915" t="s">
        <v>216</v>
      </c>
      <c r="I170" s="944"/>
      <c r="J170" s="857"/>
      <c r="K170" s="401"/>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row>
    <row r="171" ht="20.1" customHeight="1">
      <c r="A171" s="940" t="s">
        <v>217</v>
      </c>
      <c r="B171" s="618"/>
      <c r="C171" s="947"/>
      <c r="D171" s="857"/>
      <c r="E171"/>
      <c r="F171"/>
      <c r="G171"/>
      <c r="H171" s="915" t="s">
        <v>218</v>
      </c>
      <c r="I171" s="944"/>
      <c r="J171" s="857"/>
      <c r="K171" s="40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row>
    <row r="172" ht="20.1" customHeight="1">
      <c r="A172" s="940" t="s">
        <v>219</v>
      </c>
      <c r="B172" s="941" t="n">
        <f aca="false">SUM(C173:C182)</f>
        <v>0</v>
      </c>
      <c r="C172" s="942"/>
      <c r="D172" s="943"/>
      <c r="E172"/>
      <c r="F172"/>
      <c r="G172"/>
      <c r="H172" s="43"/>
      <c r="I172" s="948"/>
      <c r="J172" s="875"/>
      <c r="K172" s="401"/>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row>
    <row r="173" ht="20.1" customHeight="1">
      <c r="A173" s="945" t="s">
        <v>95</v>
      </c>
      <c r="B173" s="43" t="s">
        <v>220</v>
      </c>
      <c r="C173" s="947"/>
      <c r="D173" s="857"/>
      <c r="E173"/>
      <c r="F173"/>
      <c r="G173"/>
      <c r="H173" s="401"/>
      <c r="I173" s="401"/>
      <c r="J173" s="401"/>
      <c r="K173" s="401"/>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row>
    <row r="174" ht="20.1" customHeight="1">
      <c r="A174" s="940"/>
      <c r="B174" s="43" t="s">
        <v>221</v>
      </c>
      <c r="C174" s="947"/>
      <c r="D174" s="857"/>
      <c r="E174"/>
      <c r="F174"/>
      <c r="G174"/>
      <c r="H174" s="381" t="s">
        <v>1098</v>
      </c>
      <c r="I174" s="487" t="s">
        <v>1099</v>
      </c>
      <c r="J174" s="401"/>
      <c r="K174" s="401"/>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row>
    <row r="175" ht="20.1" customHeight="1">
      <c r="A175" s="940"/>
      <c r="B175" s="43" t="s">
        <v>222</v>
      </c>
      <c r="C175" s="947"/>
      <c r="D175" s="857"/>
      <c r="E175"/>
      <c r="F175"/>
      <c r="G175"/>
      <c r="H175" s="909" t="s">
        <v>1093</v>
      </c>
      <c r="I175" s="461" t="n">
        <f aca="false">SUM(I158:I168,I170:I172)</f>
        <v>0</v>
      </c>
      <c r="J175" s="949"/>
      <c r="K175" s="401"/>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row>
    <row r="176" ht="20.1" customHeight="1">
      <c r="A176" s="940"/>
      <c r="B176" s="43" t="s">
        <v>223</v>
      </c>
      <c r="C176" s="947"/>
      <c r="D176" s="857"/>
      <c r="E176"/>
      <c r="F176" s="930" t="s">
        <v>1100</v>
      </c>
      <c r="G176"/>
      <c r="H176" s="401"/>
      <c r="I176" s="401"/>
      <c r="J176" s="401"/>
      <c r="K176" s="401"/>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row>
    <row r="177" ht="20.1" customHeight="1">
      <c r="A177" s="940"/>
      <c r="B177" s="43" t="s">
        <v>224</v>
      </c>
      <c r="C177" s="947"/>
      <c r="D177" s="857"/>
      <c r="E177"/>
      <c r="F177" s="12" t="s">
        <v>1101</v>
      </c>
      <c r="I177" s="589" t="n">
        <f aca="false">SUMIF(J158:J172,"Locale",I158:I172)</f>
        <v>0</v>
      </c>
      <c r="J177" s="931" t="s">
        <v>383</v>
      </c>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row>
    <row r="178" ht="20.1" customHeight="1">
      <c r="A178" s="940"/>
      <c r="B178" s="43" t="s">
        <v>225</v>
      </c>
      <c r="C178" s="947"/>
      <c r="D178" s="857"/>
      <c r="E178" s="401"/>
      <c r="F178" s="16" t="s">
        <v>1102</v>
      </c>
      <c r="G178" s="16"/>
      <c r="H178" s="16"/>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row>
    <row r="179" ht="20.1" customHeight="1">
      <c r="A179" s="940"/>
      <c r="B179" s="43" t="s">
        <v>228</v>
      </c>
      <c r="C179" s="947"/>
      <c r="D179" s="857"/>
      <c r="E179" s="401"/>
      <c r="F179" s="415"/>
      <c r="G179" s="634" t="s">
        <v>1103</v>
      </c>
      <c r="H179" s="634"/>
      <c r="I179" s="950"/>
      <c r="J179" s="951" t="s">
        <v>383</v>
      </c>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row>
    <row r="180" ht="20.1" customHeight="1">
      <c r="A180" s="940"/>
      <c r="B180" s="43" t="s">
        <v>231</v>
      </c>
      <c r="C180" s="947"/>
      <c r="D180" s="857"/>
      <c r="E180" s="401"/>
      <c r="F180" s="401"/>
      <c r="G180" s="634" t="s">
        <v>1104</v>
      </c>
      <c r="H180" s="634"/>
      <c r="I180" s="950"/>
      <c r="J180" s="951" t="s">
        <v>383</v>
      </c>
      <c r="K180" s="401"/>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row>
    <row r="181" ht="20.1" customHeight="1">
      <c r="A181" s="940"/>
      <c r="B181" s="43" t="s">
        <v>232</v>
      </c>
      <c r="C181" s="947"/>
      <c r="D181" s="857"/>
      <c r="E181" s="401"/>
      <c r="F181" s="401"/>
      <c r="G181" s="401"/>
      <c r="H181" s="401"/>
      <c r="I181" s="401"/>
      <c r="J181" s="401"/>
      <c r="K181" s="40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row>
    <row r="182" ht="20.1" customHeight="1">
      <c r="A182" s="940"/>
      <c r="B182" s="43" t="s">
        <v>233</v>
      </c>
      <c r="C182" s="947"/>
      <c r="D182" s="857"/>
      <c r="E182" s="401"/>
      <c r="F182" s="401"/>
      <c r="G182" s="401"/>
      <c r="H182" s="401"/>
      <c r="I182" s="401"/>
      <c r="J182" s="401"/>
      <c r="K182" s="401"/>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row>
    <row r="183" ht="20.1" customHeight="1">
      <c r="A183" s="940" t="s">
        <v>1105</v>
      </c>
      <c r="B183" s="618"/>
      <c r="C183" s="947"/>
      <c r="D183" s="857"/>
      <c r="E183" s="401"/>
      <c r="F183" s="401"/>
      <c r="G183" s="401"/>
      <c r="H183" s="401"/>
      <c r="I183" s="401"/>
      <c r="J183" s="401"/>
      <c r="K183" s="401"/>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row>
    <row r="184" ht="20.1" customHeight="1">
      <c r="A184" s="940" t="s">
        <v>235</v>
      </c>
      <c r="B184" s="618"/>
      <c r="C184" s="947"/>
      <c r="D184" s="857"/>
      <c r="E184" s="401"/>
      <c r="F184" s="401"/>
      <c r="G184" s="401"/>
      <c r="H184" s="401"/>
      <c r="I184" s="401"/>
      <c r="J184" s="401"/>
      <c r="K184" s="401"/>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row>
    <row r="185" ht="20.1" customHeight="1">
      <c r="A185" s="940" t="s">
        <v>236</v>
      </c>
      <c r="B185" s="618"/>
      <c r="C185" s="947"/>
      <c r="D185" s="857"/>
      <c r="E185" s="401"/>
      <c r="F185" s="401"/>
      <c r="G185" s="401"/>
      <c r="H185" s="401"/>
      <c r="I185" s="401"/>
      <c r="J185" s="401"/>
      <c r="K185" s="401"/>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row>
    <row r="186" ht="20.1" customHeight="1">
      <c r="A186" s="940" t="s">
        <v>237</v>
      </c>
      <c r="B186" s="618"/>
      <c r="C186" s="947"/>
      <c r="D186" s="857"/>
      <c r="E186" s="401"/>
      <c r="F186" s="401"/>
      <c r="G186" s="401"/>
      <c r="H186" s="401"/>
      <c r="I186" s="401"/>
      <c r="J186" s="401"/>
      <c r="K186" s="401"/>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row>
    <row r="187" ht="20.1" customHeight="1">
      <c r="A187" s="940" t="s">
        <v>238</v>
      </c>
      <c r="B187" s="618"/>
      <c r="C187" s="947"/>
      <c r="D187" s="857"/>
      <c r="E187" s="401"/>
      <c r="F187" s="401"/>
      <c r="G187" s="401"/>
      <c r="H187" s="401"/>
      <c r="I187" s="401"/>
      <c r="J187" s="401"/>
      <c r="K187" s="401"/>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row>
    <row r="188" ht="20.1" customHeight="1">
      <c r="A188" s="940" t="s">
        <v>1106</v>
      </c>
      <c r="B188" s="941" t="n">
        <f aca="false">SUM(C189:C192)</f>
        <v>0</v>
      </c>
      <c r="C188" s="942"/>
      <c r="D188" s="943"/>
      <c r="E188" s="401"/>
      <c r="F188" s="401"/>
      <c r="G188" s="401"/>
      <c r="H188" s="401"/>
      <c r="I188" s="401"/>
      <c r="J188" s="401"/>
      <c r="K188" s="401"/>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row>
    <row r="189" ht="20.1" customHeight="1">
      <c r="A189" s="945" t="s">
        <v>95</v>
      </c>
      <c r="B189" s="618" t="s">
        <v>240</v>
      </c>
      <c r="C189" s="952"/>
      <c r="D189" s="857"/>
      <c r="E189" s="401"/>
      <c r="F189" s="401"/>
      <c r="G189" s="401"/>
      <c r="H189" s="401"/>
      <c r="I189" s="401"/>
      <c r="J189" s="401"/>
      <c r="K189" s="401"/>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row>
    <row r="190" ht="20.1" customHeight="1">
      <c r="A190" s="940"/>
      <c r="B190" s="618" t="s">
        <v>241</v>
      </c>
      <c r="C190" s="947"/>
      <c r="D190" s="857"/>
      <c r="E190" s="401"/>
      <c r="F190" s="401"/>
      <c r="G190" s="401"/>
      <c r="H190" s="401"/>
      <c r="I190" s="401"/>
      <c r="J190" s="401"/>
      <c r="K190" s="401"/>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row>
    <row r="191" ht="20.1" customHeight="1">
      <c r="A191" s="940"/>
      <c r="B191" s="618" t="s">
        <v>242</v>
      </c>
      <c r="C191" s="947"/>
      <c r="D191" s="857"/>
      <c r="E191" s="401"/>
      <c r="F191" s="401"/>
      <c r="G191" s="401"/>
      <c r="H191" s="401"/>
      <c r="I191" s="880"/>
      <c r="J191" s="889"/>
      <c r="K191" s="889"/>
      <c r="L191" s="401"/>
      <c r="M191" s="40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row>
    <row r="192" ht="20.1" customHeight="1">
      <c r="A192" s="940"/>
      <c r="B192" s="618" t="s">
        <v>243</v>
      </c>
      <c r="C192" s="947"/>
      <c r="D192" s="857"/>
      <c r="E192" s="401"/>
      <c r="F192" s="401"/>
      <c r="G192" s="401"/>
      <c r="H192" s="401"/>
      <c r="I192" s="880"/>
      <c r="J192" s="889"/>
      <c r="K192" s="889"/>
      <c r="L192" s="401"/>
      <c r="M192" s="401"/>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row>
    <row r="193" ht="20.1" customHeight="1">
      <c r="A193" s="940" t="s">
        <v>1107</v>
      </c>
      <c r="B193" s="618"/>
      <c r="C193" s="947"/>
      <c r="D193" s="857"/>
      <c r="E193" s="401"/>
      <c r="F193" s="401"/>
      <c r="G193" s="401"/>
      <c r="H193" s="401"/>
      <c r="I193" s="880"/>
      <c r="J193" s="889"/>
      <c r="K193" s="889"/>
      <c r="L193" s="401"/>
      <c r="M193" s="401"/>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row>
    <row r="194" ht="20.1" customHeight="1">
      <c r="A194" s="940" t="s">
        <v>1108</v>
      </c>
      <c r="B194" s="618"/>
      <c r="C194" s="947"/>
      <c r="D194" s="857"/>
      <c r="E194" s="401"/>
      <c r="F194" s="401"/>
      <c r="G194" s="401"/>
      <c r="H194" s="401"/>
      <c r="I194" s="880"/>
      <c r="J194" s="889"/>
      <c r="K194" s="889"/>
      <c r="L194" s="401"/>
      <c r="M194" s="401"/>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row>
    <row r="195" ht="20.1" customHeight="1">
      <c r="A195" s="940" t="s">
        <v>1109</v>
      </c>
      <c r="B195" s="618"/>
      <c r="C195" s="947"/>
      <c r="D195" s="857"/>
      <c r="E195" s="401"/>
      <c r="F195" s="401"/>
      <c r="G195" s="401"/>
      <c r="H195" s="401"/>
      <c r="I195" s="880"/>
      <c r="J195" s="889"/>
      <c r="K195" s="889"/>
      <c r="L195" s="401"/>
      <c r="M195" s="401"/>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row>
    <row r="196" ht="20.1" customHeight="1">
      <c r="A196" s="940" t="s">
        <v>1110</v>
      </c>
      <c r="B196" s="618"/>
      <c r="C196" s="947"/>
      <c r="D196" s="857"/>
      <c r="E196" s="401"/>
      <c r="F196" s="401"/>
      <c r="G196" s="401"/>
      <c r="H196" s="401"/>
      <c r="I196" s="880"/>
      <c r="J196" s="889"/>
      <c r="K196" s="889"/>
      <c r="L196" s="401"/>
      <c r="M196" s="401"/>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row>
    <row r="197" ht="20.1" customHeight="1">
      <c r="A197" s="618" t="s">
        <v>244</v>
      </c>
      <c r="B197" s="953"/>
      <c r="C197" s="954"/>
      <c r="D197" s="875"/>
      <c r="E197" s="401"/>
      <c r="F197" s="401"/>
      <c r="G197" s="401"/>
      <c r="H197" s="401"/>
      <c r="I197" s="880"/>
      <c r="J197" s="889"/>
      <c r="K197" s="889"/>
      <c r="L197" s="401"/>
      <c r="M197" s="401"/>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row>
    <row r="198" ht="20.1" customHeight="1">
      <c r="A198" s="955"/>
      <c r="B198" s="618"/>
      <c r="C198" s="956"/>
      <c r="D198" s="809"/>
      <c r="E198" s="401"/>
      <c r="F198" s="401"/>
      <c r="G198" s="401"/>
      <c r="H198" s="401"/>
      <c r="I198" s="880"/>
      <c r="J198" s="889"/>
      <c r="K198" s="889"/>
      <c r="L198" s="401"/>
      <c r="M198" s="401"/>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row>
    <row r="199" ht="20.1" customHeight="1">
      <c r="A199" s="955"/>
      <c r="B199" s="526" t="s">
        <v>1111</v>
      </c>
      <c r="C199" s="927" t="s">
        <v>1112</v>
      </c>
      <c r="D199" s="809"/>
      <c r="E199" s="401"/>
      <c r="F199" s="401"/>
      <c r="G199" s="401"/>
      <c r="H199" s="957"/>
      <c r="I199" s="958"/>
      <c r="J199" s="889"/>
      <c r="K199" s="889"/>
      <c r="L199" s="401"/>
      <c r="M199" s="401"/>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row>
    <row r="200" ht="20.1" customHeight="1">
      <c r="A200" s="43"/>
      <c r="B200" s="909" t="s">
        <v>383</v>
      </c>
      <c r="C200" s="461" t="n">
        <f aca="false">SUM(B158+C162+B163+C171+B172+C183+C184+C185+C186+C187+B188+C193+C194+C195+C196)</f>
        <v>72</v>
      </c>
      <c r="D200" s="935"/>
      <c r="G200" s="401"/>
      <c r="J200" s="959"/>
      <c r="K200" s="401"/>
      <c r="L200" s="401"/>
      <c r="M200" s="401"/>
      <c r="N200" s="401"/>
      <c r="O200" s="902"/>
      <c r="P200" s="902"/>
      <c r="Q200" s="902"/>
      <c r="R200" s="401"/>
      <c r="S200" s="401"/>
      <c r="T200" s="401"/>
    </row>
    <row r="201" ht="20.1" customHeight="1">
      <c r="A201" s="43"/>
      <c r="B201"/>
      <c r="C201"/>
      <c r="D201"/>
      <c r="E201" s="927"/>
      <c r="F201" s="401"/>
      <c r="G201" s="960"/>
      <c r="H201" s="935"/>
      <c r="I201"/>
      <c r="J201"/>
      <c r="K201" s="401"/>
      <c r="R201" s="401"/>
      <c r="S201" s="902"/>
      <c r="T201" s="902"/>
      <c r="U201" s="902"/>
      <c r="V201" s="401"/>
      <c r="W201" s="401"/>
      <c r="X201" s="4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row>
    <row r="202" ht="20.1" customHeight="1">
      <c r="A202"/>
      <c r="B202" s="820" t="s">
        <v>1113</v>
      </c>
      <c r="C202" s="820"/>
      <c r="D202" s="820"/>
      <c r="E202" s="589" t="n">
        <f aca="false">SUMIF(D159:D197,"Locale",C159:C197)</f>
        <v>72</v>
      </c>
      <c r="F202" s="931" t="s">
        <v>383</v>
      </c>
      <c r="H202"/>
      <c r="I202"/>
      <c r="J202"/>
      <c r="K202" s="401"/>
      <c r="N202" s="889"/>
      <c r="O202" s="889"/>
      <c r="P202" s="401"/>
      <c r="Q202" s="401"/>
      <c r="R202" s="401"/>
      <c r="S202" s="902"/>
      <c r="T202" s="902"/>
      <c r="U202" s="902"/>
      <c r="V202" s="401"/>
      <c r="W202" s="401"/>
      <c r="X202" s="401"/>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row>
    <row r="203" ht="20.1" customHeight="1">
      <c r="A203"/>
      <c r="B203" s="16" t="s">
        <v>1114</v>
      </c>
      <c r="C203" s="16"/>
      <c r="D203" s="16"/>
      <c r="H203" s="929"/>
      <c r="I203" s="928"/>
      <c r="J203" s="935"/>
      <c r="K203"/>
      <c r="L203"/>
      <c r="M203" s="401"/>
      <c r="P203" s="889"/>
      <c r="Q203" s="889"/>
      <c r="R203" s="401"/>
      <c r="S203" s="401"/>
      <c r="T203" s="401"/>
      <c r="U203" s="902"/>
      <c r="V203" s="902"/>
      <c r="W203" s="902"/>
      <c r="X203" s="401"/>
      <c r="Y203" s="401"/>
      <c r="Z203" s="401"/>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row>
    <row r="204" ht="20.1" customHeight="1">
      <c r="A204"/>
      <c r="B204" s="415"/>
      <c r="C204" s="634" t="s">
        <v>1115</v>
      </c>
      <c r="D204" s="634"/>
      <c r="E204" s="950"/>
      <c r="F204" s="951" t="s">
        <v>383</v>
      </c>
      <c r="H204" s="929"/>
      <c r="I204" s="928"/>
      <c r="J204" s="935"/>
      <c r="K204"/>
      <c r="L204"/>
      <c r="M204" s="401"/>
      <c r="P204" s="889"/>
      <c r="Q204" s="889"/>
      <c r="R204" s="401"/>
      <c r="S204" s="401"/>
      <c r="T204" s="401"/>
      <c r="U204" s="902"/>
      <c r="V204" s="902"/>
      <c r="W204" s="902"/>
      <c r="X204" s="401"/>
      <c r="Y204" s="401"/>
      <c r="Z204" s="401"/>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row>
    <row r="205" ht="20.1" customHeight="1">
      <c r="A205"/>
      <c r="B205"/>
      <c r="C205" s="634" t="s">
        <v>1116</v>
      </c>
      <c r="D205" s="634"/>
      <c r="E205" s="950"/>
      <c r="F205" s="951" t="s">
        <v>383</v>
      </c>
      <c r="G205" s="928"/>
      <c r="H205" s="929"/>
      <c r="I205" s="928"/>
      <c r="J205" s="935"/>
      <c r="K205"/>
      <c r="L205"/>
      <c r="M205" s="401"/>
      <c r="P205" s="889"/>
      <c r="Q205" s="889"/>
      <c r="R205" s="401"/>
      <c r="S205" s="401"/>
      <c r="T205" s="401"/>
      <c r="U205" s="902"/>
      <c r="V205" s="902"/>
      <c r="W205" s="902"/>
      <c r="X205" s="401"/>
      <c r="Y205" s="401"/>
      <c r="Z205" s="401"/>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row>
    <row r="206" ht="20.1" customHeight="1">
      <c r="A206"/>
      <c r="B206"/>
      <c r="C206"/>
      <c r="D206"/>
      <c r="E206"/>
      <c r="F206" s="927"/>
      <c r="G206" s="928"/>
      <c r="H206" s="929"/>
      <c r="I206" s="928"/>
      <c r="J206" s="935"/>
      <c r="K206"/>
      <c r="L206"/>
      <c r="M206" s="401"/>
      <c r="P206" s="889"/>
      <c r="Q206" s="889"/>
      <c r="R206" s="401"/>
      <c r="S206" s="401"/>
      <c r="T206" s="401"/>
      <c r="U206" s="902"/>
      <c r="V206" s="902"/>
      <c r="W206" s="902"/>
      <c r="X206" s="401"/>
      <c r="Y206" s="401"/>
      <c r="Z206" s="401"/>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row>
    <row r="207" ht="20.1" customHeight="1">
      <c r="A207"/>
      <c r="B207"/>
      <c r="C207"/>
      <c r="D207"/>
      <c r="E207"/>
      <c r="F207" s="927"/>
      <c r="G207" s="928"/>
      <c r="H207" s="929"/>
      <c r="I207" s="928"/>
      <c r="J207" s="935"/>
      <c r="K207"/>
      <c r="L207"/>
      <c r="M207" s="401"/>
      <c r="P207" s="889"/>
      <c r="Q207" s="889"/>
      <c r="R207" s="401"/>
      <c r="S207" s="401"/>
      <c r="T207" s="401"/>
      <c r="U207" s="902"/>
      <c r="V207" s="902"/>
      <c r="W207" s="902"/>
      <c r="X207" s="401"/>
      <c r="Y207" s="401"/>
      <c r="Z207" s="401"/>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row>
    <row r="208" ht="20.1" customHeight="1">
      <c r="A208" s="9"/>
      <c r="B208" s="810" t="s">
        <v>1117</v>
      </c>
      <c r="C208" s="43"/>
      <c r="D208" s="816"/>
      <c r="E208" s="816"/>
      <c r="F208" s="816"/>
      <c r="G208" s="816"/>
      <c r="H208" s="9"/>
      <c r="I208" s="9"/>
      <c r="J208" s="10"/>
      <c r="M208" s="401"/>
      <c r="N208" s="9"/>
      <c r="O208" s="9"/>
      <c r="P208" s="889"/>
      <c r="Q208" s="889"/>
      <c r="R208" s="401"/>
      <c r="S208" s="401"/>
      <c r="T208" s="401"/>
      <c r="U208" s="902"/>
      <c r="V208" s="902"/>
      <c r="W208" s="902"/>
      <c r="X208" s="401"/>
      <c r="Y208" s="401"/>
      <c r="Z208" s="401"/>
    </row>
    <row r="209" ht="20.1" customHeight="1">
      <c r="A209" s="401"/>
      <c r="B209" s="401"/>
      <c r="C209" s="902"/>
      <c r="D209" s="959"/>
      <c r="E209" s="401"/>
      <c r="F209" s="401"/>
      <c r="G209" s="807"/>
      <c r="H209" s="807"/>
      <c r="I209" s="807"/>
      <c r="J209" s="961"/>
      <c r="L209" s="401"/>
      <c r="M209" s="401"/>
      <c r="N209" s="9"/>
      <c r="O209" s="9"/>
      <c r="P209" s="889"/>
      <c r="Q209" s="889"/>
      <c r="R209" s="401"/>
      <c r="S209" s="401"/>
    </row>
    <row r="210" ht="20.1" customHeight="1">
      <c r="A210" s="806" t="s">
        <v>1118</v>
      </c>
      <c r="B210" s="836"/>
      <c r="F210" s="462"/>
      <c r="H210" s="837"/>
      <c r="I210" s="837"/>
      <c r="J210" s="837"/>
      <c r="L210" s="401" t="s">
        <v>1119</v>
      </c>
      <c r="N210" s="9"/>
      <c r="O210" s="9"/>
      <c r="P210" s="889"/>
      <c r="T210" s="962"/>
      <c r="U210" s="401"/>
      <c r="V210" s="401"/>
      <c r="W210" s="401"/>
      <c r="X210" s="957"/>
      <c r="Y210" s="963"/>
      <c r="Z210" s="889"/>
      <c r="AA210" s="889"/>
    </row>
    <row r="211" ht="20.1" customHeight="1">
      <c r="A211" s="836"/>
      <c r="B211" s="836"/>
      <c r="C211" s="401"/>
      <c r="D211" s="401"/>
      <c r="E211" s="401"/>
      <c r="F211" s="401"/>
      <c r="G211" s="401"/>
      <c r="J211" s="837"/>
      <c r="L211" s="837"/>
      <c r="M211"/>
      <c r="N211"/>
      <c r="O211"/>
      <c r="P211" s="889"/>
      <c r="Q211" s="401"/>
      <c r="R211" s="401"/>
      <c r="S211" s="40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row>
    <row r="212" ht="20.1" customHeight="1">
      <c r="A212" s="401"/>
      <c r="B212" s="964" t="s">
        <v>1120</v>
      </c>
      <c r="C212" s="964"/>
      <c r="D212" s="964"/>
      <c r="E212" s="964"/>
      <c r="F212" s="964"/>
      <c r="G212" s="964" t="s">
        <v>1121</v>
      </c>
      <c r="H212" s="964"/>
      <c r="I212" s="964"/>
      <c r="J212" s="964" t="s">
        <v>1122</v>
      </c>
      <c r="K212" s="964"/>
      <c r="L212" s="964"/>
      <c r="M212"/>
      <c r="N212"/>
      <c r="O212" s="96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row>
    <row r="213" ht="69" customHeight="1">
      <c r="A213" s="965"/>
      <c r="B213" s="905" t="s">
        <v>1123</v>
      </c>
      <c r="C213" s="905" t="s">
        <v>298</v>
      </c>
      <c r="D213" s="905" t="s">
        <v>1124</v>
      </c>
      <c r="E213" s="905" t="s">
        <v>1125</v>
      </c>
      <c r="F213" s="905" t="s">
        <v>413</v>
      </c>
      <c r="G213" s="966" t="s">
        <v>1126</v>
      </c>
      <c r="H213" s="905" t="s">
        <v>190</v>
      </c>
      <c r="I213" s="905"/>
      <c r="J213" s="966" t="s">
        <v>1127</v>
      </c>
      <c r="K213" s="905" t="s">
        <v>307</v>
      </c>
      <c r="L213" s="905"/>
      <c r="M213"/>
      <c r="N213"/>
      <c r="O213" s="889"/>
      <c r="P213" s="401"/>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row>
    <row r="214" ht="30" customHeight="1">
      <c r="A214" s="967"/>
      <c r="B214" s="757" t="s">
        <v>1128</v>
      </c>
      <c r="C214" s="757" t="s">
        <v>94</v>
      </c>
      <c r="D214" s="757" t="s">
        <v>1129</v>
      </c>
      <c r="E214" s="968" t="s">
        <v>1130</v>
      </c>
      <c r="F214" s="968"/>
      <c r="G214" s="969" t="s">
        <v>1093</v>
      </c>
      <c r="H214" s="757"/>
      <c r="I214" s="757"/>
      <c r="J214" s="969" t="s">
        <v>1093</v>
      </c>
      <c r="K214" s="757"/>
      <c r="L214" s="757"/>
      <c r="O214" s="889"/>
      <c r="P214" s="401"/>
    </row>
    <row r="215" ht="30.75" customHeight="1">
      <c r="A215" s="970" t="s">
        <v>1131</v>
      </c>
      <c r="B215" s="971"/>
      <c r="C215" s="971"/>
      <c r="D215" s="971"/>
      <c r="E215" s="971"/>
      <c r="F215" s="971"/>
      <c r="G215" s="972"/>
      <c r="H215" s="424"/>
      <c r="I215" s="424"/>
      <c r="J215" s="972"/>
      <c r="K215" s="424"/>
      <c r="L215" s="424"/>
      <c r="M215"/>
      <c r="N215"/>
      <c r="O215" s="889"/>
      <c r="P215" s="401"/>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row>
    <row r="216" ht="20.1" customHeight="1">
      <c r="A216" s="43" t="s">
        <v>309</v>
      </c>
      <c r="B216" s="833"/>
      <c r="C216" s="813"/>
      <c r="D216" s="813"/>
      <c r="E216" s="973"/>
      <c r="F216" s="974" t="n">
        <f aca="false">C216*D216</f>
        <v>0</v>
      </c>
      <c r="G216" s="974" t="n">
        <f aca="false">I158</f>
        <v>0</v>
      </c>
      <c r="H216" s="591"/>
      <c r="I216" s="591"/>
      <c r="J216" s="975"/>
      <c r="K216" s="591"/>
      <c r="L216" s="591"/>
      <c r="M216"/>
      <c r="N216"/>
      <c r="O216" s="889"/>
      <c r="P216" s="401"/>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row>
    <row r="217" ht="20.1" customHeight="1">
      <c r="A217" s="43" t="s">
        <v>202</v>
      </c>
      <c r="B217" s="833"/>
      <c r="C217" s="813"/>
      <c r="D217" s="813"/>
      <c r="E217" s="973"/>
      <c r="F217" s="974" t="n">
        <f aca="false">C217*D217</f>
        <v>0</v>
      </c>
      <c r="G217" s="974" t="n">
        <f aca="false">I163</f>
        <v>0</v>
      </c>
      <c r="H217" s="591"/>
      <c r="I217" s="591"/>
      <c r="J217" s="975"/>
      <c r="K217" s="591"/>
      <c r="L217" s="591"/>
      <c r="M217"/>
      <c r="N217"/>
      <c r="O217" s="889"/>
      <c r="P217" s="401"/>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row>
    <row r="218" ht="20.1" customHeight="1">
      <c r="A218" s="43" t="s">
        <v>206</v>
      </c>
      <c r="B218" s="833"/>
      <c r="C218" s="813"/>
      <c r="D218" s="813"/>
      <c r="E218" s="973"/>
      <c r="F218" s="974" t="n">
        <f aca="false">C218*D218</f>
        <v>0</v>
      </c>
      <c r="G218" s="461" t="n">
        <f aca="false">I165+I166+I167</f>
        <v>0</v>
      </c>
      <c r="H218" s="591"/>
      <c r="I218" s="591"/>
      <c r="J218" s="975"/>
      <c r="K218" s="591"/>
      <c r="L218" s="591"/>
      <c r="M218"/>
      <c r="N218"/>
      <c r="O218" s="889"/>
      <c r="P218" s="401"/>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row>
    <row r="219" ht="20.1" customHeight="1">
      <c r="A219" s="43" t="s">
        <v>310</v>
      </c>
      <c r="B219" s="833"/>
      <c r="C219" s="813"/>
      <c r="D219" s="813"/>
      <c r="E219" s="973"/>
      <c r="F219" s="974" t="n">
        <f aca="false">C219*D219</f>
        <v>0</v>
      </c>
      <c r="G219" s="974" t="n">
        <f aca="false">I162</f>
        <v>0</v>
      </c>
      <c r="H219" s="591"/>
      <c r="I219" s="591"/>
      <c r="J219" s="975"/>
      <c r="K219" s="591"/>
      <c r="L219" s="591"/>
      <c r="O219" s="889"/>
      <c r="P219" s="401"/>
    </row>
    <row r="220" ht="20.1" customHeight="1">
      <c r="A220" s="43" t="s">
        <v>204</v>
      </c>
      <c r="B220" s="833"/>
      <c r="C220" s="813"/>
      <c r="D220" s="813"/>
      <c r="E220" s="973"/>
      <c r="F220" s="974" t="n">
        <f aca="false">C220*D220</f>
        <v>0</v>
      </c>
      <c r="G220" s="974" t="n">
        <f aca="false">I164</f>
        <v>0</v>
      </c>
      <c r="H220" s="591"/>
      <c r="I220" s="591"/>
      <c r="J220" s="975"/>
      <c r="K220" s="591"/>
      <c r="L220" s="591"/>
      <c r="O220" s="889"/>
      <c r="P220" s="401"/>
    </row>
    <row r="221" ht="20.1" customHeight="1">
      <c r="A221" s="43" t="s">
        <v>1132</v>
      </c>
      <c r="B221" s="833"/>
      <c r="C221" s="813"/>
      <c r="D221" s="813"/>
      <c r="E221" s="973"/>
      <c r="F221" s="974" t="n">
        <f aca="false">C221*D221</f>
        <v>0</v>
      </c>
      <c r="G221" s="976"/>
      <c r="H221" s="591"/>
      <c r="I221" s="591"/>
      <c r="J221" s="975"/>
      <c r="K221" s="591"/>
      <c r="L221" s="591"/>
      <c r="M221"/>
      <c r="N221"/>
      <c r="O221" s="889"/>
      <c r="P221" s="40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row>
    <row r="222" ht="20.1" customHeight="1">
      <c r="A222" s="977" t="s">
        <v>1133</v>
      </c>
      <c r="B222" s="833"/>
      <c r="C222" s="813"/>
      <c r="D222" s="813"/>
      <c r="E222" s="978"/>
      <c r="F222" s="974" t="n">
        <f aca="false">C222*D222</f>
        <v>0</v>
      </c>
      <c r="G222" s="42"/>
      <c r="H222" s="591"/>
      <c r="I222" s="591"/>
      <c r="J222" s="975"/>
      <c r="K222" s="591"/>
      <c r="L222" s="591"/>
      <c r="M222"/>
      <c r="N222"/>
      <c r="O222" s="962"/>
      <c r="P222" s="96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row>
    <row r="223" ht="20.1" customHeight="1">
      <c r="A223" s="43" t="s">
        <v>1134</v>
      </c>
      <c r="B223" s="833"/>
      <c r="C223" s="813"/>
      <c r="D223" s="813"/>
      <c r="E223" s="978"/>
      <c r="F223" s="974" t="n">
        <f aca="false">C223*D223</f>
        <v>0</v>
      </c>
      <c r="G223" s="42"/>
      <c r="H223" s="591"/>
      <c r="I223" s="591"/>
      <c r="J223" s="975"/>
      <c r="K223" s="591"/>
      <c r="L223" s="591"/>
      <c r="M223"/>
      <c r="N223"/>
      <c r="O223" s="962"/>
      <c r="P223" s="962"/>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row>
    <row r="224" ht="20.1" customHeight="1">
      <c r="A224" s="43" t="s">
        <v>313</v>
      </c>
      <c r="B224" s="833"/>
      <c r="C224" s="813"/>
      <c r="D224" s="813"/>
      <c r="E224" s="978"/>
      <c r="F224" s="974" t="n">
        <f aca="false">C224*D224</f>
        <v>0</v>
      </c>
      <c r="G224" s="42"/>
      <c r="H224" s="591"/>
      <c r="I224" s="591"/>
      <c r="J224" s="975"/>
      <c r="K224" s="591"/>
      <c r="L224" s="591"/>
      <c r="O224" s="401"/>
      <c r="P224" s="401"/>
    </row>
    <row r="225" ht="20.1" customHeight="1">
      <c r="A225" s="43" t="s">
        <v>314</v>
      </c>
      <c r="B225" s="833"/>
      <c r="C225" s="813"/>
      <c r="D225" s="813"/>
      <c r="E225" s="978"/>
      <c r="F225" s="974" t="n">
        <f aca="false">C225*D225</f>
        <v>0</v>
      </c>
      <c r="G225" s="974" t="s">
        <v>1135</v>
      </c>
      <c r="H225" s="591"/>
      <c r="I225" s="591"/>
      <c r="J225" s="975"/>
      <c r="K225" s="591"/>
      <c r="L225" s="591"/>
      <c r="O225" s="962"/>
      <c r="P225" s="962"/>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row>
    <row r="226" ht="20.1" customHeight="1">
      <c r="A226" s="43" t="s">
        <v>1136</v>
      </c>
      <c r="B226" s="833"/>
      <c r="C226" s="813"/>
      <c r="D226" s="813"/>
      <c r="E226" s="978"/>
      <c r="F226" s="974" t="n">
        <f aca="false">C226*D226</f>
        <v>0</v>
      </c>
      <c r="G226" s="461" t="n">
        <f aca="false">I168</f>
        <v>0</v>
      </c>
      <c r="H226" s="591"/>
      <c r="I226" s="591"/>
      <c r="J226" s="975"/>
      <c r="K226" s="591"/>
      <c r="L226" s="591"/>
      <c r="M226"/>
      <c r="N226"/>
      <c r="O226" s="962"/>
      <c r="P226" s="962"/>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row>
    <row r="227" ht="20.1" customHeight="1">
      <c r="A227" s="979" t="s">
        <v>1137</v>
      </c>
      <c r="B227" s="971"/>
      <c r="C227" s="971"/>
      <c r="D227" s="971"/>
      <c r="E227" s="971"/>
      <c r="F227" s="971"/>
      <c r="G227" s="980" t="s">
        <v>1138</v>
      </c>
      <c r="H227" s="424"/>
      <c r="I227" s="424"/>
      <c r="J227" s="972"/>
      <c r="K227" s="424"/>
      <c r="L227" s="424"/>
      <c r="M227"/>
      <c r="N227"/>
      <c r="O227" s="837"/>
      <c r="P227" s="83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row>
    <row r="228" ht="20.1" customHeight="1">
      <c r="A228" s="977" t="s">
        <v>315</v>
      </c>
      <c r="B228" s="42"/>
      <c r="C228" s="813"/>
      <c r="D228" s="813"/>
      <c r="E228" s="973"/>
      <c r="F228" s="974" t="n">
        <f aca="false">C228*D228</f>
        <v>0</v>
      </c>
      <c r="G228" s="461" t="n">
        <f aca="false">I170</f>
        <v>0</v>
      </c>
      <c r="H228" s="591"/>
      <c r="I228" s="591"/>
      <c r="J228" s="975"/>
      <c r="K228" s="591"/>
      <c r="L228" s="591"/>
      <c r="M228"/>
      <c r="N228"/>
      <c r="O228" s="889"/>
      <c r="P228" s="401"/>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row>
    <row r="229" ht="20.1" customHeight="1">
      <c r="A229" s="977" t="s">
        <v>316</v>
      </c>
      <c r="B229" s="42"/>
      <c r="C229" s="813"/>
      <c r="D229" s="813"/>
      <c r="E229" s="973"/>
      <c r="F229" s="974" t="n">
        <f aca="false">C229*D229</f>
        <v>0</v>
      </c>
      <c r="G229" s="461" t="n">
        <f aca="false">I169</f>
        <v>0</v>
      </c>
      <c r="H229" s="591"/>
      <c r="I229" s="591"/>
      <c r="J229" s="975"/>
      <c r="K229" s="591"/>
      <c r="L229" s="591"/>
      <c r="M229"/>
      <c r="N229"/>
      <c r="O229" s="889"/>
      <c r="P229" s="401"/>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0" ht="30" customHeight="1">
      <c r="A230" s="970" t="s">
        <v>1139</v>
      </c>
      <c r="B230" s="981"/>
      <c r="C230" s="971"/>
      <c r="D230" s="971"/>
      <c r="E230" s="982" t="s">
        <v>1140</v>
      </c>
      <c r="F230" s="971"/>
      <c r="G230" s="980" t="s">
        <v>1138</v>
      </c>
      <c r="H230" s="424"/>
      <c r="I230" s="424"/>
      <c r="J230" s="972"/>
      <c r="K230" s="424"/>
      <c r="L230" s="424"/>
      <c r="M230"/>
      <c r="N230"/>
      <c r="O230" s="837"/>
      <c r="P230" s="837"/>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row>
    <row r="231" ht="20.1" customHeight="1">
      <c r="A231" s="43" t="s">
        <v>1141</v>
      </c>
      <c r="B231" s="833"/>
      <c r="C231" s="813"/>
      <c r="D231" s="813"/>
      <c r="E231" s="973"/>
      <c r="F231" s="974" t="n">
        <f aca="false">C231*D231</f>
        <v>0</v>
      </c>
      <c r="G231" s="974" t="s">
        <v>1142</v>
      </c>
      <c r="H231" s="591"/>
      <c r="I231" s="591"/>
      <c r="J231" s="975"/>
      <c r="K231" s="591"/>
      <c r="L231" s="591"/>
      <c r="M231"/>
      <c r="N231"/>
      <c r="O231" s="837"/>
      <c r="P231" s="837"/>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row>
    <row r="232" ht="20.1" customHeight="1">
      <c r="A232" s="43" t="s">
        <v>1143</v>
      </c>
      <c r="B232" s="833"/>
      <c r="C232" s="813"/>
      <c r="D232" s="813"/>
      <c r="E232" s="973"/>
      <c r="F232" s="974" t="n">
        <f aca="false">C232*D232</f>
        <v>0</v>
      </c>
      <c r="G232" s="461" t="n">
        <f aca="false">I159</f>
        <v>0</v>
      </c>
      <c r="H232" s="591"/>
      <c r="I232" s="591"/>
      <c r="J232" s="975"/>
      <c r="K232" s="591"/>
      <c r="L232" s="591"/>
      <c r="M232"/>
      <c r="N232"/>
      <c r="O232" s="401"/>
      <c r="P232" s="401"/>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row>
    <row r="233" ht="20.1" customHeight="1">
      <c r="A233" s="43" t="s">
        <v>1144</v>
      </c>
      <c r="B233" s="833"/>
      <c r="C233" s="813"/>
      <c r="D233" s="813"/>
      <c r="E233" s="973"/>
      <c r="F233" s="974" t="n">
        <f aca="false">C233*D233</f>
        <v>0</v>
      </c>
      <c r="G233" s="983"/>
      <c r="H233" s="591"/>
      <c r="I233" s="591"/>
      <c r="J233" s="975"/>
      <c r="K233" s="591"/>
      <c r="L233" s="591"/>
      <c r="M233"/>
      <c r="N233"/>
      <c r="O233" s="809"/>
      <c r="P233" s="809"/>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row>
    <row r="234" ht="20.1" customHeight="1">
      <c r="A234" s="43" t="s">
        <v>1145</v>
      </c>
      <c r="B234" s="833"/>
      <c r="C234" s="813"/>
      <c r="D234" s="813"/>
      <c r="E234" s="973"/>
      <c r="F234" s="974" t="n">
        <f aca="false">C234*D234</f>
        <v>0</v>
      </c>
      <c r="G234" s="974" t="s">
        <v>1146</v>
      </c>
      <c r="H234" s="591"/>
      <c r="I234" s="591"/>
      <c r="J234" s="975"/>
      <c r="K234" s="591"/>
      <c r="L234" s="591"/>
      <c r="M234"/>
      <c r="N234"/>
      <c r="O234" s="889"/>
      <c r="P234" s="401"/>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row>
    <row r="235" ht="20.1" customHeight="1">
      <c r="A235" s="43" t="s">
        <v>1147</v>
      </c>
      <c r="B235" s="833"/>
      <c r="C235" s="813"/>
      <c r="D235" s="813"/>
      <c r="E235" s="973"/>
      <c r="F235" s="974" t="n">
        <f aca="false">C235*D235</f>
        <v>0</v>
      </c>
      <c r="G235" s="461" t="n">
        <f aca="false">I160</f>
        <v>0</v>
      </c>
      <c r="H235" s="591"/>
      <c r="I235" s="591"/>
      <c r="J235" s="975"/>
      <c r="K235" s="591"/>
      <c r="L235" s="591"/>
      <c r="M235"/>
      <c r="N235"/>
      <c r="O235" s="889"/>
      <c r="P235" s="401"/>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row>
    <row r="236" ht="20.1" customHeight="1">
      <c r="A236" s="43" t="s">
        <v>1136</v>
      </c>
      <c r="B236" s="833"/>
      <c r="C236" s="813"/>
      <c r="D236" s="813"/>
      <c r="E236" s="978"/>
      <c r="F236" s="974" t="n">
        <f aca="false">C236*D236</f>
        <v>0</v>
      </c>
      <c r="G236" s="983"/>
      <c r="H236" s="591"/>
      <c r="I236" s="591"/>
      <c r="J236" s="975"/>
      <c r="K236" s="591"/>
      <c r="L236" s="591"/>
      <c r="M236"/>
      <c r="N236"/>
      <c r="O236" s="889"/>
      <c r="P236" s="401"/>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row>
    <row r="237" ht="20.1" customHeight="1">
      <c r="A237" s="979" t="s">
        <v>1148</v>
      </c>
      <c r="B237" s="971"/>
      <c r="C237" s="971"/>
      <c r="D237" s="971"/>
      <c r="E237" s="971"/>
      <c r="F237" s="971"/>
      <c r="G237" s="980" t="s">
        <v>1138</v>
      </c>
      <c r="H237" s="424"/>
      <c r="I237" s="424"/>
      <c r="J237" s="972"/>
      <c r="K237" s="424"/>
      <c r="L237" s="424"/>
      <c r="M237"/>
      <c r="N237"/>
      <c r="O237" s="889"/>
      <c r="P237" s="401"/>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row>
    <row r="238" ht="20.1" customHeight="1">
      <c r="A238" s="977" t="s">
        <v>325</v>
      </c>
      <c r="B238" s="833"/>
      <c r="C238" s="813"/>
      <c r="D238" s="813"/>
      <c r="E238" s="984" t="n">
        <v>1</v>
      </c>
      <c r="F238" s="974" t="n">
        <f aca="false">C238*D238</f>
        <v>0</v>
      </c>
      <c r="G238" s="974" t="s">
        <v>1149</v>
      </c>
      <c r="H238" s="591"/>
      <c r="I238" s="591"/>
      <c r="J238" s="975"/>
      <c r="K238" s="591"/>
      <c r="L238" s="591"/>
      <c r="M238"/>
      <c r="N238"/>
      <c r="O238" s="889"/>
      <c r="P238" s="401"/>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row>
    <row r="239" ht="20.1" customHeight="1">
      <c r="A239" s="977" t="s">
        <v>326</v>
      </c>
      <c r="B239" s="833"/>
      <c r="C239" s="813"/>
      <c r="D239" s="813"/>
      <c r="E239" s="984" t="n">
        <v>1</v>
      </c>
      <c r="F239" s="974" t="n">
        <f aca="false">C239*D239</f>
        <v>0</v>
      </c>
      <c r="G239" s="985" t="n">
        <f aca="false">I161</f>
        <v>0</v>
      </c>
      <c r="H239" s="591"/>
      <c r="I239" s="591"/>
      <c r="J239" s="975"/>
      <c r="K239" s="591"/>
      <c r="L239" s="591"/>
      <c r="M239"/>
      <c r="N239"/>
      <c r="O239" s="986"/>
      <c r="P239" s="401"/>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row>
    <row r="240" ht="20.1" customHeight="1">
      <c r="A240" s="977" t="s">
        <v>327</v>
      </c>
      <c r="B240" s="833"/>
      <c r="C240" s="813"/>
      <c r="D240" s="813"/>
      <c r="E240" s="984" t="n">
        <v>1</v>
      </c>
      <c r="F240" s="974" t="n">
        <f aca="false">C240*D240</f>
        <v>0</v>
      </c>
      <c r="G240" s="987"/>
      <c r="H240" s="591"/>
      <c r="I240" s="591"/>
      <c r="J240" s="975"/>
      <c r="K240" s="591"/>
      <c r="L240" s="591"/>
      <c r="M240"/>
      <c r="N240"/>
      <c r="O240" s="986"/>
      <c r="P240" s="401"/>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row>
    <row r="241" ht="20.1" customHeight="1">
      <c r="A241" s="977" t="s">
        <v>328</v>
      </c>
      <c r="B241" s="833"/>
      <c r="C241" s="813"/>
      <c r="D241" s="813"/>
      <c r="E241" s="978"/>
      <c r="F241" s="974" t="n">
        <f aca="false">C241*D241</f>
        <v>0</v>
      </c>
      <c r="G241" s="987"/>
      <c r="H241" s="591"/>
      <c r="I241" s="591"/>
      <c r="J241" s="975"/>
      <c r="K241" s="591"/>
      <c r="L241" s="591"/>
      <c r="M241"/>
      <c r="N241"/>
      <c r="O241" s="986"/>
      <c r="P241" s="40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row>
    <row r="242" ht="20.1" customHeight="1">
      <c r="A242" s="977" t="s">
        <v>329</v>
      </c>
      <c r="B242" s="833"/>
      <c r="C242" s="813"/>
      <c r="D242" s="813"/>
      <c r="E242" s="978"/>
      <c r="F242" s="974" t="n">
        <f aca="false">C242*D242</f>
        <v>0</v>
      </c>
      <c r="G242" s="987"/>
      <c r="H242" s="591"/>
      <c r="I242" s="591"/>
      <c r="J242" s="975"/>
      <c r="K242" s="591"/>
      <c r="L242" s="591"/>
      <c r="M242"/>
      <c r="N242"/>
      <c r="O242" s="986"/>
      <c r="P242" s="401"/>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row>
    <row r="243" ht="20.1" customHeight="1">
      <c r="A243" s="977" t="s">
        <v>1150</v>
      </c>
      <c r="B243" s="833"/>
      <c r="C243" s="813"/>
      <c r="D243" s="813"/>
      <c r="E243" s="978"/>
      <c r="F243" s="974" t="n">
        <f aca="false">C243*D243</f>
        <v>0</v>
      </c>
      <c r="G243" s="987"/>
      <c r="H243" s="591"/>
      <c r="I243" s="591"/>
      <c r="J243" s="975"/>
      <c r="K243" s="591"/>
      <c r="L243" s="591"/>
      <c r="M243"/>
      <c r="N243"/>
      <c r="O243" s="986"/>
      <c r="P243" s="401"/>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row>
    <row r="244" ht="20.1" customHeight="1">
      <c r="A244" s="977" t="s">
        <v>1151</v>
      </c>
      <c r="B244" s="833"/>
      <c r="C244" s="813"/>
      <c r="D244" s="813"/>
      <c r="E244" s="978"/>
      <c r="F244" s="974" t="n">
        <f aca="false">C244*D244</f>
        <v>0</v>
      </c>
      <c r="G244" s="987"/>
      <c r="H244" s="591"/>
      <c r="I244" s="591"/>
      <c r="J244" s="975"/>
      <c r="K244" s="591"/>
      <c r="L244" s="591"/>
      <c r="M244"/>
      <c r="N244"/>
      <c r="O244" s="986"/>
      <c r="P244" s="401"/>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row>
    <row r="245" ht="20.1" customHeight="1">
      <c r="A245" s="977" t="s">
        <v>1152</v>
      </c>
      <c r="B245" s="833"/>
      <c r="C245" s="813"/>
      <c r="D245" s="813"/>
      <c r="E245" s="978"/>
      <c r="F245" s="974" t="n">
        <f aca="false">C245*D245</f>
        <v>0</v>
      </c>
      <c r="G245" s="42"/>
      <c r="H245" s="591"/>
      <c r="I245" s="591"/>
      <c r="J245" s="975"/>
      <c r="K245" s="591"/>
      <c r="L245" s="591"/>
      <c r="M245"/>
      <c r="N245"/>
      <c r="O245" s="889"/>
      <c r="P245" s="401"/>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row>
    <row r="246" ht="31.5" customHeight="1">
      <c r="A246" s="970" t="s">
        <v>1153</v>
      </c>
      <c r="B246" s="971"/>
      <c r="C246" s="971"/>
      <c r="D246" s="971"/>
      <c r="E246" s="971"/>
      <c r="F246" s="971"/>
      <c r="G246" s="980" t="s">
        <v>1138</v>
      </c>
      <c r="H246" s="424"/>
      <c r="I246" s="424"/>
      <c r="J246" s="972"/>
      <c r="K246" s="424"/>
      <c r="L246" s="424"/>
      <c r="M246"/>
      <c r="N246"/>
      <c r="O246" s="889"/>
      <c r="P246" s="401"/>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row>
    <row r="247" ht="20.1" customHeight="1">
      <c r="A247" s="43" t="s">
        <v>1154</v>
      </c>
      <c r="B247" s="42"/>
      <c r="C247" s="813"/>
      <c r="D247" s="813"/>
      <c r="E247" s="978"/>
      <c r="F247" s="974" t="n">
        <f aca="false">C247*D247</f>
        <v>0</v>
      </c>
      <c r="G247" s="976"/>
      <c r="H247" s="591"/>
      <c r="I247" s="591"/>
      <c r="J247" s="975"/>
      <c r="K247" s="591"/>
      <c r="L247" s="591"/>
      <c r="M247"/>
      <c r="N247"/>
      <c r="O247" s="401"/>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row>
    <row r="248" ht="20.1" customHeight="1">
      <c r="A248" s="43" t="s">
        <v>1155</v>
      </c>
      <c r="B248" s="42"/>
      <c r="C248" s="813"/>
      <c r="D248" s="813"/>
      <c r="E248" s="978"/>
      <c r="F248" s="974" t="n">
        <f aca="false">C248*D248</f>
        <v>0</v>
      </c>
      <c r="G248" s="42"/>
      <c r="H248" s="591"/>
      <c r="I248" s="591"/>
      <c r="J248" s="975"/>
      <c r="K248" s="591"/>
      <c r="L248" s="591"/>
      <c r="M248"/>
      <c r="N248"/>
      <c r="O248" s="401"/>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row>
    <row r="249" ht="20.1" customHeight="1">
      <c r="A249" s="43" t="s">
        <v>1156</v>
      </c>
      <c r="B249" s="42"/>
      <c r="C249" s="813"/>
      <c r="D249" s="813"/>
      <c r="E249" s="978"/>
      <c r="F249" s="974" t="n">
        <f aca="false">C249*D249</f>
        <v>0</v>
      </c>
      <c r="G249" s="42"/>
      <c r="H249" s="591"/>
      <c r="I249" s="591"/>
      <c r="J249" s="975"/>
      <c r="K249" s="591"/>
      <c r="L249" s="591"/>
      <c r="M249"/>
      <c r="N249"/>
      <c r="O249" s="401"/>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row>
    <row r="250" ht="20.1" customHeight="1">
      <c r="A250" s="43" t="s">
        <v>1157</v>
      </c>
      <c r="B250" s="42"/>
      <c r="C250" s="813"/>
      <c r="D250" s="813"/>
      <c r="E250" s="978"/>
      <c r="F250" s="974" t="n">
        <f aca="false">C250*D250</f>
        <v>0</v>
      </c>
      <c r="G250" s="42"/>
      <c r="H250" s="591"/>
      <c r="I250" s="591"/>
      <c r="J250" s="975"/>
      <c r="K250" s="591"/>
      <c r="L250" s="591"/>
      <c r="M250"/>
      <c r="N250"/>
      <c r="O250" s="401"/>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row>
    <row r="251" ht="20.1" customHeight="1">
      <c r="A251" s="979" t="s">
        <v>196</v>
      </c>
      <c r="B251" s="988"/>
      <c r="C251" s="988"/>
      <c r="D251" s="988"/>
      <c r="E251" s="988"/>
      <c r="F251" s="974" t="n">
        <f aca="false">C251*D251</f>
        <v>0</v>
      </c>
      <c r="G251" s="42"/>
      <c r="H251" s="591"/>
      <c r="I251" s="591"/>
      <c r="J251" s="989"/>
      <c r="K251" s="591"/>
      <c r="L251" s="591"/>
      <c r="M251"/>
      <c r="N251"/>
      <c r="O251" s="837"/>
      <c r="P251" s="40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row>
    <row r="252" ht="20.1" customHeight="1">
      <c r="A252" s="990" t="s">
        <v>198</v>
      </c>
      <c r="B252" s="991"/>
      <c r="C252" s="988"/>
      <c r="D252" s="988"/>
      <c r="E252" s="988"/>
      <c r="F252" s="974" t="n">
        <f aca="false">C252*D252</f>
        <v>0</v>
      </c>
      <c r="G252" s="992"/>
      <c r="H252" s="591"/>
      <c r="I252" s="591"/>
      <c r="J252" s="993"/>
      <c r="K252" s="591"/>
      <c r="L252" s="591"/>
      <c r="M252"/>
      <c r="N252"/>
      <c r="O252" s="902"/>
      <c r="P252" s="90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row>
    <row r="253" ht="20.1" customHeight="1">
      <c r="A253" s="994"/>
      <c r="B253" s="44"/>
      <c r="C253" s="787"/>
      <c r="D253" s="787"/>
      <c r="E253" s="787"/>
      <c r="F253" s="787"/>
      <c r="G253" s="995"/>
      <c r="J253" s="9"/>
      <c r="L253" s="401"/>
      <c r="M253" s="401"/>
      <c r="N253" s="902"/>
      <c r="O253" s="902"/>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row>
    <row r="254" ht="15" customHeight="1">
      <c r="A254" s="821"/>
      <c r="B254" s="821"/>
      <c r="C254" s="43"/>
      <c r="D254" s="821"/>
      <c r="E254" s="487" t="s">
        <v>1158</v>
      </c>
      <c r="F254" s="487"/>
      <c r="G254" s="589" t="n">
        <f aca="false">SUM(F216:F252)</f>
        <v>0</v>
      </c>
      <c r="J254" s="9"/>
      <c r="K254" s="809"/>
      <c r="L254" s="809"/>
      <c r="M254" s="902"/>
      <c r="N254" s="902"/>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row>
    <row r="255" ht="15" customHeight="1">
      <c r="A255" s="996"/>
      <c r="B255" s="997"/>
      <c r="C255" s="997"/>
      <c r="D255" s="998"/>
      <c r="E255" s="499" t="s">
        <v>1159</v>
      </c>
      <c r="F255" s="499"/>
      <c r="G255" s="589" t="n">
        <f aca="false">(SUM(J216:J252))</f>
        <v>0</v>
      </c>
      <c r="J255"/>
      <c r="K255" s="999"/>
      <c r="L255" s="999"/>
      <c r="M255" s="999"/>
      <c r="N255" s="889"/>
      <c r="O255" s="401"/>
      <c r="P255" s="401"/>
      <c r="Q255" s="401"/>
      <c r="R255" s="401"/>
      <c r="S255" s="401"/>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row>
    <row r="256" ht="15" customHeight="1">
      <c r="A256" s="996"/>
      <c r="B256" s="997"/>
      <c r="C256" s="997"/>
      <c r="D256" s="998"/>
      <c r="E256" s="499" t="s">
        <v>1160</v>
      </c>
      <c r="F256" s="499"/>
      <c r="G256" s="1000" t="n">
        <f aca="false">I175</f>
        <v>0</v>
      </c>
      <c r="J256"/>
      <c r="K256" s="999"/>
      <c r="L256" s="999"/>
      <c r="M256" s="999"/>
      <c r="N256" s="889"/>
      <c r="O256" s="401"/>
      <c r="P256" s="401"/>
      <c r="Q256" s="401"/>
      <c r="R256" s="902"/>
      <c r="S256" s="902"/>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row>
    <row r="257" ht="15" customHeight="1">
      <c r="A257" s="996"/>
      <c r="B257" s="997"/>
      <c r="C257" s="997"/>
      <c r="D257" s="998"/>
      <c r="E257" s="499" t="s">
        <v>1161</v>
      </c>
      <c r="F257" s="499"/>
      <c r="G257" s="1000" t="n">
        <f aca="false">G254-G255+G256</f>
        <v>0</v>
      </c>
      <c r="K257" s="999"/>
      <c r="L257" s="999"/>
      <c r="M257" s="999"/>
      <c r="N257" s="889"/>
      <c r="O257" s="401"/>
      <c r="P257" s="401"/>
      <c r="Q257" s="401"/>
      <c r="R257" s="902"/>
      <c r="S257" s="902"/>
    </row>
    <row r="258" ht="20.1" customHeight="1">
      <c r="A258" s="996"/>
      <c r="B258" s="997"/>
      <c r="C258" s="997"/>
      <c r="D258" s="998"/>
      <c r="E258" s="1001"/>
      <c r="F258" s="885"/>
      <c r="G258" s="885"/>
      <c r="H258"/>
      <c r="I258"/>
      <c r="K258" s="999"/>
      <c r="L258" s="999"/>
      <c r="M258" s="999"/>
      <c r="N258" s="889"/>
      <c r="O258" s="401"/>
      <c r="P258" s="401"/>
      <c r="Q258" s="401"/>
      <c r="R258" s="902"/>
      <c r="S258" s="902"/>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row>
    <row r="259" ht="20.1" customHeight="1">
      <c r="A259" s="806" t="s">
        <v>1162</v>
      </c>
      <c r="B259" s="43"/>
      <c r="C259" s="43"/>
      <c r="D259" s="43"/>
      <c r="F259" s="9"/>
      <c r="H259" s="956"/>
      <c r="K259" s="401"/>
      <c r="L259" s="401" t="s">
        <v>1163</v>
      </c>
      <c r="N259" s="1002"/>
      <c r="O259" s="956"/>
      <c r="P259" s="1003"/>
      <c r="Q259" s="401"/>
      <c r="R259" s="902"/>
      <c r="S259" s="902"/>
      <c r="T259" s="401"/>
      <c r="U259" s="902"/>
      <c r="V259" s="902"/>
      <c r="W259" s="902"/>
      <c r="X259" s="401"/>
      <c r="Y259" s="401"/>
      <c r="Z259" s="401"/>
    </row>
    <row r="260" ht="20.1" customHeight="1">
      <c r="A260" s="43"/>
      <c r="B260" s="43"/>
      <c r="C260"/>
      <c r="D260" s="43"/>
      <c r="E260" s="43"/>
      <c r="F260" s="43"/>
      <c r="G260" s="43"/>
      <c r="H260"/>
      <c r="I260" s="401"/>
      <c r="J260" s="401"/>
      <c r="K260" s="889"/>
      <c r="L260" s="889"/>
      <c r="M260" s="902"/>
      <c r="N260" s="902"/>
      <c r="O260" s="401"/>
      <c r="P260" s="401"/>
      <c r="Q260" s="401"/>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row>
    <row r="261" ht="20.1" customHeight="1">
      <c r="A261" s="43"/>
      <c r="B261" s="1004" t="s">
        <v>1120</v>
      </c>
      <c r="C261" s="1004"/>
      <c r="D261" s="1004"/>
      <c r="E261" s="1004"/>
      <c r="F261" s="1004"/>
      <c r="G261" s="1004" t="s">
        <v>1121</v>
      </c>
      <c r="H261" s="1004"/>
      <c r="I261" s="1004"/>
      <c r="J261" s="1004" t="s">
        <v>1122</v>
      </c>
      <c r="K261" s="1004"/>
      <c r="L261" s="1004"/>
      <c r="M261"/>
      <c r="N261"/>
      <c r="O261" s="902"/>
      <c r="P261" s="401"/>
      <c r="Q261" s="401"/>
      <c r="R261" s="40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row>
    <row r="262" ht="47.65" customHeight="1">
      <c r="A262" s="1005"/>
      <c r="B262" s="1006" t="s">
        <v>1164</v>
      </c>
      <c r="C262" s="905" t="s">
        <v>1123</v>
      </c>
      <c r="D262" s="905" t="s">
        <v>298</v>
      </c>
      <c r="E262" s="905" t="s">
        <v>1165</v>
      </c>
      <c r="F262" s="905" t="s">
        <v>1166</v>
      </c>
      <c r="G262" s="905" t="s">
        <v>1091</v>
      </c>
      <c r="H262" s="1007" t="s">
        <v>190</v>
      </c>
      <c r="I262" s="1007"/>
      <c r="J262" s="1008" t="s">
        <v>414</v>
      </c>
      <c r="K262" s="1009" t="s">
        <v>307</v>
      </c>
      <c r="L262" s="1009"/>
      <c r="M262"/>
      <c r="N262"/>
      <c r="O262" s="401"/>
      <c r="P262" s="902"/>
      <c r="Q262" s="401"/>
      <c r="R262" s="401"/>
      <c r="S262" s="401"/>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row>
    <row r="263" ht="28.15" customHeight="1">
      <c r="A263" s="1005"/>
      <c r="B263" s="1010" t="s">
        <v>1167</v>
      </c>
      <c r="C263" s="757" t="s">
        <v>1168</v>
      </c>
      <c r="D263" s="757" t="s">
        <v>94</v>
      </c>
      <c r="E263" s="757" t="s">
        <v>1169</v>
      </c>
      <c r="F263" s="757" t="s">
        <v>1170</v>
      </c>
      <c r="G263" s="1011" t="s">
        <v>1170</v>
      </c>
      <c r="H263" s="910"/>
      <c r="I263" s="910"/>
      <c r="J263" s="757" t="s">
        <v>1170</v>
      </c>
      <c r="K263" s="757"/>
      <c r="L263" s="757"/>
      <c r="M263"/>
      <c r="N263"/>
      <c r="O263" s="401"/>
      <c r="P263" s="902"/>
      <c r="Q263" s="401"/>
      <c r="R263" s="401"/>
      <c r="S263" s="401"/>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row>
    <row r="264" ht="20.1" customHeight="1">
      <c r="A264" s="990" t="s">
        <v>341</v>
      </c>
      <c r="B264" s="972"/>
      <c r="C264" s="971"/>
      <c r="D264" s="971"/>
      <c r="E264" s="971"/>
      <c r="F264" s="1012" t="n">
        <f aca="false">SUM(F265:F280)</f>
        <v>350.4</v>
      </c>
      <c r="G264" s="1013" t="n">
        <f aca="false">SUM(G265:G280)</f>
        <v>3.63</v>
      </c>
      <c r="H264" s="1014"/>
      <c r="I264" s="1014"/>
      <c r="J264" s="1015" t="n">
        <f aca="false">SUM(J265:J280)</f>
        <v>350.4</v>
      </c>
      <c r="K264" s="424"/>
      <c r="L264" s="424"/>
      <c r="M264"/>
      <c r="N264"/>
      <c r="O264" s="902"/>
      <c r="P264" s="902"/>
      <c r="Q264" s="401"/>
      <c r="R264" s="401"/>
      <c r="S264" s="401"/>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row>
    <row r="265" ht="20.1" customHeight="1">
      <c r="A265" s="977" t="s">
        <v>342</v>
      </c>
      <c r="B265" s="1016"/>
      <c r="C265" s="813"/>
      <c r="D265" s="813"/>
      <c r="E265" s="813"/>
      <c r="F265" s="974" t="n">
        <f aca="false">D265*E265/10</f>
        <v>0</v>
      </c>
      <c r="G265" s="856"/>
      <c r="H265" s="1017"/>
      <c r="I265" s="1017"/>
      <c r="J265" s="813"/>
      <c r="K265" s="591"/>
      <c r="L265" s="591"/>
      <c r="M265"/>
      <c r="N265"/>
      <c r="O265" s="902"/>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row>
    <row r="266" ht="20.1" customHeight="1">
      <c r="A266" s="43" t="s">
        <v>343</v>
      </c>
      <c r="B266" s="1016"/>
      <c r="C266" s="813"/>
      <c r="D266" s="813"/>
      <c r="E266" s="813"/>
      <c r="F266" s="974" t="n">
        <f aca="false">D266*E266/10</f>
        <v>0</v>
      </c>
      <c r="G266" s="1018"/>
      <c r="H266" s="1017"/>
      <c r="I266" s="1017"/>
      <c r="J266" s="1019"/>
      <c r="K266" s="591"/>
      <c r="L266" s="591"/>
      <c r="M266"/>
      <c r="N266"/>
      <c r="O266" s="902"/>
      <c r="P266" s="902"/>
      <c r="Q266" s="401"/>
      <c r="R266" s="401"/>
      <c r="S266" s="401"/>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row>
    <row r="267" ht="20.1" customHeight="1">
      <c r="A267" s="43" t="s">
        <v>344</v>
      </c>
      <c r="B267" s="1016" t="s">
        <v>254</v>
      </c>
      <c r="C267" s="813" t="s">
        <v>1171</v>
      </c>
      <c r="D267" s="813" t="n">
        <v>15</v>
      </c>
      <c r="E267" s="813" t="n">
        <v>70</v>
      </c>
      <c r="F267" s="974" t="n">
        <f aca="false">D267*E267/10</f>
        <v>105</v>
      </c>
      <c r="G267" s="1018" t="n">
        <v>2.4</v>
      </c>
      <c r="H267" s="1017"/>
      <c r="I267" s="1017"/>
      <c r="J267" s="1019" t="n">
        <v>105</v>
      </c>
      <c r="K267" s="591"/>
      <c r="L267" s="591"/>
      <c r="M267"/>
      <c r="N267"/>
      <c r="O267" s="902"/>
      <c r="P267" s="902"/>
      <c r="Q267" s="401"/>
      <c r="R267" s="401"/>
      <c r="S267" s="401"/>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row>
    <row r="268" ht="20.1" customHeight="1">
      <c r="A268" s="43" t="s">
        <v>345</v>
      </c>
      <c r="B268" s="1016" t="s">
        <v>254</v>
      </c>
      <c r="C268" s="813" t="s">
        <v>1171</v>
      </c>
      <c r="D268" s="813" t="n">
        <v>15</v>
      </c>
      <c r="E268" s="813" t="n">
        <v>38</v>
      </c>
      <c r="F268" s="974" t="n">
        <f aca="false">D268*E268/10</f>
        <v>57</v>
      </c>
      <c r="G268" s="1018" t="n">
        <v>0.03</v>
      </c>
      <c r="H268" s="1017"/>
      <c r="I268" s="1017"/>
      <c r="J268" s="1019" t="n">
        <v>57</v>
      </c>
      <c r="K268" s="591"/>
      <c r="L268" s="591"/>
      <c r="M268"/>
      <c r="N268"/>
      <c r="O268" s="902"/>
      <c r="P268" s="902"/>
      <c r="Q268" s="401"/>
      <c r="R268" s="401"/>
      <c r="S268" s="401"/>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row>
    <row r="269" ht="20.1" customHeight="1">
      <c r="A269" s="43" t="s">
        <v>346</v>
      </c>
      <c r="B269" s="1016" t="s">
        <v>254</v>
      </c>
      <c r="C269" s="813" t="s">
        <v>1171</v>
      </c>
      <c r="D269" s="813" t="n">
        <v>6</v>
      </c>
      <c r="E269" s="813" t="n">
        <v>125</v>
      </c>
      <c r="F269" s="974" t="n">
        <f aca="false">D269*E269/10</f>
        <v>75</v>
      </c>
      <c r="G269" s="1018" t="n">
        <v>0.18</v>
      </c>
      <c r="H269" s="1017"/>
      <c r="I269" s="1017"/>
      <c r="J269" s="1019" t="n">
        <v>75</v>
      </c>
      <c r="K269" s="591"/>
      <c r="L269" s="591"/>
      <c r="M269"/>
      <c r="N269"/>
      <c r="O269" s="401"/>
      <c r="P269" s="902"/>
      <c r="Q269" s="401"/>
      <c r="R269" s="401"/>
      <c r="S269" s="401"/>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row>
    <row r="270" ht="20.1" customHeight="1">
      <c r="A270" s="43" t="s">
        <v>347</v>
      </c>
      <c r="B270" s="1016"/>
      <c r="C270" s="813"/>
      <c r="D270" s="813"/>
      <c r="E270" s="813"/>
      <c r="F270" s="974" t="n">
        <f aca="false">D270*E270/10</f>
        <v>0</v>
      </c>
      <c r="G270" s="1018"/>
      <c r="H270" s="1017"/>
      <c r="I270" s="1017"/>
      <c r="J270" s="1019"/>
      <c r="K270" s="591"/>
      <c r="L270" s="591"/>
      <c r="M270"/>
      <c r="N270"/>
      <c r="O270" s="401"/>
      <c r="P270" s="902"/>
      <c r="Q270" s="401"/>
      <c r="R270" s="401"/>
      <c r="S270" s="401"/>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row>
    <row r="271" ht="20.1" customHeight="1">
      <c r="A271" s="977" t="s">
        <v>348</v>
      </c>
      <c r="B271" s="1016"/>
      <c r="C271" s="813"/>
      <c r="D271" s="813"/>
      <c r="E271" s="813"/>
      <c r="F271" s="974" t="n">
        <f aca="false">D271*E271/10</f>
        <v>0</v>
      </c>
      <c r="G271" s="856"/>
      <c r="H271" s="1017"/>
      <c r="I271" s="1017"/>
      <c r="J271" s="813"/>
      <c r="K271" s="591"/>
      <c r="L271" s="591"/>
      <c r="M271"/>
      <c r="N271"/>
      <c r="O271" s="401"/>
      <c r="P271" s="401"/>
      <c r="Q271" s="40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row>
    <row r="272" ht="20.1" customHeight="1">
      <c r="A272" s="43" t="s">
        <v>349</v>
      </c>
      <c r="B272" s="1016"/>
      <c r="C272" s="813"/>
      <c r="D272" s="813"/>
      <c r="E272" s="813"/>
      <c r="F272" s="974" t="n">
        <f aca="false">D272*E272/10</f>
        <v>0</v>
      </c>
      <c r="G272" s="856"/>
      <c r="H272" s="1017"/>
      <c r="I272" s="1017"/>
      <c r="J272" s="813"/>
      <c r="K272" s="591"/>
      <c r="L272" s="591"/>
      <c r="M272"/>
      <c r="N272"/>
      <c r="O272" s="401"/>
      <c r="P272" s="902"/>
      <c r="Q272" s="401"/>
      <c r="R272" s="401"/>
      <c r="S272" s="401"/>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row>
    <row r="273" ht="20.1" customHeight="1">
      <c r="A273" s="43" t="s">
        <v>350</v>
      </c>
      <c r="B273" s="1016" t="s">
        <v>254</v>
      </c>
      <c r="C273" s="813" t="s">
        <v>1171</v>
      </c>
      <c r="D273" s="813" t="n">
        <v>4</v>
      </c>
      <c r="E273" s="813" t="n">
        <v>36</v>
      </c>
      <c r="F273" s="974" t="n">
        <f aca="false">D273*E273/10</f>
        <v>14.4</v>
      </c>
      <c r="G273" s="856" t="n">
        <v>0.02</v>
      </c>
      <c r="H273" s="1017"/>
      <c r="I273" s="1017"/>
      <c r="J273" s="813" t="n">
        <v>14.4</v>
      </c>
      <c r="K273" s="591"/>
      <c r="L273" s="591"/>
      <c r="M273"/>
      <c r="N273"/>
      <c r="O273" s="401"/>
      <c r="P273" s="902"/>
      <c r="Q273" s="401"/>
      <c r="R273" s="401"/>
      <c r="S273" s="401"/>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row>
    <row r="274" ht="20.1" customHeight="1">
      <c r="A274" s="43" t="s">
        <v>351</v>
      </c>
      <c r="B274" s="1016"/>
      <c r="C274" s="813"/>
      <c r="D274" s="813"/>
      <c r="E274" s="813"/>
      <c r="F274" s="974" t="n">
        <f aca="false">D274*E274/10</f>
        <v>0</v>
      </c>
      <c r="G274" s="1018"/>
      <c r="H274" s="1017"/>
      <c r="I274" s="1017"/>
      <c r="J274" s="1019"/>
      <c r="K274" s="591"/>
      <c r="L274" s="591"/>
      <c r="M274"/>
      <c r="N274"/>
      <c r="O274"/>
      <c r="P274" s="902"/>
      <c r="Q274" s="401"/>
      <c r="R274" s="401"/>
      <c r="S274" s="401"/>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row>
    <row r="275" ht="20.1" customHeight="1">
      <c r="A275" s="43" t="s">
        <v>352</v>
      </c>
      <c r="B275" s="1016"/>
      <c r="C275" s="813"/>
      <c r="D275" s="813"/>
      <c r="E275" s="813"/>
      <c r="F275" s="974" t="n">
        <f aca="false">D275*E275/10</f>
        <v>0</v>
      </c>
      <c r="G275" s="856"/>
      <c r="H275" s="1017"/>
      <c r="I275" s="1017"/>
      <c r="J275" s="813"/>
      <c r="K275" s="591"/>
      <c r="L275" s="591"/>
      <c r="M275"/>
      <c r="N275"/>
      <c r="O275"/>
      <c r="P275" s="902"/>
      <c r="Q275" s="401"/>
      <c r="R275" s="401"/>
      <c r="S275" s="401"/>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row>
    <row r="276" ht="20.1" customHeight="1">
      <c r="A276" s="43" t="s">
        <v>1172</v>
      </c>
      <c r="B276" s="1016" t="s">
        <v>254</v>
      </c>
      <c r="C276" s="813" t="s">
        <v>1171</v>
      </c>
      <c r="D276" s="813" t="n">
        <v>33</v>
      </c>
      <c r="E276" s="813" t="n">
        <v>30</v>
      </c>
      <c r="F276" s="974" t="n">
        <f aca="false">D276*E276/10</f>
        <v>99</v>
      </c>
      <c r="G276" s="856" t="n">
        <v>1</v>
      </c>
      <c r="H276" s="1017"/>
      <c r="I276" s="1017"/>
      <c r="J276" s="813" t="n">
        <v>99</v>
      </c>
      <c r="K276" s="591"/>
      <c r="L276" s="591"/>
      <c r="M276"/>
      <c r="N276"/>
      <c r="O276" s="401"/>
      <c r="P276" s="401"/>
      <c r="Q276" s="401"/>
      <c r="R276" s="401"/>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row>
    <row r="277" ht="20.1" customHeight="1">
      <c r="A277" s="43" t="s">
        <v>1173</v>
      </c>
      <c r="B277" s="1016"/>
      <c r="C277" s="813"/>
      <c r="D277" s="813"/>
      <c r="E277" s="813"/>
      <c r="F277" s="974" t="n">
        <f aca="false">D277*E277/10</f>
        <v>0</v>
      </c>
      <c r="G277" s="856"/>
      <c r="H277" s="1017"/>
      <c r="I277" s="1017"/>
      <c r="J277" s="813"/>
      <c r="K277" s="591"/>
      <c r="L277" s="591"/>
      <c r="M277"/>
      <c r="N277"/>
      <c r="O277" s="902"/>
      <c r="P277" s="401"/>
      <c r="Q277" s="401"/>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row>
    <row r="278" ht="20.1" customHeight="1">
      <c r="A278" s="43" t="s">
        <v>1174</v>
      </c>
      <c r="B278" s="1016"/>
      <c r="C278" s="813"/>
      <c r="D278" s="813"/>
      <c r="E278" s="813"/>
      <c r="F278" s="974" t="n">
        <f aca="false">D278*E278/10</f>
        <v>0</v>
      </c>
      <c r="G278" s="856"/>
      <c r="H278" s="1017"/>
      <c r="I278" s="1017"/>
      <c r="J278" s="813"/>
      <c r="K278" s="591"/>
      <c r="L278" s="591"/>
      <c r="M278"/>
      <c r="N278"/>
      <c r="O278" s="902"/>
      <c r="P278" s="401"/>
      <c r="Q278" s="401"/>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row>
    <row r="279" ht="20.1" customHeight="1">
      <c r="A279" s="43" t="s">
        <v>1175</v>
      </c>
      <c r="B279" s="1016"/>
      <c r="C279" s="813"/>
      <c r="D279" s="813"/>
      <c r="E279" s="813"/>
      <c r="F279" s="974" t="n">
        <f aca="false">D279*E279/10</f>
        <v>0</v>
      </c>
      <c r="G279" s="856"/>
      <c r="H279" s="1017"/>
      <c r="I279" s="1017"/>
      <c r="J279" s="813"/>
      <c r="K279" s="591"/>
      <c r="L279" s="591"/>
      <c r="M279"/>
      <c r="N279"/>
      <c r="O279" s="401"/>
      <c r="P279" s="401"/>
      <c r="Q279" s="401"/>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row>
    <row r="280" ht="20.1" customHeight="1">
      <c r="A280" s="43" t="s">
        <v>1176</v>
      </c>
      <c r="B280" s="1016"/>
      <c r="C280" s="813"/>
      <c r="D280" s="813"/>
      <c r="E280" s="813"/>
      <c r="F280" s="974" t="n">
        <f aca="false">D280*E280/10</f>
        <v>0</v>
      </c>
      <c r="G280" s="856"/>
      <c r="H280" s="1017"/>
      <c r="I280" s="1017"/>
      <c r="J280" s="813"/>
      <c r="K280" s="591"/>
      <c r="L280" s="591"/>
      <c r="M280"/>
      <c r="N280"/>
      <c r="O280" s="401"/>
      <c r="P280" s="401"/>
      <c r="Q280" s="401"/>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row>
    <row r="281" ht="20.1" customHeight="1">
      <c r="A281" s="1020" t="s">
        <v>1177</v>
      </c>
      <c r="B281" s="1021"/>
      <c r="C281" s="851"/>
      <c r="D281" s="1022"/>
      <c r="E281" s="1022"/>
      <c r="F281" s="1023" t="n">
        <f aca="false">SUM(F282:F287)</f>
        <v>0</v>
      </c>
      <c r="G281" s="1024"/>
      <c r="H281" s="1014"/>
      <c r="I281" s="1014"/>
      <c r="J281" s="1025"/>
      <c r="K281" s="424"/>
      <c r="L281" s="424"/>
      <c r="M281"/>
      <c r="N281"/>
      <c r="O281" s="401"/>
      <c r="P281" s="401"/>
      <c r="Q281" s="40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row>
    <row r="282" ht="20.1" customHeight="1">
      <c r="A282" s="43" t="s">
        <v>356</v>
      </c>
      <c r="B282" s="1016"/>
      <c r="C282" s="813"/>
      <c r="D282" s="813"/>
      <c r="E282" s="813"/>
      <c r="F282" s="974" t="n">
        <f aca="false">D282*E282/10</f>
        <v>0</v>
      </c>
      <c r="G282" s="856"/>
      <c r="H282" s="1017"/>
      <c r="I282" s="1017"/>
      <c r="J282" s="813"/>
      <c r="K282" s="591"/>
      <c r="L282" s="591"/>
      <c r="M282"/>
      <c r="N282"/>
      <c r="O282" s="401"/>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row>
    <row r="283" ht="20.1" customHeight="1">
      <c r="A283" s="43" t="s">
        <v>357</v>
      </c>
      <c r="B283" s="1016"/>
      <c r="C283" s="813"/>
      <c r="D283" s="813"/>
      <c r="E283" s="813"/>
      <c r="F283" s="974" t="n">
        <f aca="false">D283*E283/10</f>
        <v>0</v>
      </c>
      <c r="G283" s="856"/>
      <c r="H283" s="1017"/>
      <c r="I283" s="1017"/>
      <c r="J283" s="813"/>
      <c r="K283" s="591"/>
      <c r="L283" s="591"/>
      <c r="M283"/>
      <c r="N283"/>
      <c r="O283" s="837"/>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row>
    <row r="284" ht="20.1" customHeight="1">
      <c r="A284" s="43" t="s">
        <v>358</v>
      </c>
      <c r="B284" s="1016"/>
      <c r="C284" s="813"/>
      <c r="D284" s="813"/>
      <c r="E284" s="813"/>
      <c r="F284" s="974" t="n">
        <f aca="false">D284*E284/10</f>
        <v>0</v>
      </c>
      <c r="G284" s="856"/>
      <c r="H284" s="1017"/>
      <c r="I284" s="1017"/>
      <c r="J284" s="813"/>
      <c r="K284" s="591"/>
      <c r="L284" s="591"/>
      <c r="M284"/>
      <c r="N284"/>
      <c r="O284" s="401"/>
      <c r="P284" s="401"/>
      <c r="Q284" s="401"/>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row>
    <row r="285" ht="20.1" customHeight="1">
      <c r="A285" s="43" t="s">
        <v>359</v>
      </c>
      <c r="B285" s="1016"/>
      <c r="C285" s="813"/>
      <c r="D285" s="813"/>
      <c r="E285" s="813"/>
      <c r="F285" s="974" t="n">
        <f aca="false">D285*E285/10</f>
        <v>0</v>
      </c>
      <c r="G285" s="1018"/>
      <c r="H285" s="1017"/>
      <c r="I285" s="1017"/>
      <c r="J285" s="1019"/>
      <c r="K285" s="591"/>
      <c r="L285" s="591"/>
      <c r="M285"/>
      <c r="N285"/>
      <c r="O285" s="401"/>
      <c r="P285" s="902"/>
      <c r="Q285" s="401"/>
      <c r="R285" s="401"/>
      <c r="S285" s="401"/>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row>
    <row r="286" ht="20.1" customHeight="1">
      <c r="A286" s="43" t="s">
        <v>360</v>
      </c>
      <c r="B286" s="1016"/>
      <c r="C286" s="813"/>
      <c r="D286" s="813"/>
      <c r="E286" s="813"/>
      <c r="F286" s="974" t="n">
        <f aca="false">D286*E286/10</f>
        <v>0</v>
      </c>
      <c r="G286" s="856"/>
      <c r="H286" s="1017"/>
      <c r="I286" s="1017"/>
      <c r="J286" s="813"/>
      <c r="K286" s="591"/>
      <c r="L286" s="591"/>
      <c r="M286"/>
      <c r="N286"/>
      <c r="O286"/>
      <c r="P286" s="902"/>
      <c r="Q286" s="401"/>
      <c r="R286" s="401"/>
      <c r="S286" s="401"/>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row>
    <row r="287" ht="20.1" customHeight="1">
      <c r="A287" s="43" t="s">
        <v>1136</v>
      </c>
      <c r="B287" s="1016"/>
      <c r="C287" s="813"/>
      <c r="D287" s="813"/>
      <c r="E287" s="813"/>
      <c r="F287" s="974" t="n">
        <f aca="false">D287*E287/10</f>
        <v>0</v>
      </c>
      <c r="G287" s="856"/>
      <c r="H287" s="1017"/>
      <c r="I287" s="1017"/>
      <c r="J287" s="813"/>
      <c r="K287" s="591"/>
      <c r="L287" s="591"/>
      <c r="M287"/>
      <c r="N287"/>
      <c r="O287" s="837"/>
      <c r="P287" s="401"/>
      <c r="Q287" s="401"/>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row>
    <row r="288" ht="20.1" customHeight="1">
      <c r="A288" s="1026" t="s">
        <v>361</v>
      </c>
      <c r="B288" s="1022"/>
      <c r="C288" s="1022" t="s">
        <v>1168</v>
      </c>
      <c r="D288" s="1022" t="s">
        <v>94</v>
      </c>
      <c r="E288" s="1022" t="s">
        <v>1178</v>
      </c>
      <c r="F288" s="1022"/>
      <c r="G288" s="848" t="s">
        <v>1138</v>
      </c>
      <c r="H288" s="1022"/>
      <c r="I288" s="1027"/>
      <c r="J288" s="1022" t="s">
        <v>1179</v>
      </c>
      <c r="K288" s="1022"/>
      <c r="L288" s="1022"/>
      <c r="M288"/>
      <c r="N288"/>
      <c r="O288" s="837"/>
      <c r="P288" s="401"/>
      <c r="Q288" s="401"/>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row>
    <row r="289" ht="20.1" customHeight="1">
      <c r="A289" s="43"/>
      <c r="B289" s="1016"/>
      <c r="C289" s="813"/>
      <c r="D289" s="813"/>
      <c r="E289" s="813"/>
      <c r="F289" s="974" t="n">
        <f aca="false">D289*E289</f>
        <v>0</v>
      </c>
      <c r="G289" s="856"/>
      <c r="H289" s="1017"/>
      <c r="I289" s="1017"/>
      <c r="J289" s="813"/>
      <c r="K289" s="591"/>
      <c r="L289" s="591"/>
      <c r="M289"/>
      <c r="N289"/>
      <c r="O289"/>
      <c r="P289" s="401"/>
      <c r="Q289" s="401"/>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row>
    <row r="290" ht="20.1" customHeight="1">
      <c r="A290" s="43"/>
      <c r="B290" s="1016"/>
      <c r="C290" s="813"/>
      <c r="D290" s="813"/>
      <c r="E290" s="813"/>
      <c r="F290" s="974" t="n">
        <f aca="false">D290*E290</f>
        <v>0</v>
      </c>
      <c r="G290" s="856"/>
      <c r="H290" s="591"/>
      <c r="I290" s="1017"/>
      <c r="J290" s="813"/>
      <c r="K290" s="591"/>
      <c r="L290" s="591"/>
      <c r="M290"/>
      <c r="N290"/>
      <c r="O290"/>
      <c r="P290" s="401"/>
      <c r="Q290" s="401"/>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row>
    <row r="291" ht="20.1" customHeight="1">
      <c r="A291" s="43"/>
      <c r="B291" s="1016"/>
      <c r="C291" s="813"/>
      <c r="D291" s="813"/>
      <c r="E291" s="813"/>
      <c r="F291" s="974" t="n">
        <f aca="false">D291*E291</f>
        <v>0</v>
      </c>
      <c r="G291" s="856"/>
      <c r="H291" s="1017"/>
      <c r="I291" s="1017"/>
      <c r="J291" s="813"/>
      <c r="K291" s="591"/>
      <c r="L291" s="591"/>
      <c r="M291"/>
      <c r="N291"/>
      <c r="O291" s="809"/>
      <c r="P291" s="401"/>
      <c r="Q291" s="40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row>
    <row r="292" ht="20.1" customHeight="1">
      <c r="A292" s="43"/>
      <c r="B292" s="1016"/>
      <c r="C292" s="813"/>
      <c r="D292" s="813"/>
      <c r="E292" s="813"/>
      <c r="F292" s="974" t="n">
        <f aca="false">D292*E292</f>
        <v>0</v>
      </c>
      <c r="G292" s="856"/>
      <c r="H292" s="1017"/>
      <c r="I292" s="1017"/>
      <c r="J292" s="813"/>
      <c r="K292" s="591"/>
      <c r="L292" s="591"/>
      <c r="O292" s="401"/>
    </row>
    <row r="293" ht="20.1" customHeight="1">
      <c r="A293" s="1026" t="s">
        <v>1177</v>
      </c>
      <c r="B293" s="1028"/>
      <c r="C293" s="1022"/>
      <c r="D293" s="1022"/>
      <c r="E293" s="1022" t="s">
        <v>1180</v>
      </c>
      <c r="F293" s="1022"/>
      <c r="G293" s="848"/>
      <c r="H293" s="1014"/>
      <c r="I293" s="1014"/>
      <c r="J293" s="1022"/>
      <c r="K293" s="424"/>
      <c r="L293" s="424"/>
      <c r="P293" s="401"/>
      <c r="Q293" s="401"/>
    </row>
    <row r="294" ht="20.1" customHeight="1">
      <c r="A294" s="43" t="s">
        <v>1181</v>
      </c>
      <c r="B294" s="1016"/>
      <c r="C294" s="813"/>
      <c r="D294" s="813"/>
      <c r="E294" s="813"/>
      <c r="F294" s="974" t="n">
        <f aca="false">D294*E294/10</f>
        <v>0</v>
      </c>
      <c r="G294" s="856"/>
      <c r="H294" s="1017"/>
      <c r="I294" s="1017"/>
      <c r="J294" s="813"/>
      <c r="K294" s="591"/>
      <c r="L294" s="591"/>
      <c r="M294"/>
      <c r="N294"/>
      <c r="O294"/>
      <c r="P294" s="401"/>
      <c r="Q294" s="401"/>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row>
    <row r="295" ht="20.1" customHeight="1">
      <c r="A295" s="43" t="s">
        <v>1182</v>
      </c>
      <c r="B295" s="1016"/>
      <c r="C295" s="813"/>
      <c r="D295" s="813"/>
      <c r="E295" s="813"/>
      <c r="F295" s="974" t="n">
        <f aca="false">D295*E295/10</f>
        <v>0</v>
      </c>
      <c r="G295" s="856"/>
      <c r="H295" s="1017"/>
      <c r="I295" s="1017"/>
      <c r="J295" s="813"/>
      <c r="K295" s="591"/>
      <c r="L295" s="591"/>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row>
    <row r="296" ht="42" customHeight="1">
      <c r="A296" s="1026" t="s">
        <v>363</v>
      </c>
      <c r="B296" s="1029" t="s">
        <v>1183</v>
      </c>
      <c r="C296" s="1022" t="s">
        <v>1168</v>
      </c>
      <c r="D296" s="1022" t="s">
        <v>94</v>
      </c>
      <c r="E296" s="1022" t="s">
        <v>1178</v>
      </c>
      <c r="F296" s="1022"/>
      <c r="G296" s="848" t="s">
        <v>1138</v>
      </c>
      <c r="H296" s="1022"/>
      <c r="I296" s="1027"/>
      <c r="J296" s="1022" t="s">
        <v>1179</v>
      </c>
      <c r="K296" s="1022"/>
      <c r="L296" s="1022"/>
      <c r="O296" s="401"/>
    </row>
    <row r="297" ht="20.1" customHeight="1">
      <c r="A297" s="43" t="s">
        <v>364</v>
      </c>
      <c r="B297" s="833"/>
      <c r="C297" s="813"/>
      <c r="D297" s="813"/>
      <c r="E297" s="813"/>
      <c r="F297" s="974" t="n">
        <f aca="false">D297*E297</f>
        <v>0</v>
      </c>
      <c r="G297" s="32"/>
      <c r="H297" s="1017"/>
      <c r="I297" s="1017"/>
      <c r="J297" s="813"/>
      <c r="K297" s="591"/>
      <c r="L297" s="591"/>
      <c r="M297"/>
      <c r="N297"/>
      <c r="O297" s="401"/>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row>
    <row r="298" ht="20.1" customHeight="1">
      <c r="A298" s="43" t="s">
        <v>365</v>
      </c>
      <c r="B298" s="1016"/>
      <c r="C298" s="813"/>
      <c r="D298" s="813"/>
      <c r="E298" s="813"/>
      <c r="F298" s="974" t="n">
        <f aca="false">D298*E298</f>
        <v>0</v>
      </c>
      <c r="G298" s="32"/>
      <c r="H298" s="1017"/>
      <c r="I298" s="1017"/>
      <c r="J298" s="813"/>
      <c r="K298" s="591"/>
      <c r="L298" s="591"/>
    </row>
    <row r="299" ht="20.1" customHeight="1">
      <c r="A299" s="43" t="s">
        <v>366</v>
      </c>
      <c r="B299" s="1016"/>
      <c r="C299" s="813"/>
      <c r="D299" s="813"/>
      <c r="E299" s="813"/>
      <c r="F299" s="974" t="n">
        <f aca="false">D299*E299</f>
        <v>0</v>
      </c>
      <c r="G299" s="32"/>
      <c r="H299" s="1017"/>
      <c r="I299" s="1017"/>
      <c r="J299" s="813"/>
      <c r="K299" s="591"/>
      <c r="L299" s="591"/>
      <c r="O299" s="401"/>
    </row>
    <row r="300" ht="20.1" customHeight="1">
      <c r="A300" s="43" t="s">
        <v>1184</v>
      </c>
      <c r="B300" s="1016"/>
      <c r="C300" s="813"/>
      <c r="D300" s="813"/>
      <c r="E300" s="813"/>
      <c r="F300" s="974" t="n">
        <f aca="false">D300*E300</f>
        <v>0</v>
      </c>
      <c r="G300" s="32"/>
      <c r="H300" s="1017"/>
      <c r="I300" s="1017"/>
      <c r="J300" s="813"/>
      <c r="K300" s="591"/>
      <c r="L300" s="591"/>
    </row>
    <row r="301" ht="20.1" customHeight="1">
      <c r="A301" s="43"/>
      <c r="B301" s="1016"/>
      <c r="C301" s="813"/>
      <c r="D301" s="813"/>
      <c r="E301" s="813"/>
      <c r="F301" s="974" t="n">
        <f aca="false">D301*E301</f>
        <v>0</v>
      </c>
      <c r="G301" s="32"/>
      <c r="H301" s="1017"/>
      <c r="I301" s="1017"/>
      <c r="J301" s="813"/>
      <c r="K301" s="591"/>
      <c r="L301" s="591"/>
    </row>
    <row r="302" ht="20.1" customHeight="1">
      <c r="A302" s="43"/>
      <c r="B302" s="1016"/>
      <c r="C302" s="813"/>
      <c r="D302" s="813"/>
      <c r="E302" s="813"/>
      <c r="F302" s="974" t="n">
        <f aca="false">D302*E302</f>
        <v>0</v>
      </c>
      <c r="G302" s="32"/>
      <c r="H302" s="1017"/>
      <c r="I302" s="1017"/>
      <c r="J302" s="813"/>
      <c r="K302" s="591"/>
      <c r="L302" s="591"/>
    </row>
    <row r="303" ht="20.1" customHeight="1">
      <c r="A303" s="43"/>
      <c r="B303" s="1016"/>
      <c r="C303" s="813"/>
      <c r="D303" s="813"/>
      <c r="E303" s="813"/>
      <c r="F303" s="974" t="n">
        <f aca="false">D303*E303</f>
        <v>0</v>
      </c>
      <c r="G303" s="32"/>
      <c r="H303" s="1017"/>
      <c r="I303" s="1017"/>
      <c r="J303" s="813"/>
      <c r="K303" s="591"/>
      <c r="L303" s="591"/>
    </row>
    <row r="304" ht="47.25" customHeight="1">
      <c r="A304" s="1026" t="s">
        <v>367</v>
      </c>
      <c r="B304" s="1029" t="s">
        <v>1183</v>
      </c>
      <c r="C304" s="1022" t="s">
        <v>1168</v>
      </c>
      <c r="D304" s="1022" t="s">
        <v>94</v>
      </c>
      <c r="E304" s="1022" t="s">
        <v>1178</v>
      </c>
      <c r="F304" s="1022"/>
      <c r="G304" s="848" t="s">
        <v>1138</v>
      </c>
      <c r="H304" s="1022"/>
      <c r="I304" s="1027"/>
      <c r="J304" s="1022" t="s">
        <v>1179</v>
      </c>
      <c r="K304" s="1022"/>
      <c r="L304" s="1022"/>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row>
    <row r="305" ht="20.1" customHeight="1">
      <c r="A305" s="43" t="s">
        <v>1185</v>
      </c>
      <c r="B305" s="975"/>
      <c r="C305" s="813"/>
      <c r="D305" s="813"/>
      <c r="E305" s="813"/>
      <c r="F305" s="974" t="n">
        <f aca="false">D305*E305</f>
        <v>0</v>
      </c>
      <c r="G305" s="32"/>
      <c r="H305" s="1017"/>
      <c r="I305" s="1017"/>
      <c r="J305" s="813"/>
      <c r="K305" s="591"/>
      <c r="L305" s="591"/>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row>
    <row r="306" ht="20.1" customHeight="1">
      <c r="A306" s="618" t="s">
        <v>1186</v>
      </c>
      <c r="B306" s="975"/>
      <c r="C306" s="813"/>
      <c r="D306" s="813"/>
      <c r="E306" s="813"/>
      <c r="F306" s="974" t="n">
        <f aca="false">D306*E306</f>
        <v>0</v>
      </c>
      <c r="G306" s="32"/>
      <c r="H306" s="1017"/>
      <c r="I306" s="1017"/>
      <c r="J306" s="813"/>
      <c r="K306" s="591"/>
      <c r="L306" s="591"/>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row>
    <row r="307" ht="20.1" customHeight="1">
      <c r="A307" s="815"/>
      <c r="B307" s="975"/>
      <c r="C307" s="813"/>
      <c r="D307" s="1019"/>
      <c r="E307" s="1019"/>
      <c r="F307" s="974" t="n">
        <f aca="false">D307*E307</f>
        <v>0</v>
      </c>
      <c r="G307" s="32"/>
      <c r="H307" s="1017"/>
      <c r="I307" s="1017"/>
      <c r="J307" s="1030"/>
      <c r="K307" s="591"/>
      <c r="L307" s="591"/>
      <c r="M307"/>
      <c r="N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row>
    <row r="308" ht="20.1" customHeight="1">
      <c r="A308"/>
      <c r="B308" s="1016"/>
      <c r="C308" s="813"/>
      <c r="D308" s="813"/>
      <c r="E308" s="813"/>
      <c r="F308" s="974" t="n">
        <f aca="false">D308*E308</f>
        <v>0</v>
      </c>
      <c r="G308" s="32"/>
      <c r="H308" s="1017"/>
      <c r="I308" s="1017"/>
      <c r="J308" s="813"/>
      <c r="K308" s="591"/>
      <c r="L308" s="591"/>
      <c r="M308"/>
      <c r="N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row>
    <row r="309" ht="20.1" customHeight="1">
      <c r="A309" s="43"/>
      <c r="B309" s="1016"/>
      <c r="C309" s="813"/>
      <c r="D309" s="813"/>
      <c r="E309" s="813"/>
      <c r="F309" s="974" t="n">
        <f aca="false">D309*E309</f>
        <v>0</v>
      </c>
      <c r="G309" s="32"/>
      <c r="H309" s="1017"/>
      <c r="I309" s="1017"/>
      <c r="J309" s="813"/>
      <c r="K309" s="591"/>
      <c r="L309" s="591"/>
      <c r="M309"/>
      <c r="N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row>
    <row r="310" ht="20.1" customHeight="1">
      <c r="A310" s="1031" t="s">
        <v>370</v>
      </c>
      <c r="B310" s="833"/>
      <c r="C310" s="983"/>
      <c r="D310" s="813" t="n">
        <v>3</v>
      </c>
      <c r="E310" s="983"/>
      <c r="F310" s="983"/>
      <c r="G310" s="983"/>
      <c r="H310" s="983"/>
      <c r="I310" s="775"/>
      <c r="J310" s="1032"/>
      <c r="K310" s="983"/>
      <c r="L310" s="1032"/>
      <c r="M310"/>
      <c r="N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row>
    <row r="311" ht="20.1" customHeight="1">
      <c r="A311" s="1033"/>
      <c r="B311" s="1033"/>
      <c r="C311" s="1033"/>
      <c r="D311" s="1033"/>
      <c r="E311" s="815"/>
      <c r="F311" s="815"/>
      <c r="G311" s="815"/>
      <c r="H311" s="815"/>
      <c r="I311" s="815"/>
      <c r="J311"/>
      <c r="K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row>
    <row r="312" ht="20.1" customHeight="1">
      <c r="A312" s="1033"/>
      <c r="B312" s="1033"/>
      <c r="C312" s="1033"/>
      <c r="D312" s="1033"/>
      <c r="E312" s="1033"/>
      <c r="F312" s="1033"/>
      <c r="G312" s="821"/>
      <c r="H312" s="499" t="s">
        <v>1187</v>
      </c>
      <c r="I312" s="589" t="n">
        <f aca="false">SUM(F265:F280,F282:F287,F289:F292,F294:F295,F297:F303,F305:F310)</f>
        <v>350.4</v>
      </c>
      <c r="J312" s="1033"/>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row>
    <row r="313" ht="20.1" customHeight="1">
      <c r="A313" s="1033"/>
      <c r="B313" s="1033"/>
      <c r="C313" s="1033"/>
      <c r="D313" s="1033"/>
      <c r="E313" s="1033"/>
      <c r="F313" s="1033"/>
      <c r="G313" s="821"/>
      <c r="H313" s="499" t="s">
        <v>1188</v>
      </c>
      <c r="I313" s="589" t="n">
        <f aca="false">SUM(J265:J310)</f>
        <v>350.4</v>
      </c>
      <c r="J313" s="103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row>
    <row r="314" ht="20.1" customHeight="1">
      <c r="A314" s="1033"/>
      <c r="B314" s="1033"/>
      <c r="C314" s="1033"/>
      <c r="D314" s="1033"/>
      <c r="E314" s="1033"/>
      <c r="F314" s="1033"/>
      <c r="G314" s="821"/>
      <c r="H314" s="499" t="s">
        <v>1189</v>
      </c>
      <c r="I314" s="589" t="n">
        <f aca="false">SUM(G265:G310)</f>
        <v>3.63</v>
      </c>
      <c r="J314" s="1033"/>
      <c r="L314" s="103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row>
    <row r="315" ht="20.1" customHeight="1">
      <c r="A315" s="1033"/>
      <c r="B315" s="1033"/>
      <c r="C315" s="1033"/>
      <c r="D315" s="1033"/>
      <c r="E315" s="1035"/>
      <c r="F315" s="1035"/>
      <c r="G315" s="821"/>
      <c r="H315" s="499" t="s">
        <v>1190</v>
      </c>
      <c r="I315" s="589" t="n">
        <f aca="false">I312-I313+I314</f>
        <v>3.63</v>
      </c>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row>
    <row r="316" ht="20.1" customHeight="1">
      <c r="A316" s="821"/>
      <c r="B316" s="821"/>
      <c r="C316"/>
      <c r="D316" s="1036"/>
      <c r="E316" s="1035"/>
      <c r="F316" s="1035"/>
      <c r="G316" s="821"/>
      <c r="H316" s="499"/>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row>
    <row r="317" ht="20.1" customHeight="1">
      <c r="A317" s="885"/>
      <c r="B317" s="885"/>
      <c r="C317" s="401"/>
      <c r="D317" s="401"/>
      <c r="E317" s="401"/>
      <c r="F317" s="401"/>
      <c r="G317" s="401"/>
      <c r="H317" s="401"/>
      <c r="I317" s="401"/>
      <c r="J317" s="809"/>
    </row>
    <row r="318" ht="20.1" customHeight="1">
      <c r="A318" s="885"/>
      <c r="B318" s="885"/>
      <c r="C318" s="401"/>
      <c r="D318" s="401"/>
      <c r="E318" s="401"/>
      <c r="F318" s="401"/>
      <c r="G318" s="401"/>
      <c r="H318" s="401"/>
      <c r="I318" s="401"/>
      <c r="J318" s="809"/>
    </row>
    <row r="319" ht="19.5" customHeight="1">
      <c r="A319" s="806" t="s">
        <v>1191</v>
      </c>
      <c r="D319" s="807"/>
      <c r="E319" s="807"/>
      <c r="F319" s="807"/>
      <c r="G319" s="807"/>
      <c r="J319"/>
      <c r="L319" t="s">
        <v>1192</v>
      </c>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row>
    <row r="320" ht="19.5" customHeight="1">
      <c r="B320" s="1037" t="s">
        <v>1193</v>
      </c>
      <c r="C320" s="1037"/>
      <c r="D320" s="1037"/>
      <c r="E320" s="1037"/>
      <c r="J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row>
    <row r="321" ht="42.75" customHeight="1">
      <c r="A321" s="840" t="s">
        <v>1194</v>
      </c>
      <c r="B321" s="27" t="s">
        <v>1195</v>
      </c>
      <c r="C321" s="27"/>
      <c r="D321" s="1038" t="s">
        <v>1196</v>
      </c>
      <c r="E321" s="1038"/>
      <c r="F321" s="725" t="s">
        <v>1197</v>
      </c>
      <c r="G321" s="1039" t="s">
        <v>1198</v>
      </c>
      <c r="H321" s="1039"/>
      <c r="I321" s="1039"/>
      <c r="J321" s="1039"/>
      <c r="K321" s="835" t="s">
        <v>1199</v>
      </c>
      <c r="L321" s="543" t="n">
        <f aca="false">SUMIF(K322:K327,"O",F322:F327)</f>
        <v>73</v>
      </c>
      <c r="M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row>
    <row r="322" ht="20.1" customHeight="1">
      <c r="A322" s="1040" t="s">
        <v>1200</v>
      </c>
      <c r="B322" s="1041" t="s">
        <v>1201</v>
      </c>
      <c r="C322" s="1041"/>
      <c r="D322" s="1041" t="s">
        <v>253</v>
      </c>
      <c r="E322" s="1041"/>
      <c r="F322" s="1042" t="n">
        <v>39</v>
      </c>
      <c r="G322" s="1043" t="s">
        <v>1202</v>
      </c>
      <c r="H322" s="1043"/>
      <c r="I322" s="1043"/>
      <c r="J322" s="1043"/>
      <c r="K322" s="1044" t="str">
        <f aca="false">IF(B322="rotation courte (=&lt;3 ans)","O",IF(D322="oui","O","N"))</f>
        <v>O</v>
      </c>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row>
    <row r="323" ht="20.1" customHeight="1">
      <c r="A323" s="1040" t="s">
        <v>1203</v>
      </c>
      <c r="B323" s="1041" t="s">
        <v>1201</v>
      </c>
      <c r="C323" s="1041"/>
      <c r="D323" s="1041" t="s">
        <v>254</v>
      </c>
      <c r="E323" s="1041"/>
      <c r="F323" s="1042" t="n">
        <v>30</v>
      </c>
      <c r="G323" s="1043" t="s">
        <v>1204</v>
      </c>
      <c r="H323" s="1043"/>
      <c r="I323" s="1043"/>
      <c r="J323" s="1043"/>
      <c r="K323" s="1044" t="str">
        <f aca="false">IF(B323="rotation courte (=&lt;3 ans)","O",IF(D323="oui","O","N"))</f>
        <v>O</v>
      </c>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row>
    <row r="324" ht="20.1" customHeight="1">
      <c r="A324" s="1040" t="s">
        <v>1205</v>
      </c>
      <c r="B324" s="1041" t="s">
        <v>1201</v>
      </c>
      <c r="C324" s="1041"/>
      <c r="D324" s="1041" t="s">
        <v>254</v>
      </c>
      <c r="E324" s="1041"/>
      <c r="F324" s="1042" t="n">
        <v>4</v>
      </c>
      <c r="G324" s="1043" t="s">
        <v>1206</v>
      </c>
      <c r="H324" s="1043"/>
      <c r="I324" s="1043"/>
      <c r="J324" s="1043"/>
      <c r="K324" s="1044" t="str">
        <f aca="false">IF(B324="rotation courte (=&lt;3 ans)","O",IF(D324="oui","O","N"))</f>
        <v>O</v>
      </c>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row>
    <row r="325" ht="20.1" customHeight="1">
      <c r="A325" s="1040" t="s">
        <v>1207</v>
      </c>
      <c r="B325" s="1041"/>
      <c r="C325" s="1041"/>
      <c r="D325" s="1041"/>
      <c r="E325" s="1041"/>
      <c r="F325" s="1042"/>
      <c r="G325" s="1043"/>
      <c r="H325" s="1043"/>
      <c r="I325" s="1043"/>
      <c r="J325" s="1043"/>
      <c r="K325" s="1044" t="str">
        <f aca="false">IF(B325="rotation courte (=&lt;3 ans)","O",IF(D325="oui","O","N"))</f>
        <v>N</v>
      </c>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row>
    <row r="326" ht="20.1" customHeight="1">
      <c r="A326" s="1040" t="s">
        <v>1208</v>
      </c>
      <c r="B326" s="1041"/>
      <c r="C326" s="1041"/>
      <c r="D326" s="1041"/>
      <c r="E326" s="1041"/>
      <c r="F326" s="1042"/>
      <c r="G326" s="1043"/>
      <c r="H326" s="1043"/>
      <c r="I326" s="1043"/>
      <c r="J326" s="1043"/>
      <c r="K326" s="1044" t="str">
        <f aca="false">IF(B326="rotation courte (=&lt;3 ans)","O",IF(D326="oui","O","N"))</f>
        <v>N</v>
      </c>
      <c r="N326" s="819"/>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row>
    <row r="327" ht="20.1" customHeight="1">
      <c r="A327" s="1045" t="s">
        <v>1209</v>
      </c>
      <c r="B327" s="1046"/>
      <c r="C327" s="1046"/>
      <c r="D327" s="1046"/>
      <c r="E327" s="1046"/>
      <c r="F327" s="1047"/>
      <c r="G327" s="1048"/>
      <c r="H327" s="1048"/>
      <c r="I327" s="1048"/>
      <c r="J327" s="1048"/>
      <c r="K327" s="1044" t="str">
        <f aca="false">IF(B327="rotation courte (=&lt;3 ans)","O",IF(D327="oui","O","N"))</f>
        <v>N</v>
      </c>
      <c r="N327" s="819"/>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row>
    <row r="328" ht="20.1" customHeight="1">
      <c r="A328" s="1049"/>
      <c r="B328" s="889"/>
      <c r="C328" s="889"/>
      <c r="D328" s="1050"/>
      <c r="E328" s="1051"/>
      <c r="F328" s="1051"/>
      <c r="G328" s="1051"/>
      <c r="H328" s="1051"/>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ht="20.1" customHeight="1">
      <c r="A329" s="1049"/>
      <c r="B329" s="889"/>
      <c r="C329" s="889"/>
      <c r="D329" s="1050"/>
      <c r="E329" s="1051"/>
      <c r="F329" s="1051"/>
      <c r="G329" s="1051"/>
      <c r="H329" s="1051"/>
    </row>
    <row r="330" ht="20.1" customHeight="1">
      <c r="A330" s="1049"/>
      <c r="B330" s="889"/>
      <c r="C330" s="889"/>
      <c r="D330" s="1050"/>
      <c r="E330" s="1051"/>
      <c r="F330" s="1051"/>
      <c r="G330" s="1051"/>
      <c r="H330" s="1051"/>
    </row>
    <row r="331" ht="20.1" customHeight="1">
      <c r="A331"/>
      <c r="B331"/>
      <c r="C331"/>
      <c r="D331"/>
      <c r="E331"/>
      <c r="F331"/>
      <c r="G331"/>
      <c r="H331"/>
      <c r="J331" s="934"/>
      <c r="K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ht="20.1" customHeight="1">
      <c r="A332" s="1052"/>
      <c r="B332" s="810" t="s">
        <v>1210</v>
      </c>
      <c r="J332" s="934"/>
      <c r="L332" s="9" t="s">
        <v>1211</v>
      </c>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ht="20.1" customHeight="1">
      <c r="A333" s="836"/>
      <c r="B333" s="812"/>
      <c r="C333" s="1052"/>
      <c r="D333" s="807"/>
      <c r="E333" s="465"/>
      <c r="F333" s="807"/>
      <c r="G333" s="807"/>
      <c r="J333" s="934"/>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ht="60" customHeight="1">
      <c r="A334" s="1053" t="s">
        <v>416</v>
      </c>
      <c r="B334" s="1054" t="s">
        <v>1212</v>
      </c>
      <c r="C334" s="1054" t="s">
        <v>1213</v>
      </c>
      <c r="D334" s="1054" t="s">
        <v>1214</v>
      </c>
      <c r="E334" s="905" t="s">
        <v>1215</v>
      </c>
      <c r="F334" s="1007" t="s">
        <v>406</v>
      </c>
      <c r="G334" s="1007" t="s">
        <v>1216</v>
      </c>
      <c r="H334" s="905" t="s">
        <v>1217</v>
      </c>
      <c r="I334" s="905" t="s">
        <v>1218</v>
      </c>
      <c r="J334" s="1007" t="s">
        <v>1219</v>
      </c>
      <c r="K334" s="4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ht="39.75" customHeight="1">
      <c r="A335" s="1055"/>
      <c r="B335" s="757" t="s">
        <v>1220</v>
      </c>
      <c r="C335" s="757" t="s">
        <v>1220</v>
      </c>
      <c r="D335" s="757" t="s">
        <v>1220</v>
      </c>
      <c r="E335" s="757" t="s">
        <v>1220</v>
      </c>
      <c r="F335" s="757" t="s">
        <v>1221</v>
      </c>
      <c r="G335" s="1056" t="s">
        <v>1222</v>
      </c>
      <c r="H335" s="757" t="s">
        <v>1223</v>
      </c>
      <c r="I335" s="757" t="s">
        <v>551</v>
      </c>
      <c r="J335" s="910" t="s">
        <v>551</v>
      </c>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ht="26.25" customHeight="1">
      <c r="A336" s="1057" t="s">
        <v>418</v>
      </c>
      <c r="B336" s="813"/>
      <c r="C336" s="813"/>
      <c r="D336" s="813"/>
      <c r="E336" s="543" t="n">
        <f aca="false">B336-C336+D336</f>
        <v>0</v>
      </c>
      <c r="F336" s="858" t="n">
        <v>5.8</v>
      </c>
      <c r="G336" s="858" t="n">
        <v>0.15</v>
      </c>
      <c r="H336" s="543" t="n">
        <f aca="false">E336*F336</f>
        <v>0</v>
      </c>
      <c r="I336" s="543" t="n">
        <f aca="false">H336*G336</f>
        <v>0</v>
      </c>
      <c r="J336" s="1058" t="n">
        <f aca="false">D336*F336*G336</f>
        <v>0</v>
      </c>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ht="20.1" customHeight="1">
      <c r="A337" s="1059" t="s">
        <v>419</v>
      </c>
      <c r="B337" s="813"/>
      <c r="C337" s="813"/>
      <c r="D337" s="813"/>
      <c r="E337" s="543" t="n">
        <f aca="false">B337-C337+D337</f>
        <v>0</v>
      </c>
      <c r="F337" s="858" t="n">
        <v>5</v>
      </c>
      <c r="G337" s="858" t="n">
        <v>0.15</v>
      </c>
      <c r="H337" s="543" t="n">
        <f aca="false">E337*F337</f>
        <v>0</v>
      </c>
      <c r="I337" s="543" t="n">
        <f aca="false">H337*G337</f>
        <v>0</v>
      </c>
      <c r="J337" s="1058" t="n">
        <f aca="false">D337*F337*G337</f>
        <v>0</v>
      </c>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ht="20.1" customHeight="1">
      <c r="A338" s="1059" t="s">
        <v>420</v>
      </c>
      <c r="B338" s="813"/>
      <c r="C338" s="813"/>
      <c r="D338" s="813"/>
      <c r="E338" s="543" t="n">
        <f aca="false">B338-C338+D338</f>
        <v>0</v>
      </c>
      <c r="F338" s="858" t="n">
        <v>5.1</v>
      </c>
      <c r="G338" s="858" t="n">
        <v>0.15</v>
      </c>
      <c r="H338" s="543" t="n">
        <f aca="false">E338*F338</f>
        <v>0</v>
      </c>
      <c r="I338" s="543" t="n">
        <f aca="false">H338*G338</f>
        <v>0</v>
      </c>
      <c r="J338" s="1058" t="n">
        <f aca="false">D338*F338*G338</f>
        <v>0</v>
      </c>
      <c r="M338" s="819"/>
    </row>
    <row r="339" ht="20.1" customHeight="1">
      <c r="A339" s="1059" t="s">
        <v>421</v>
      </c>
      <c r="B339" s="813"/>
      <c r="C339" s="813"/>
      <c r="D339" s="813"/>
      <c r="E339" s="543" t="n">
        <f aca="false">B339-C339+D339</f>
        <v>0</v>
      </c>
      <c r="F339" s="858" t="n">
        <v>5.2</v>
      </c>
      <c r="G339" s="858" t="n">
        <v>0.55</v>
      </c>
      <c r="H339" s="543" t="n">
        <f aca="false">E339*F339</f>
        <v>0</v>
      </c>
      <c r="I339" s="543" t="n">
        <f aca="false">H339*G339</f>
        <v>0</v>
      </c>
      <c r="J339" s="1058" t="n">
        <f aca="false">D339*F339*G339</f>
        <v>0</v>
      </c>
      <c r="M339" s="819"/>
    </row>
    <row r="340" ht="20.1" customHeight="1">
      <c r="A340" s="1059" t="s">
        <v>422</v>
      </c>
      <c r="B340" s="813"/>
      <c r="C340" s="813"/>
      <c r="D340" s="813"/>
      <c r="E340" s="543" t="n">
        <f aca="false">B340-C340+D340</f>
        <v>0</v>
      </c>
      <c r="F340" s="858" t="n">
        <v>3.5</v>
      </c>
      <c r="G340" s="858" t="n">
        <v>0.55</v>
      </c>
      <c r="H340" s="543" t="n">
        <f aca="false">E340*F340</f>
        <v>0</v>
      </c>
      <c r="I340" s="543" t="n">
        <f aca="false">H340*G340</f>
        <v>0</v>
      </c>
      <c r="J340" s="1058" t="n">
        <f aca="false">D340*F340*G340</f>
        <v>0</v>
      </c>
      <c r="M340" s="819"/>
    </row>
    <row r="341" ht="20.1" customHeight="1">
      <c r="A341" s="1059" t="s">
        <v>423</v>
      </c>
      <c r="B341" s="813"/>
      <c r="C341" s="813"/>
      <c r="D341" s="813"/>
      <c r="E341" s="543" t="n">
        <f aca="false">B341-C341+D341</f>
        <v>0</v>
      </c>
      <c r="F341" s="858" t="n">
        <v>2.7</v>
      </c>
      <c r="G341" s="858" t="n">
        <v>0.55</v>
      </c>
      <c r="H341" s="543" t="n">
        <f aca="false">E341*F341</f>
        <v>0</v>
      </c>
      <c r="I341" s="543" t="n">
        <f aca="false">H341*G341</f>
        <v>0</v>
      </c>
      <c r="J341" s="1058" t="n">
        <f aca="false">D341*F341*G341</f>
        <v>0</v>
      </c>
      <c r="M341" s="819"/>
    </row>
    <row r="342" ht="20.1" customHeight="1">
      <c r="A342" s="1059" t="s">
        <v>424</v>
      </c>
      <c r="B342" s="813"/>
      <c r="C342" s="813"/>
      <c r="D342" s="813"/>
      <c r="E342" s="543" t="n">
        <f aca="false">B342-C342+D342</f>
        <v>0</v>
      </c>
      <c r="F342" s="858" t="n">
        <v>1.6</v>
      </c>
      <c r="G342" s="858" t="n">
        <v>0.55</v>
      </c>
      <c r="H342" s="543" t="n">
        <f aca="false">E342*F342</f>
        <v>0</v>
      </c>
      <c r="I342" s="543" t="n">
        <f aca="false">H342*G342</f>
        <v>0</v>
      </c>
      <c r="J342" s="1058" t="n">
        <f aca="false">D342*F342*G342</f>
        <v>0</v>
      </c>
      <c r="M342" s="819"/>
    </row>
    <row r="343" ht="20.1" customHeight="1">
      <c r="A343" s="1059" t="s">
        <v>425</v>
      </c>
      <c r="B343" s="813"/>
      <c r="C343" s="813"/>
      <c r="D343" s="813"/>
      <c r="E343" s="543" t="n">
        <f aca="false">B343-C343+D343</f>
        <v>0</v>
      </c>
      <c r="F343" s="858" t="n">
        <v>3</v>
      </c>
      <c r="G343" s="858" t="n">
        <v>0.55</v>
      </c>
      <c r="H343" s="543" t="n">
        <f aca="false">E343*F343</f>
        <v>0</v>
      </c>
      <c r="I343" s="543" t="n">
        <f aca="false">H343*G343</f>
        <v>0</v>
      </c>
      <c r="J343" s="1058" t="n">
        <f aca="false">D343*F343*G343</f>
        <v>0</v>
      </c>
      <c r="M343" s="819"/>
    </row>
    <row r="344" ht="26.25" customHeight="1">
      <c r="A344" s="1057" t="s">
        <v>426</v>
      </c>
      <c r="B344" s="813"/>
      <c r="C344" s="813"/>
      <c r="D344" s="813"/>
      <c r="E344" s="543" t="n">
        <f aca="false">B344-C344+D344</f>
        <v>0</v>
      </c>
      <c r="F344" s="858" t="n">
        <v>0.4</v>
      </c>
      <c r="G344" s="858" t="n">
        <v>0.55</v>
      </c>
      <c r="H344" s="543" t="n">
        <f aca="false">E344*F344</f>
        <v>0</v>
      </c>
      <c r="I344" s="543" t="n">
        <f aca="false">H344*G344</f>
        <v>0</v>
      </c>
      <c r="J344" s="1058" t="n">
        <f aca="false">D344*F344*G344</f>
        <v>0</v>
      </c>
      <c r="M344" s="819"/>
    </row>
    <row r="345" ht="20.1" customHeight="1">
      <c r="A345" s="1059" t="s">
        <v>427</v>
      </c>
      <c r="B345" s="813"/>
      <c r="C345" s="813"/>
      <c r="D345" s="813"/>
      <c r="E345" s="543"/>
      <c r="F345" s="858" t="n">
        <v>6.8</v>
      </c>
      <c r="G345" s="813"/>
      <c r="H345" s="543" t="n">
        <f aca="false">E345*F345</f>
        <v>0</v>
      </c>
      <c r="I345" s="543" t="n">
        <f aca="false">H345*G345</f>
        <v>0</v>
      </c>
      <c r="J345" s="1058" t="n">
        <f aca="false">D345*F345*G345</f>
        <v>0</v>
      </c>
      <c r="K345"/>
      <c r="L345" t="s">
        <v>1224</v>
      </c>
      <c r="M345" s="819"/>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ht="20.1" customHeight="1">
      <c r="A346" s="1060" t="s">
        <v>1225</v>
      </c>
      <c r="B346" s="813" t="n">
        <v>300</v>
      </c>
      <c r="C346" s="813" t="n">
        <v>0</v>
      </c>
      <c r="D346" s="813" t="n">
        <v>0</v>
      </c>
      <c r="E346" s="543" t="n">
        <f aca="false">B346-C346+D346</f>
        <v>300</v>
      </c>
      <c r="F346" s="858" t="n">
        <v>1.8</v>
      </c>
      <c r="G346" s="813" t="n">
        <v>0.7</v>
      </c>
      <c r="H346" s="543" t="n">
        <f aca="false">E346*F346</f>
        <v>540</v>
      </c>
      <c r="I346" s="543" t="n">
        <f aca="false">H346*G346</f>
        <v>378</v>
      </c>
      <c r="J346" s="1058" t="n">
        <f aca="false">D346*F346*G346</f>
        <v>0</v>
      </c>
      <c r="K346"/>
      <c r="L346" s="1061" t="s">
        <v>1226</v>
      </c>
      <c r="M346" s="819"/>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row r="347" ht="20.1" customHeight="1">
      <c r="A347" s="1059" t="s">
        <v>428</v>
      </c>
      <c r="B347" s="813"/>
      <c r="C347" s="813"/>
      <c r="D347" s="813"/>
      <c r="E347" s="543" t="n">
        <f aca="false">B347-C347+D347</f>
        <v>0</v>
      </c>
      <c r="F347" s="858" t="n">
        <v>22</v>
      </c>
      <c r="G347" s="858" t="n">
        <v>0.7</v>
      </c>
      <c r="H347" s="543" t="n">
        <f aca="false">E347*F347</f>
        <v>0</v>
      </c>
      <c r="I347" s="543" t="n">
        <f aca="false">H347*G347</f>
        <v>0</v>
      </c>
      <c r="J347" s="1058" t="n">
        <f aca="false">D347*F347*G347</f>
        <v>0</v>
      </c>
      <c r="K347"/>
      <c r="L347"/>
      <c r="M347" s="819"/>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row>
    <row r="348" ht="20.1" customHeight="1">
      <c r="A348" s="1059" t="s">
        <v>429</v>
      </c>
      <c r="B348" s="813"/>
      <c r="C348" s="813"/>
      <c r="D348" s="813"/>
      <c r="E348" s="543" t="n">
        <f aca="false">B348-C348+D348</f>
        <v>0</v>
      </c>
      <c r="F348" s="858" t="n">
        <v>40</v>
      </c>
      <c r="G348" s="858" t="n">
        <v>0.7</v>
      </c>
      <c r="H348" s="543" t="n">
        <f aca="false">E348*F348</f>
        <v>0</v>
      </c>
      <c r="I348" s="543" t="n">
        <f aca="false">H348*G348</f>
        <v>0</v>
      </c>
      <c r="J348" s="1058" t="n">
        <f aca="false">D348*F348*G348</f>
        <v>0</v>
      </c>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row>
    <row r="349" ht="20.1" customHeight="1">
      <c r="A349" s="1059" t="s">
        <v>430</v>
      </c>
      <c r="B349" s="813"/>
      <c r="C349" s="813"/>
      <c r="D349" s="813"/>
      <c r="E349" s="543" t="n">
        <f aca="false">B349-C349+D349</f>
        <v>0</v>
      </c>
      <c r="F349" s="858" t="n">
        <v>22</v>
      </c>
      <c r="G349" s="858" t="n">
        <v>0.7</v>
      </c>
      <c r="H349" s="543" t="n">
        <f aca="false">E349*F349</f>
        <v>0</v>
      </c>
      <c r="I349" s="543" t="n">
        <f aca="false">H349*G349</f>
        <v>0</v>
      </c>
      <c r="J349" s="1058" t="n">
        <f aca="false">D349*F349*G349</f>
        <v>0</v>
      </c>
      <c r="L349"/>
      <c r="M349"/>
      <c r="N349"/>
      <c r="O349" s="44"/>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row>
    <row r="350" ht="30" customHeight="1">
      <c r="A350" s="1057" t="s">
        <v>431</v>
      </c>
      <c r="B350" s="813"/>
      <c r="C350" s="813"/>
      <c r="D350" s="813"/>
      <c r="E350" s="543" t="n">
        <f aca="false">B350-C350+D350</f>
        <v>0</v>
      </c>
      <c r="F350" s="858" t="n">
        <v>9.6</v>
      </c>
      <c r="G350" s="858" t="n">
        <v>0.7</v>
      </c>
      <c r="H350" s="543" t="n">
        <f aca="false">E350*F350</f>
        <v>0</v>
      </c>
      <c r="I350" s="543" t="n">
        <f aca="false">H350*G350</f>
        <v>0</v>
      </c>
      <c r="J350" s="1058" t="n">
        <f aca="false">D350*F350*G350</f>
        <v>0</v>
      </c>
      <c r="L350"/>
      <c r="M350"/>
      <c r="N350"/>
      <c r="O350" s="44"/>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row>
    <row r="351" ht="26.25" customHeight="1">
      <c r="A351" s="1057" t="s">
        <v>432</v>
      </c>
      <c r="B351" s="813"/>
      <c r="C351" s="813"/>
      <c r="D351" s="813"/>
      <c r="E351" s="543" t="n">
        <f aca="false">B351-C351+D351</f>
        <v>0</v>
      </c>
      <c r="F351" s="858" t="n">
        <v>4.3</v>
      </c>
      <c r="G351" s="858" t="n">
        <v>0.7</v>
      </c>
      <c r="H351" s="543" t="n">
        <f aca="false">E351*F351</f>
        <v>0</v>
      </c>
      <c r="I351" s="543" t="n">
        <f aca="false">H351*G351</f>
        <v>0</v>
      </c>
      <c r="J351" s="1058" t="n">
        <f aca="false">D351*F351*G351</f>
        <v>0</v>
      </c>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row>
    <row r="352" ht="37.5" customHeight="1">
      <c r="A352" s="1057" t="s">
        <v>433</v>
      </c>
      <c r="B352" s="813"/>
      <c r="C352" s="813"/>
      <c r="D352" s="813"/>
      <c r="E352" s="543" t="n">
        <f aca="false">B352-C352+D352</f>
        <v>0</v>
      </c>
      <c r="F352" s="858" t="n">
        <v>7.2</v>
      </c>
      <c r="G352" s="858" t="n">
        <v>0.15</v>
      </c>
      <c r="H352" s="543" t="n">
        <f aca="false">E352*F352</f>
        <v>0</v>
      </c>
      <c r="I352" s="543" t="n">
        <f aca="false">H352*G352</f>
        <v>0</v>
      </c>
      <c r="J352" s="1058" t="n">
        <f aca="false">D352*F352*G352</f>
        <v>0</v>
      </c>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row>
    <row r="353" ht="20.1" customHeight="1">
      <c r="A353" s="1057" t="s">
        <v>434</v>
      </c>
      <c r="B353" s="813"/>
      <c r="C353" s="813"/>
      <c r="D353" s="813"/>
      <c r="E353" s="543" t="n">
        <f aca="false">B353-C353+D353</f>
        <v>0</v>
      </c>
      <c r="F353" s="858" t="n">
        <v>9.1</v>
      </c>
      <c r="G353" s="858" t="n">
        <v>0.15</v>
      </c>
      <c r="H353" s="543" t="n">
        <f aca="false">E353*F353</f>
        <v>0</v>
      </c>
      <c r="I353" s="543" t="n">
        <f aca="false">H353*G353</f>
        <v>0</v>
      </c>
      <c r="J353" s="1058" t="n">
        <f aca="false">D353*F353*G353</f>
        <v>0</v>
      </c>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row>
    <row r="354" ht="20.1" customHeight="1">
      <c r="A354" s="1057" t="s">
        <v>435</v>
      </c>
      <c r="B354" s="813"/>
      <c r="C354" s="813"/>
      <c r="D354" s="813"/>
      <c r="E354" s="543" t="n">
        <f aca="false">B354-C354+D354</f>
        <v>0</v>
      </c>
      <c r="F354" s="858" t="n">
        <v>6</v>
      </c>
      <c r="G354" s="813"/>
      <c r="H354" s="543" t="n">
        <f aca="false">E354*F354</f>
        <v>0</v>
      </c>
      <c r="I354" s="543" t="n">
        <f aca="false">H354*G354</f>
        <v>0</v>
      </c>
      <c r="J354" s="1058" t="n">
        <f aca="false">D354*F354*G354</f>
        <v>0</v>
      </c>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row>
    <row r="355" ht="20.1" customHeight="1">
      <c r="A355" s="1057" t="s">
        <v>436</v>
      </c>
      <c r="B355" s="813"/>
      <c r="C355" s="813"/>
      <c r="D355" s="813"/>
      <c r="E355" s="543" t="n">
        <f aca="false">B355-C355+D355</f>
        <v>0</v>
      </c>
      <c r="F355" s="858" t="n">
        <v>2</v>
      </c>
      <c r="G355" s="813"/>
      <c r="H355" s="543" t="n">
        <f aca="false">E355*F355</f>
        <v>0</v>
      </c>
      <c r="I355" s="543" t="n">
        <f aca="false">H355*G355</f>
        <v>0</v>
      </c>
      <c r="J355" s="1058" t="n">
        <f aca="false">D355*F355*G355</f>
        <v>0</v>
      </c>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row>
    <row r="356" ht="20.1" customHeight="1">
      <c r="A356" s="1057" t="s">
        <v>437</v>
      </c>
      <c r="B356" s="813"/>
      <c r="C356" s="813"/>
      <c r="D356" s="813"/>
      <c r="E356" s="543" t="n">
        <f aca="false">B356-C356+D356</f>
        <v>0</v>
      </c>
      <c r="F356" s="858" t="n">
        <v>5.5</v>
      </c>
      <c r="G356" s="813"/>
      <c r="H356" s="543" t="n">
        <f aca="false">E356*F356</f>
        <v>0</v>
      </c>
      <c r="I356" s="543" t="n">
        <f aca="false">H356*G356</f>
        <v>0</v>
      </c>
      <c r="J356" s="1058" t="n">
        <f aca="false">D356*F356*G356</f>
        <v>0</v>
      </c>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row>
    <row r="357" ht="31.5" customHeight="1">
      <c r="A357" s="1057" t="s">
        <v>438</v>
      </c>
      <c r="B357" s="813"/>
      <c r="C357" s="813"/>
      <c r="D357" s="813"/>
      <c r="E357" s="543" t="n">
        <f aca="false">B357-C357+D357</f>
        <v>0</v>
      </c>
      <c r="F357" s="858" t="n">
        <v>18</v>
      </c>
      <c r="G357" s="813"/>
      <c r="H357" s="543" t="n">
        <f aca="false">E357*F357</f>
        <v>0</v>
      </c>
      <c r="I357" s="543" t="n">
        <f aca="false">H357*G357</f>
        <v>0</v>
      </c>
      <c r="J357" s="1058" t="n">
        <f aca="false">D357*F357*G357</f>
        <v>0</v>
      </c>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row>
    <row r="358" ht="20.1" customHeight="1">
      <c r="A358" s="1057" t="s">
        <v>439</v>
      </c>
      <c r="B358" s="813"/>
      <c r="C358" s="813"/>
      <c r="D358" s="813"/>
      <c r="E358" s="543" t="n">
        <f aca="false">B358-C358+D358</f>
        <v>0</v>
      </c>
      <c r="F358" s="858" t="n">
        <v>8</v>
      </c>
      <c r="G358" s="813"/>
      <c r="H358" s="543" t="n">
        <f aca="false">E358*F358</f>
        <v>0</v>
      </c>
      <c r="I358" s="543" t="n">
        <f aca="false">H358*G358</f>
        <v>0</v>
      </c>
      <c r="J358" s="1058" t="n">
        <f aca="false">D358*F358*G358</f>
        <v>0</v>
      </c>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row>
    <row r="359" ht="26.25" customHeight="1">
      <c r="A359" s="1057" t="s">
        <v>440</v>
      </c>
      <c r="B359" s="813"/>
      <c r="C359" s="813"/>
      <c r="D359" s="813"/>
      <c r="E359" s="543" t="n">
        <f aca="false">B359-C359+D359</f>
        <v>0</v>
      </c>
      <c r="F359" s="858" t="n">
        <v>20</v>
      </c>
      <c r="G359" s="813"/>
      <c r="H359" s="543" t="n">
        <f aca="false">E359*F359</f>
        <v>0</v>
      </c>
      <c r="I359" s="543" t="n">
        <f aca="false">H359*G359</f>
        <v>0</v>
      </c>
      <c r="J359" s="1058" t="n">
        <f aca="false">D359*F359*G359</f>
        <v>0</v>
      </c>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row>
    <row r="360" ht="26.25" customHeight="1">
      <c r="A360" s="1057" t="s">
        <v>441</v>
      </c>
      <c r="B360" s="813"/>
      <c r="C360" s="813"/>
      <c r="D360" s="813"/>
      <c r="E360" s="543" t="n">
        <f aca="false">B360-C360+D360</f>
        <v>0</v>
      </c>
      <c r="F360" s="858" t="n">
        <v>15</v>
      </c>
      <c r="G360" s="813"/>
      <c r="H360" s="543" t="n">
        <f aca="false">E360*F360</f>
        <v>0</v>
      </c>
      <c r="I360" s="543" t="n">
        <f aca="false">H360*G360</f>
        <v>0</v>
      </c>
      <c r="J360" s="1058" t="n">
        <f aca="false">D360*F360*G360</f>
        <v>0</v>
      </c>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row>
    <row r="361" ht="26.25" customHeight="1">
      <c r="A361" s="1057" t="s">
        <v>1227</v>
      </c>
      <c r="B361" s="813"/>
      <c r="C361" s="813"/>
      <c r="D361" s="813"/>
      <c r="E361" s="543" t="n">
        <f aca="false">B361-C361+D361</f>
        <v>0</v>
      </c>
      <c r="F361" s="858" t="n">
        <v>10</v>
      </c>
      <c r="G361" s="813"/>
      <c r="H361" s="543" t="n">
        <f aca="false">E361*F361</f>
        <v>0</v>
      </c>
      <c r="I361" s="543" t="n">
        <f aca="false">H361*G361</f>
        <v>0</v>
      </c>
      <c r="J361" s="1058" t="n">
        <f aca="false">D361*F361*G361</f>
        <v>0</v>
      </c>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row>
    <row r="362" ht="20.1" customHeight="1">
      <c r="A362" s="1057" t="s">
        <v>443</v>
      </c>
      <c r="B362" s="813"/>
      <c r="C362" s="813"/>
      <c r="D362" s="813"/>
      <c r="E362" s="543" t="n">
        <f aca="false">B362-C362+D362</f>
        <v>0</v>
      </c>
      <c r="F362" s="858" t="n">
        <v>6.5</v>
      </c>
      <c r="G362" s="813"/>
      <c r="H362" s="543" t="n">
        <f aca="false">E362*F362</f>
        <v>0</v>
      </c>
      <c r="I362" s="543" t="n">
        <f aca="false">H362*G362</f>
        <v>0</v>
      </c>
      <c r="J362" s="1058" t="n">
        <f aca="false">D362*F362*G362</f>
        <v>0</v>
      </c>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row>
    <row r="363" ht="29.25" customHeight="1">
      <c r="A363" s="1057" t="s">
        <v>444</v>
      </c>
      <c r="B363" s="813"/>
      <c r="C363" s="813"/>
      <c r="D363" s="813"/>
      <c r="E363" s="543" t="n">
        <f aca="false">B363-C363+D363</f>
        <v>0</v>
      </c>
      <c r="F363" s="858" t="n">
        <v>7.6</v>
      </c>
      <c r="G363" s="813"/>
      <c r="H363" s="543" t="n">
        <f aca="false">E363*F363</f>
        <v>0</v>
      </c>
      <c r="I363" s="543" t="n">
        <f aca="false">H363*G363</f>
        <v>0</v>
      </c>
      <c r="J363" s="1058" t="n">
        <f aca="false">D363*F363*G363</f>
        <v>0</v>
      </c>
      <c r="L363"/>
      <c r="M363"/>
      <c r="N363" s="44"/>
      <c r="O363" s="44"/>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row>
    <row r="364" ht="35.25" customHeight="1">
      <c r="A364" s="1057" t="s">
        <v>445</v>
      </c>
      <c r="B364" s="813"/>
      <c r="C364" s="813"/>
      <c r="D364" s="813"/>
      <c r="E364" s="543" t="n">
        <f aca="false">B364-C364+D364</f>
        <v>0</v>
      </c>
      <c r="F364" s="858" t="n">
        <v>11</v>
      </c>
      <c r="G364" s="813"/>
      <c r="H364" s="543" t="n">
        <f aca="false">E364*F364</f>
        <v>0</v>
      </c>
      <c r="I364" s="543" t="n">
        <f aca="false">H364*G364</f>
        <v>0</v>
      </c>
      <c r="J364" s="1058" t="n">
        <f aca="false">D364*F364*G364</f>
        <v>0</v>
      </c>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row>
    <row r="365" ht="20.1" customHeight="1">
      <c r="A365" s="1057" t="s">
        <v>446</v>
      </c>
      <c r="B365" s="813"/>
      <c r="C365" s="813"/>
      <c r="D365" s="813"/>
      <c r="E365" s="543" t="n">
        <f aca="false">B365-C365+D365</f>
        <v>0</v>
      </c>
      <c r="F365" s="858" t="n">
        <v>20</v>
      </c>
      <c r="G365" s="813"/>
      <c r="H365" s="543" t="n">
        <f aca="false">E365*F365</f>
        <v>0</v>
      </c>
      <c r="I365" s="543" t="n">
        <f aca="false">H365*G365</f>
        <v>0</v>
      </c>
      <c r="J365" s="1058" t="n">
        <f aca="false">D365*F365*G365</f>
        <v>0</v>
      </c>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row>
    <row r="366" ht="26.25" customHeight="1">
      <c r="A366" s="1057" t="s">
        <v>1228</v>
      </c>
      <c r="B366" s="813"/>
      <c r="C366" s="813"/>
      <c r="D366" s="813"/>
      <c r="E366" s="543" t="n">
        <f aca="false">B366-C366+D366</f>
        <v>0</v>
      </c>
      <c r="F366" s="858" t="n">
        <v>15</v>
      </c>
      <c r="G366" s="813"/>
      <c r="H366" s="543" t="n">
        <f aca="false">E366*F366</f>
        <v>0</v>
      </c>
      <c r="I366" s="543" t="n">
        <f aca="false">H366*G366</f>
        <v>0</v>
      </c>
      <c r="J366" s="1058" t="n">
        <f aca="false">D366*F366*G366</f>
        <v>0</v>
      </c>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row>
    <row r="367" ht="20.1" customHeight="1">
      <c r="A367" s="809" t="s">
        <v>448</v>
      </c>
      <c r="B367" s="874"/>
      <c r="C367" s="874"/>
      <c r="D367" s="874"/>
      <c r="E367" s="1062" t="n">
        <f aca="false">B367-C367+D367</f>
        <v>0</v>
      </c>
      <c r="F367" s="1063" t="n">
        <v>27.5</v>
      </c>
      <c r="G367" s="813"/>
      <c r="H367" s="1062" t="n">
        <f aca="false">E367*F367</f>
        <v>0</v>
      </c>
      <c r="I367" s="1062" t="n">
        <f aca="false">H367*G367</f>
        <v>0</v>
      </c>
      <c r="J367" s="1064" t="n">
        <f aca="false">D367*F367*G367</f>
        <v>0</v>
      </c>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row>
    <row r="368" ht="20.1" customHeight="1">
      <c r="J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row>
    <row r="369" ht="52.5" customHeight="1">
      <c r="A369" s="418"/>
      <c r="B369" s="429"/>
      <c r="C369" s="429"/>
      <c r="D369" s="499" t="s">
        <v>1229</v>
      </c>
      <c r="E369" s="499" t="s">
        <v>1230</v>
      </c>
      <c r="F369" s="1065"/>
      <c r="G369" s="1065"/>
      <c r="H369" s="499" t="s">
        <v>1217</v>
      </c>
      <c r="I369" s="499" t="s">
        <v>1231</v>
      </c>
      <c r="J369" s="499" t="s">
        <v>1232</v>
      </c>
      <c r="L369"/>
      <c r="M369"/>
      <c r="N369"/>
      <c r="O369" s="44"/>
      <c r="P369" s="44"/>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row>
    <row r="370" ht="20.1" customHeight="1">
      <c r="A370" s="418"/>
      <c r="B370" s="429"/>
      <c r="C370" s="429"/>
      <c r="D370" s="543" t="n">
        <f aca="false">SUM(D336:D367)</f>
        <v>0</v>
      </c>
      <c r="E370" s="543" t="n">
        <f aca="false">SUM(E336:E367)</f>
        <v>300</v>
      </c>
      <c r="F370" s="578" t="s">
        <v>1233</v>
      </c>
      <c r="G370" s="1066" t="s">
        <v>551</v>
      </c>
      <c r="H370" s="1000" t="n">
        <f aca="false">SUM(H336:H367)</f>
        <v>540</v>
      </c>
      <c r="I370" s="1000" t="n">
        <f aca="false">SUM(I336:I367)</f>
        <v>378</v>
      </c>
      <c r="J370" s="1000" t="n">
        <f aca="false">SUM(J336:J367)</f>
        <v>0</v>
      </c>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row>
    <row r="371" ht="20.1" customHeight="1">
      <c r="W371" s="10"/>
    </row>
    <row r="372" ht="20.1" customHeight="1">
      <c r="A372" s="1067" t="s">
        <v>449</v>
      </c>
      <c r="B372" s="1067"/>
      <c r="C372" s="1067"/>
      <c r="D372" s="1067"/>
      <c r="F372" s="1041"/>
      <c r="J372"/>
      <c r="T372" s="10"/>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row>
    <row r="373" ht="20.1" customHeight="1">
      <c r="A373" s="1067" t="s">
        <v>1234</v>
      </c>
      <c r="B373" s="1067"/>
      <c r="C373" s="1067"/>
      <c r="D373" s="1067"/>
      <c r="F373" s="1041"/>
      <c r="J373"/>
      <c r="T373" s="10"/>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row>
    <row r="374" ht="20.1" customHeight="1">
      <c r="A374"/>
      <c r="F374"/>
      <c r="J374"/>
      <c r="T374" s="10"/>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row>
    <row r="375" ht="20.1" customHeight="1">
      <c r="A375"/>
      <c r="F375"/>
      <c r="K375"/>
      <c r="L375"/>
      <c r="M375"/>
      <c r="N375"/>
      <c r="O375"/>
      <c r="P375"/>
      <c r="Q375"/>
      <c r="R375"/>
      <c r="S375"/>
      <c r="T375"/>
      <c r="U375"/>
      <c r="V375"/>
      <c r="W375" s="10"/>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row>
    <row r="376" ht="20.1" customHeight="1">
      <c r="A376"/>
      <c r="F376"/>
      <c r="K376"/>
      <c r="L376"/>
      <c r="M376"/>
      <c r="N376" s="44"/>
      <c r="O376" s="44"/>
      <c r="P376" s="44"/>
      <c r="Q376" s="44"/>
      <c r="R376" s="44"/>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row>
    <row r="377" ht="24" customHeight="1">
      <c r="A377" s="11" t="s">
        <v>1235</v>
      </c>
      <c r="B377" s="11"/>
      <c r="C377" s="11"/>
      <c r="D377" s="11"/>
      <c r="E377" s="11"/>
      <c r="F377" s="11"/>
      <c r="G377" s="11"/>
      <c r="H377" s="11"/>
      <c r="I377" s="11"/>
      <c r="J377" s="11"/>
      <c r="K377" s="1068"/>
      <c r="L377" s="1069" t="s">
        <v>1236</v>
      </c>
      <c r="M377"/>
      <c r="N377"/>
      <c r="O377"/>
      <c r="P377"/>
      <c r="Q377" s="44"/>
      <c r="R377" s="44"/>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row>
    <row r="378" ht="19.5" customHeight="1">
      <c r="A378" s="806"/>
      <c r="B378" s="806"/>
      <c r="C378" s="807"/>
      <c r="D378" s="807"/>
      <c r="E378" s="807"/>
      <c r="F378" s="807"/>
      <c r="G378" s="807"/>
      <c r="H378" s="808"/>
      <c r="I378" s="401"/>
      <c r="J378" s="809"/>
      <c r="K378" s="1068"/>
      <c r="L378" s="1070"/>
      <c r="M378"/>
      <c r="N378"/>
      <c r="O378"/>
      <c r="P378"/>
      <c r="Q378" s="44"/>
      <c r="R378" s="44"/>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row>
    <row r="379" ht="19.5" customHeight="1">
      <c r="A379" s="806"/>
      <c r="B379" s="806"/>
      <c r="C379" s="807"/>
      <c r="D379" s="807"/>
      <c r="E379" s="807"/>
      <c r="F379" s="807"/>
      <c r="G379" s="807"/>
      <c r="H379" s="808"/>
      <c r="I379" s="401"/>
      <c r="J379" s="809"/>
      <c r="K379" s="1068"/>
      <c r="L379" s="1070"/>
      <c r="Q379" s="44"/>
      <c r="R379" s="44"/>
    </row>
    <row r="380" ht="20.1" customHeight="1">
      <c r="A380" s="1071" t="s">
        <v>1237</v>
      </c>
      <c r="B380" s="1071"/>
      <c r="C380" s="1071"/>
      <c r="D380" s="1071"/>
      <c r="E380" s="1071"/>
      <c r="F380" s="1071"/>
      <c r="G380" s="1071"/>
      <c r="H380" s="42"/>
      <c r="I380" s="42"/>
      <c r="J380" s="42"/>
      <c r="K380" s="1072"/>
      <c r="L380" s="1073" t="s">
        <v>1238</v>
      </c>
      <c r="Q380" s="44"/>
      <c r="R380" s="44"/>
    </row>
    <row r="381" ht="20.1" customHeight="1">
      <c r="A381" s="806"/>
      <c r="B381" s="806"/>
      <c r="C381" s="807"/>
      <c r="D381" s="807"/>
      <c r="E381" s="807"/>
      <c r="F381" s="807"/>
      <c r="G381" s="807"/>
      <c r="H381" s="808"/>
      <c r="I381" s="401"/>
      <c r="J381" s="809"/>
      <c r="K381" s="1068"/>
      <c r="L381" s="1070"/>
      <c r="Q381" s="44"/>
      <c r="R381" s="44"/>
    </row>
    <row r="382" ht="33" customHeight="1">
      <c r="A382" s="297"/>
      <c r="B382" s="1074" t="s">
        <v>1239</v>
      </c>
      <c r="C382" s="1074"/>
      <c r="D382" s="9"/>
      <c r="E382" s="44"/>
      <c r="F382" s="44"/>
      <c r="G382" s="12"/>
      <c r="H382" s="44"/>
      <c r="I382" s="44"/>
      <c r="J382" s="44"/>
      <c r="K382"/>
      <c r="L382" t="s">
        <v>1240</v>
      </c>
      <c r="Q382" s="44"/>
      <c r="R382" s="44"/>
    </row>
    <row r="383" ht="20.1" customHeight="1">
      <c r="A383" s="1075"/>
      <c r="D383" s="821"/>
      <c r="E383" s="821" t="s">
        <v>1241</v>
      </c>
      <c r="F383" s="821"/>
      <c r="G383" s="763" t="e">
        <f aca="false">IF(LARGE(D265:D309,1)&gt;LARGE(C216:C245,1),LARGE(D265:D309,1),LARGE(C216:C245,1))/(B24-B27)</f>
        <v>#VALUE!</v>
      </c>
      <c r="H383" s="9" t="s">
        <v>1242</v>
      </c>
      <c r="I383" s="9"/>
      <c r="J383" s="10"/>
      <c r="K383" s="1076"/>
      <c r="L383" s="880"/>
      <c r="Q383" s="44"/>
      <c r="R383" s="44"/>
    </row>
    <row r="384" ht="20.1" customHeight="1">
      <c r="A384" s="1075"/>
      <c r="B384" s="9"/>
      <c r="D384" s="821"/>
      <c r="E384" s="821" t="s">
        <v>1243</v>
      </c>
      <c r="F384" s="821"/>
      <c r="G384" s="763" t="e">
        <f aca="false">IF(LARGE(D265:D309,1)&gt;LARGE(C216:C245,1),MAX(LARGE(D265:D309,2),LARGE(C216:C245,1)),MAX(LARGE(D265:D309,1),LARGE(C216:C245,2)))/(B24-B27)</f>
        <v>#VALUE!</v>
      </c>
      <c r="H384" s="9"/>
      <c r="I384" s="9"/>
      <c r="J384" s="10"/>
      <c r="K384" s="1076"/>
      <c r="L384" s="880"/>
      <c r="Q384" s="44"/>
      <c r="R384" s="44"/>
    </row>
    <row r="385" ht="20.1" customHeight="1">
      <c r="A385" s="1075"/>
      <c r="B385" s="9"/>
      <c r="C385" s="9"/>
      <c r="D385" s="9"/>
      <c r="E385" s="9"/>
      <c r="F385" s="834" t="s">
        <v>1244</v>
      </c>
      <c r="G385" s="763" t="e">
        <f aca="false">(G383+G384)</f>
        <v>#VALUE!</v>
      </c>
      <c r="H385" s="9"/>
      <c r="I385" s="9"/>
      <c r="J385" s="10"/>
      <c r="K385" s="1076"/>
      <c r="Q385" s="44"/>
      <c r="R385" s="44"/>
    </row>
    <row r="386" ht="19.5" customHeight="1">
      <c r="A386"/>
      <c r="B386"/>
      <c r="C386" s="10"/>
      <c r="D386" s="10"/>
      <c r="E386" s="4"/>
      <c r="F386" s="1077" t="s">
        <v>1245</v>
      </c>
      <c r="G386" s="1077"/>
      <c r="H386" s="1077"/>
      <c r="I386" s="414"/>
      <c r="J386" s="10"/>
      <c r="K386" s="1076"/>
      <c r="Q386" s="44"/>
      <c r="R386" s="44"/>
    </row>
    <row r="387" ht="29.25" customHeight="1">
      <c r="A387" s="1078"/>
      <c r="B387" s="9"/>
      <c r="C387" s="10"/>
      <c r="D387" s="10"/>
      <c r="E387" s="9"/>
      <c r="F387" s="1079" t="s">
        <v>1246</v>
      </c>
      <c r="G387" s="1080" t="s">
        <v>1247</v>
      </c>
      <c r="H387" s="1081" t="s">
        <v>1248</v>
      </c>
      <c r="I387"/>
      <c r="K387" s="880"/>
      <c r="Q387" s="44"/>
      <c r="R387" s="44"/>
    </row>
    <row r="388" ht="47.25" customHeight="1">
      <c r="D388" s="1074" t="s">
        <v>1249</v>
      </c>
      <c r="E388" s="1082" t="s">
        <v>1250</v>
      </c>
      <c r="F388" s="1083" t="n">
        <v>0</v>
      </c>
      <c r="G388" s="1084" t="n">
        <v>1</v>
      </c>
      <c r="H388" s="1085"/>
      <c r="I388" s="10"/>
      <c r="K388" s="880"/>
      <c r="Q388" s="44"/>
      <c r="R388" s="44"/>
    </row>
    <row r="389" ht="33" customHeight="1">
      <c r="A389" s="380" t="s">
        <v>1251</v>
      </c>
      <c r="B389" s="4" t="s">
        <v>1252</v>
      </c>
      <c r="C389" s="1086" t="n">
        <v>4</v>
      </c>
      <c r="D389" s="1074"/>
      <c r="E389" s="534" t="s">
        <v>1253</v>
      </c>
      <c r="F389" s="1083"/>
      <c r="G389" s="1087" t="n">
        <v>2</v>
      </c>
      <c r="H389" s="1088" t="n">
        <v>3</v>
      </c>
      <c r="I389"/>
      <c r="K389" s="1076"/>
      <c r="Q389" s="44"/>
      <c r="R389" s="44"/>
    </row>
    <row r="390" ht="48" customHeight="1">
      <c r="A390" s="380" t="s">
        <v>1254</v>
      </c>
      <c r="B390" s="4" t="s">
        <v>1255</v>
      </c>
      <c r="C390" s="1086" t="n">
        <v>0</v>
      </c>
      <c r="D390" s="1074"/>
      <c r="E390" s="534" t="s">
        <v>1256</v>
      </c>
      <c r="F390" s="1083"/>
      <c r="G390" s="1087" t="n">
        <v>3</v>
      </c>
      <c r="H390" s="1088" t="n">
        <v>4</v>
      </c>
      <c r="K390" s="880"/>
      <c r="L390"/>
      <c r="Q390" s="44"/>
      <c r="R390" s="44"/>
    </row>
    <row r="391" ht="33" customHeight="1">
      <c r="A391" s="1089" t="s">
        <v>1249</v>
      </c>
      <c r="B391" s="1089"/>
      <c r="C391" s="1090" t="n">
        <f aca="false">SUM(C389:C390)</f>
        <v>4</v>
      </c>
      <c r="D391" s="1074"/>
      <c r="E391" s="534" t="s">
        <v>1257</v>
      </c>
      <c r="F391" s="1083"/>
      <c r="G391" s="1091" t="n">
        <v>4</v>
      </c>
      <c r="H391" s="29" t="n">
        <v>5</v>
      </c>
      <c r="I391" s="1092" t="s">
        <v>1258</v>
      </c>
      <c r="J391" s="1093" t="n">
        <v>3</v>
      </c>
      <c r="K391" s="880"/>
      <c r="L391"/>
      <c r="Q391" s="44"/>
      <c r="R391" s="44"/>
    </row>
    <row r="392" ht="19.5" customHeight="1">
      <c r="A392" s="807"/>
      <c r="B392"/>
      <c r="C392"/>
      <c r="D392" s="10"/>
      <c r="E392" s="10"/>
      <c r="F392" s="10"/>
      <c r="G392" s="10"/>
      <c r="K392" s="1076"/>
      <c r="L392"/>
      <c r="Q392" s="44"/>
      <c r="R392" s="44"/>
    </row>
    <row r="393" ht="19.5" customHeight="1">
      <c r="A393" s="807"/>
      <c r="B393"/>
      <c r="C393"/>
      <c r="D393" s="10"/>
      <c r="E393" s="10"/>
      <c r="F393" s="10"/>
      <c r="G393" s="10"/>
      <c r="K393" s="1076"/>
      <c r="L393"/>
      <c r="Q393" s="44"/>
      <c r="R393" s="44"/>
    </row>
    <row r="394" ht="19.5" customHeight="1">
      <c r="A394" s="807"/>
      <c r="B394" s="1094" t="s">
        <v>100</v>
      </c>
      <c r="C394" s="1094"/>
      <c r="D394" s="1095" t="s">
        <v>472</v>
      </c>
      <c r="E394" s="1095"/>
      <c r="F394" s="1095"/>
      <c r="G394" s="1095"/>
      <c r="H394" s="1096" t="s">
        <v>1259</v>
      </c>
      <c r="K394" s="1076"/>
      <c r="L394" t="s">
        <v>1260</v>
      </c>
      <c r="Q394" s="44"/>
      <c r="R394" s="44"/>
    </row>
    <row r="395" ht="19.5" customHeight="1">
      <c r="A395" s="807"/>
      <c r="B395"/>
      <c r="C395"/>
      <c r="D395" s="10"/>
      <c r="E395" s="10"/>
      <c r="F395" s="10"/>
      <c r="G395" s="1061" t="s">
        <v>1261</v>
      </c>
      <c r="H395" s="1097"/>
      <c r="K395" s="1076"/>
      <c r="L395"/>
      <c r="Q395" s="44"/>
      <c r="R395" s="44"/>
    </row>
    <row r="396" ht="19.5" customHeight="1">
      <c r="A396" s="807"/>
      <c r="B396"/>
      <c r="C396"/>
      <c r="D396" s="1095" t="s">
        <v>473</v>
      </c>
      <c r="E396" s="1095"/>
      <c r="F396" s="1095"/>
      <c r="G396" s="1095"/>
      <c r="H396" s="1096" t="s">
        <v>254</v>
      </c>
      <c r="K396" s="1076"/>
      <c r="L396"/>
      <c r="Q396" s="44"/>
      <c r="R396" s="44"/>
    </row>
    <row r="397" ht="19.5" customHeight="1">
      <c r="A397" s="807"/>
      <c r="B397"/>
      <c r="C397"/>
      <c r="D397" s="834"/>
      <c r="E397" s="834"/>
      <c r="F397" s="834"/>
      <c r="G397" s="1061" t="s">
        <v>1261</v>
      </c>
      <c r="K397" s="1076"/>
      <c r="L397"/>
      <c r="Q397" s="44"/>
      <c r="R397" s="44"/>
    </row>
    <row r="398" ht="19.5" customHeight="1">
      <c r="A398" s="807"/>
      <c r="B398"/>
      <c r="C398"/>
      <c r="D398" s="1095" t="s">
        <v>1262</v>
      </c>
      <c r="E398" s="1095"/>
      <c r="F398" s="1095"/>
      <c r="G398" s="1095"/>
      <c r="H398" s="1096" t="s">
        <v>254</v>
      </c>
      <c r="K398" s="1076"/>
      <c r="L398"/>
      <c r="Q398" s="44"/>
      <c r="R398" s="44"/>
    </row>
    <row r="399" ht="19.5" customHeight="1">
      <c r="A399" s="807"/>
      <c r="B399"/>
      <c r="C399"/>
      <c r="D399" s="834"/>
      <c r="E399" s="1098" t="s">
        <v>1263</v>
      </c>
      <c r="F399" s="1098"/>
      <c r="G399" s="1098"/>
      <c r="K399" s="1076"/>
      <c r="L399"/>
      <c r="Q399" s="44"/>
      <c r="R399" s="44"/>
    </row>
    <row r="400" ht="19.5" customHeight="1">
      <c r="A400" s="807"/>
      <c r="B400"/>
      <c r="C400"/>
      <c r="D400" s="834"/>
      <c r="E400" s="1098"/>
      <c r="F400" s="1098"/>
      <c r="G400" s="1061" t="s">
        <v>1261</v>
      </c>
      <c r="K400" s="1076"/>
      <c r="L400"/>
      <c r="Q400" s="44"/>
      <c r="R400" s="44"/>
    </row>
    <row r="401" ht="19.5" customHeight="1">
      <c r="A401" s="807"/>
      <c r="B401"/>
      <c r="C401"/>
      <c r="D401" s="10"/>
      <c r="E401" s="10"/>
      <c r="F401" s="10"/>
      <c r="G401" s="10"/>
      <c r="K401" s="1076"/>
      <c r="L401"/>
      <c r="Q401" s="44"/>
      <c r="R401" s="44"/>
    </row>
    <row r="402" ht="20.1" customHeight="1">
      <c r="A402" s="1099" t="s">
        <v>1264</v>
      </c>
      <c r="B402" s="1099"/>
      <c r="C402" s="1099"/>
      <c r="D402" s="1100" t="n">
        <f aca="false">B27/B24</f>
        <v>0.012987012987013</v>
      </c>
      <c r="E402"/>
      <c r="F402" s="807"/>
      <c r="G402" s="809"/>
      <c r="H402" s="809"/>
      <c r="I402" s="401"/>
      <c r="J402" s="809"/>
      <c r="K402"/>
      <c r="L402"/>
      <c r="Q402" s="44"/>
      <c r="R402" s="44"/>
    </row>
    <row r="403" ht="20.1" customHeight="1">
      <c r="A403" s="806"/>
      <c r="B403" s="806"/>
      <c r="C403" s="807"/>
      <c r="D403" s="807"/>
      <c r="E403" s="807"/>
      <c r="F403" s="807"/>
      <c r="G403" s="809"/>
      <c r="H403" s="809"/>
      <c r="I403" s="401"/>
      <c r="J403" s="809"/>
      <c r="K403" s="1068"/>
      <c r="L403" s="1070"/>
      <c r="Q403" s="44"/>
      <c r="R403" s="44"/>
    </row>
    <row r="404" ht="20.1" customHeight="1">
      <c r="A404" s="806"/>
      <c r="B404" s="806"/>
      <c r="C404" s="807"/>
      <c r="D404" s="807"/>
      <c r="E404" s="807"/>
      <c r="F404" s="807"/>
      <c r="G404" s="809"/>
      <c r="H404" s="809"/>
      <c r="I404" s="401"/>
      <c r="J404" s="809"/>
      <c r="K404" s="1068"/>
      <c r="L404" s="1070"/>
      <c r="Q404" s="44"/>
      <c r="R404" s="44"/>
    </row>
    <row r="405" ht="20.1" customHeight="1">
      <c r="A405" s="1071" t="s">
        <v>1265</v>
      </c>
      <c r="B405" s="1071"/>
      <c r="C405" s="1071"/>
      <c r="D405" s="1071"/>
      <c r="E405" s="1071"/>
      <c r="F405" s="1071"/>
      <c r="G405" s="1071"/>
      <c r="H405" s="42"/>
      <c r="I405" s="42"/>
      <c r="J405" s="42"/>
      <c r="K405" s="1072"/>
      <c r="L405" s="1073" t="s">
        <v>1266</v>
      </c>
      <c r="Q405" s="44"/>
      <c r="R405" s="44"/>
    </row>
    <row r="406" ht="20.1" customHeight="1">
      <c r="A406" s="1101"/>
      <c r="B406" s="1101"/>
      <c r="C406" s="1101"/>
      <c r="D406" s="1101"/>
      <c r="E406" s="1101"/>
      <c r="F406" s="933"/>
      <c r="G406" s="46"/>
      <c r="H406" s="1102"/>
      <c r="I406" s="933"/>
      <c r="J406" s="1103"/>
      <c r="K406" s="1076"/>
      <c r="L406" s="880"/>
      <c r="Q406" s="44"/>
      <c r="R406" s="44"/>
    </row>
    <row r="407" ht="26.25" customHeight="1">
      <c r="A407" s="1104" t="s">
        <v>1267</v>
      </c>
      <c r="B407" s="1104"/>
      <c r="C407" s="1104"/>
      <c r="D407" s="1104"/>
      <c r="E407" s="1104"/>
      <c r="F407" s="1104"/>
      <c r="G407" s="1104"/>
      <c r="H407" s="1104"/>
      <c r="I407" s="1104"/>
      <c r="J407" s="1105" t="s">
        <v>254</v>
      </c>
      <c r="K407"/>
      <c r="L407" t="s">
        <v>1268</v>
      </c>
      <c r="Q407" s="44"/>
      <c r="R407" s="44"/>
    </row>
    <row r="408" ht="20.1" customHeight="1">
      <c r="A408" s="492" t="s">
        <v>454</v>
      </c>
      <c r="B408" s="5"/>
      <c r="C408" s="5"/>
      <c r="D408" s="4"/>
      <c r="E408" s="4"/>
      <c r="F408" s="933"/>
      <c r="G408" s="46"/>
      <c r="H408" s="1102"/>
      <c r="I408" s="933"/>
      <c r="J408" s="1103"/>
      <c r="K408"/>
      <c r="L408"/>
      <c r="Q408" s="44"/>
      <c r="R408" s="44"/>
    </row>
    <row r="409" ht="20.1" customHeight="1">
      <c r="A409"/>
      <c r="B409"/>
      <c r="C409"/>
      <c r="D409" s="4"/>
      <c r="E409" s="4"/>
      <c r="F409" s="933"/>
      <c r="G409" s="46"/>
      <c r="H409" s="1102"/>
      <c r="I409" s="933"/>
      <c r="J409" s="1103"/>
      <c r="K409"/>
      <c r="L409"/>
      <c r="Q409" s="44"/>
      <c r="R409" s="44"/>
    </row>
    <row r="410" ht="20.1" customHeight="1">
      <c r="Q410" s="44"/>
      <c r="R410" s="44"/>
    </row>
    <row r="411" ht="20.1" customHeight="1">
      <c r="A411" s="44"/>
      <c r="B411" s="1094" t="s">
        <v>1269</v>
      </c>
      <c r="C411" s="1094"/>
      <c r="D411" s="820"/>
      <c r="E411" s="44"/>
      <c r="F411" s="834"/>
      <c r="G411" s="834"/>
      <c r="H411" s="834"/>
      <c r="I411" s="834"/>
      <c r="Q411" s="44"/>
      <c r="R411" s="44"/>
    </row>
    <row r="412" ht="32.25" customHeight="1">
      <c r="A412" s="1106" t="s">
        <v>1270</v>
      </c>
      <c r="B412" s="1106"/>
      <c r="C412" s="1106"/>
      <c r="D412" s="1106"/>
      <c r="E412" s="1106"/>
      <c r="F412" s="1096" t="s">
        <v>253</v>
      </c>
      <c r="G412"/>
      <c r="H412" s="22"/>
      <c r="I412"/>
      <c r="Q412" s="44"/>
      <c r="R412" s="44"/>
    </row>
    <row r="413" ht="20.1" customHeight="1">
      <c r="A413" s="897" t="s">
        <v>1271</v>
      </c>
      <c r="B413" s="829"/>
      <c r="C413" s="829"/>
      <c r="D413" s="1107"/>
      <c r="E413" s="1107"/>
      <c r="F413" s="1107"/>
      <c r="G413" s="1107"/>
      <c r="H413" s="1107"/>
      <c r="I413" s="1108"/>
      <c r="Q413" s="44"/>
      <c r="R413" s="44"/>
    </row>
    <row r="414" ht="20.1" customHeight="1">
      <c r="A414" s="44"/>
      <c r="B414" s="29"/>
      <c r="C414"/>
      <c r="D414" s="820"/>
      <c r="E414" s="44"/>
      <c r="F414" s="834"/>
      <c r="G414" s="834"/>
      <c r="H414" s="834"/>
      <c r="I414" s="834"/>
      <c r="J414" s="834"/>
      <c r="K414" s="834"/>
      <c r="L414" s="834"/>
      <c r="Q414" s="44"/>
      <c r="R414" s="44"/>
    </row>
    <row r="415" ht="20.1" customHeight="1">
      <c r="A415" s="12"/>
      <c r="B415" s="5"/>
      <c r="C415" s="5"/>
      <c r="D415" s="1109" t="s">
        <v>1272</v>
      </c>
      <c r="E415" s="1109"/>
      <c r="F415" s="12"/>
      <c r="H415" s="44"/>
      <c r="I415" s="44"/>
      <c r="J415" s="10"/>
      <c r="K415"/>
      <c r="L415"/>
      <c r="Q415" s="44"/>
      <c r="R415" s="44"/>
    </row>
    <row r="416" ht="19.5" customHeight="1">
      <c r="A416" s="12"/>
      <c r="B416"/>
      <c r="C416"/>
      <c r="D416" s="1109"/>
      <c r="E416" s="1109"/>
      <c r="J416" s="10"/>
      <c r="K416"/>
      <c r="L416"/>
      <c r="Q416" s="44"/>
      <c r="R416" s="44"/>
    </row>
    <row r="417" ht="19.5" customHeight="1">
      <c r="A417" s="44"/>
      <c r="B417" s="725" t="s">
        <v>1273</v>
      </c>
      <c r="C417" s="725"/>
      <c r="D417" s="725" t="s">
        <v>1274</v>
      </c>
      <c r="E417" s="725" t="s">
        <v>1275</v>
      </c>
      <c r="J417" s="10"/>
      <c r="K417"/>
      <c r="L417"/>
      <c r="Q417" s="44"/>
      <c r="R417" s="44"/>
    </row>
    <row r="418" ht="20.1" customHeight="1">
      <c r="A418"/>
      <c r="B418" s="448" t="s">
        <v>1276</v>
      </c>
      <c r="C418" s="448"/>
      <c r="D418" s="589" t="n">
        <f aca="false">IF(B418=0,0,1)</f>
        <v>1</v>
      </c>
      <c r="E418" s="382" t="n">
        <v>33</v>
      </c>
      <c r="G418" s="12"/>
      <c r="H418" s="12"/>
      <c r="J418" s="10"/>
      <c r="K418"/>
      <c r="L418"/>
      <c r="Q418" s="44"/>
      <c r="R418" s="44"/>
    </row>
    <row r="419" ht="20.1" customHeight="1">
      <c r="A419"/>
      <c r="B419" s="448"/>
      <c r="C419" s="448"/>
      <c r="D419" s="589" t="n">
        <f aca="false">IF(B419=0,0,1)</f>
        <v>0</v>
      </c>
      <c r="E419" s="382"/>
      <c r="F419"/>
      <c r="G419"/>
      <c r="H419"/>
      <c r="I419"/>
      <c r="J419" s="9"/>
      <c r="K419"/>
      <c r="L419"/>
      <c r="Q419" s="44"/>
      <c r="R419" s="44"/>
    </row>
    <row r="420" ht="19.5" customHeight="1">
      <c r="A420"/>
      <c r="B420" s="448"/>
      <c r="C420" s="448"/>
      <c r="D420" s="589" t="n">
        <f aca="false">IF(B420=0,0,1)</f>
        <v>0</v>
      </c>
      <c r="E420" s="382"/>
      <c r="J420"/>
      <c r="K420"/>
      <c r="L420"/>
      <c r="Q420" s="44"/>
      <c r="R420" s="44"/>
    </row>
    <row r="421" ht="20.1" customHeight="1">
      <c r="A421"/>
      <c r="B421" s="448"/>
      <c r="C421" s="448"/>
      <c r="D421" s="589" t="n">
        <f aca="false">IF(B421=0,0,1)</f>
        <v>0</v>
      </c>
      <c r="E421" s="382"/>
      <c r="F421" s="44"/>
      <c r="G421"/>
      <c r="H421" s="412"/>
      <c r="I421" s="412"/>
      <c r="J421"/>
      <c r="K421" s="1076"/>
      <c r="L421" s="880"/>
      <c r="Q421" s="44"/>
      <c r="R421" s="44"/>
    </row>
    <row r="422" ht="20.1" customHeight="1">
      <c r="A422"/>
      <c r="B422" s="448"/>
      <c r="C422" s="448"/>
      <c r="D422" s="589" t="n">
        <f aca="false">IF(B422=0,0,1)</f>
        <v>0</v>
      </c>
      <c r="E422" s="382"/>
      <c r="F422" s="44"/>
      <c r="G422"/>
      <c r="H422" s="412"/>
      <c r="I422" s="412"/>
      <c r="J422"/>
      <c r="K422" s="1076"/>
      <c r="L422" s="880"/>
      <c r="Q422" s="44"/>
      <c r="R422" s="44"/>
    </row>
    <row r="423" ht="20.1" customHeight="1">
      <c r="A423"/>
      <c r="B423" s="448"/>
      <c r="C423" s="448"/>
      <c r="D423" s="589" t="n">
        <f aca="false">IF(B423=0,0,1)</f>
        <v>0</v>
      </c>
      <c r="E423" s="382"/>
      <c r="F423" s="44"/>
      <c r="G423"/>
      <c r="H423" s="10"/>
      <c r="I423" s="10"/>
      <c r="K423" s="809"/>
      <c r="L423" s="809"/>
      <c r="Q423" s="44"/>
      <c r="R423" s="44"/>
    </row>
    <row r="424" ht="20.1" customHeight="1">
      <c r="A424"/>
      <c r="B424" s="448"/>
      <c r="C424" s="448"/>
      <c r="D424" s="589" t="n">
        <f aca="false">IF(B424=0,0,1)</f>
        <v>0</v>
      </c>
      <c r="E424" s="382"/>
      <c r="F424" s="44"/>
      <c r="G424"/>
      <c r="H424" s="10"/>
      <c r="I424" s="10"/>
      <c r="K424" s="809"/>
      <c r="L424" s="809"/>
      <c r="Q424" s="44"/>
      <c r="R424" s="44"/>
    </row>
    <row r="425" ht="20.1" customHeight="1">
      <c r="A425"/>
      <c r="B425"/>
      <c r="C425" s="13" t="s">
        <v>1233</v>
      </c>
      <c r="D425" s="589" t="n">
        <f aca="false">SUM(D418:D423)</f>
        <v>1</v>
      </c>
      <c r="E425" s="589" t="n">
        <f aca="false">SUM(E418:E424)</f>
        <v>33</v>
      </c>
      <c r="F425" s="44"/>
      <c r="G425" s="752"/>
      <c r="H425" s="10"/>
      <c r="I425" s="10"/>
      <c r="J425"/>
      <c r="K425" s="809"/>
      <c r="L425" s="809"/>
      <c r="Q425" s="44"/>
      <c r="R425" s="44"/>
    </row>
    <row r="426" ht="20.1" customHeight="1">
      <c r="A426"/>
      <c r="B426"/>
      <c r="C426" s="13"/>
      <c r="D426" s="44"/>
      <c r="E426" s="44"/>
      <c r="F426" s="44"/>
      <c r="G426" s="752"/>
      <c r="H426" s="10"/>
      <c r="I426" s="10"/>
      <c r="J426"/>
      <c r="K426" s="809"/>
      <c r="L426" s="809"/>
      <c r="Q426" s="44"/>
      <c r="R426" s="44"/>
    </row>
    <row r="427" ht="20.1" customHeight="1">
      <c r="A427"/>
      <c r="B427" s="9"/>
      <c r="C427" s="834" t="s">
        <v>1277</v>
      </c>
      <c r="D427" s="834"/>
      <c r="E427" s="1110" t="s">
        <v>254</v>
      </c>
      <c r="F427" s="44"/>
      <c r="G427" s="752"/>
      <c r="H427" s="10"/>
      <c r="I427" s="10"/>
      <c r="J427"/>
      <c r="K427" s="809"/>
      <c r="L427" s="809"/>
      <c r="Q427" s="44"/>
      <c r="R427" s="44"/>
    </row>
    <row r="428" ht="20.1" customHeight="1">
      <c r="A428" s="646"/>
      <c r="B428" s="1111" t="s">
        <v>1278</v>
      </c>
      <c r="C428" s="1111"/>
      <c r="D428" s="1111"/>
      <c r="E428" s="1112" t="s">
        <v>254</v>
      </c>
      <c r="F428" s="44"/>
      <c r="G428" s="752"/>
      <c r="H428" s="10"/>
      <c r="I428" s="10"/>
      <c r="J428"/>
      <c r="K428" s="809"/>
      <c r="L428" s="809"/>
      <c r="Q428" s="44"/>
      <c r="R428" s="44"/>
    </row>
    <row r="429" ht="20.1" customHeight="1">
      <c r="A429"/>
      <c r="B429"/>
      <c r="C429" s="13"/>
      <c r="D429" s="44"/>
      <c r="E429" s="44"/>
      <c r="F429" s="44"/>
      <c r="G429" s="752"/>
      <c r="H429" s="10"/>
      <c r="I429" s="10"/>
      <c r="J429"/>
      <c r="K429" s="809"/>
      <c r="L429" s="809"/>
      <c r="Q429" s="44"/>
      <c r="R429" s="44"/>
    </row>
    <row r="430" ht="20.1" customHeight="1">
      <c r="A430" s="835" t="s">
        <v>1279</v>
      </c>
      <c r="B430" s="835"/>
      <c r="C430" s="835"/>
      <c r="D430" s="835"/>
      <c r="E430" s="1113" t="e">
        <f aca="false">(MAX(E418:E424)+LARGE(E418:E424,2))/E425</f>
        <v>#VALUE!</v>
      </c>
      <c r="F430" s="44"/>
      <c r="G430" s="752"/>
      <c r="H430" s="10"/>
      <c r="I430" s="10"/>
      <c r="J430"/>
      <c r="K430" s="809"/>
      <c r="L430" s="809"/>
      <c r="Q430" s="44"/>
      <c r="R430" s="44"/>
    </row>
    <row r="431" ht="20.1" customHeight="1">
      <c r="A431"/>
      <c r="B431"/>
      <c r="C431"/>
      <c r="D431" s="811"/>
      <c r="E431" s="811"/>
      <c r="F431" s="44"/>
      <c r="G431" s="752"/>
      <c r="H431" s="10"/>
      <c r="I431" s="10"/>
      <c r="K431" s="809"/>
      <c r="L431" s="809"/>
      <c r="Q431" s="44"/>
      <c r="R431" s="44"/>
    </row>
    <row r="432" ht="20.1" customHeight="1">
      <c r="A432"/>
      <c r="B432" s="1114"/>
      <c r="C432" s="1115" t="s">
        <v>1280</v>
      </c>
      <c r="D432" s="1115"/>
      <c r="E432" s="1115"/>
      <c r="F432" s="1115"/>
      <c r="G432" s="752"/>
      <c r="H432" s="10"/>
      <c r="I432" s="10"/>
      <c r="K432" s="809"/>
      <c r="L432" s="809"/>
      <c r="Q432" s="44"/>
      <c r="R432" s="44"/>
    </row>
    <row r="433" ht="48" customHeight="1">
      <c r="A433" s="1116" t="s">
        <v>1281</v>
      </c>
      <c r="B433" s="428" t="s">
        <v>1282</v>
      </c>
      <c r="C433" s="1117"/>
      <c r="D433" s="534" t="s">
        <v>1283</v>
      </c>
      <c r="E433" s="534"/>
      <c r="F433" s="1118" t="s">
        <v>1248</v>
      </c>
      <c r="G433" s="752"/>
      <c r="H433" s="10"/>
      <c r="I433" s="10"/>
      <c r="K433" s="809"/>
      <c r="L433" s="809"/>
      <c r="Q433" s="44"/>
      <c r="R433" s="44"/>
    </row>
    <row r="434" ht="20.1" customHeight="1">
      <c r="A434" s="461" t="n">
        <f aca="false">D425+IF(E427="oui",2,0)+IF(E428="oui",2,0)</f>
        <v>1</v>
      </c>
      <c r="B434" s="428"/>
      <c r="C434" s="534" t="s">
        <v>1284</v>
      </c>
      <c r="D434" s="234" t="n">
        <v>0</v>
      </c>
      <c r="E434" s="234"/>
      <c r="F434" s="1119" t="n">
        <v>1</v>
      </c>
      <c r="G434" s="752"/>
      <c r="H434" s="10"/>
      <c r="I434" s="10"/>
      <c r="K434" s="809"/>
      <c r="L434" s="809"/>
      <c r="Q434" s="44"/>
      <c r="R434" s="44"/>
    </row>
    <row r="435" ht="20.1" customHeight="1">
      <c r="B435" s="428"/>
      <c r="C435" s="534" t="s">
        <v>1285</v>
      </c>
      <c r="D435" s="234" t="n">
        <v>1</v>
      </c>
      <c r="E435" s="234"/>
      <c r="F435" s="1119" t="n">
        <v>2</v>
      </c>
      <c r="G435" s="752"/>
      <c r="H435" s="10"/>
      <c r="I435" s="10"/>
      <c r="K435" s="809"/>
      <c r="L435" s="809"/>
      <c r="Q435" s="44"/>
      <c r="R435" s="44"/>
    </row>
    <row r="436" ht="20.1" customHeight="1">
      <c r="A436"/>
      <c r="B436" s="428"/>
      <c r="C436" s="1120" t="s">
        <v>1286</v>
      </c>
      <c r="D436" s="1121" t="n">
        <v>2</v>
      </c>
      <c r="E436" s="1121"/>
      <c r="F436" s="1121" t="n">
        <v>3</v>
      </c>
      <c r="G436" s="752"/>
      <c r="H436" s="10"/>
      <c r="I436" s="10"/>
      <c r="K436" s="809"/>
      <c r="L436" s="809"/>
      <c r="Q436" s="44"/>
      <c r="R436" s="44"/>
    </row>
    <row r="437" ht="20.1" customHeight="1">
      <c r="A437"/>
      <c r="B437" s="276"/>
      <c r="C437" s="276"/>
      <c r="D437" s="276"/>
      <c r="E437" s="276"/>
      <c r="F437" s="276"/>
      <c r="G437" s="1096" t="s">
        <v>1287</v>
      </c>
      <c r="H437" s="1096"/>
      <c r="I437" s="1122" t="n">
        <v>1</v>
      </c>
      <c r="K437" s="809"/>
      <c r="L437" s="809"/>
      <c r="Q437" s="44"/>
      <c r="R437" s="44"/>
    </row>
    <row r="438" ht="20.1" customHeight="1">
      <c r="A438"/>
      <c r="B438"/>
      <c r="C438"/>
      <c r="D438" s="811"/>
      <c r="E438" s="811"/>
      <c r="F438" s="44"/>
      <c r="G438" s="752"/>
      <c r="H438" s="10"/>
      <c r="I438" s="10"/>
      <c r="K438" s="809"/>
      <c r="L438" s="809"/>
      <c r="Q438" s="44"/>
      <c r="R438" s="44"/>
    </row>
    <row r="439" ht="19.5" customHeight="1">
      <c r="A439"/>
      <c r="B439"/>
      <c r="C439"/>
      <c r="D439"/>
      <c r="E439" s="44"/>
      <c r="F439"/>
      <c r="G439" s="821"/>
      <c r="H439" s="10"/>
      <c r="I439" s="10"/>
      <c r="K439" s="809"/>
      <c r="L439" s="809"/>
      <c r="Q439" s="44"/>
      <c r="R439" s="44"/>
    </row>
    <row r="440" ht="19.5" customHeight="1">
      <c r="A440"/>
      <c r="B440"/>
      <c r="C440"/>
      <c r="D440" s="840" t="s">
        <v>1288</v>
      </c>
      <c r="E440" s="840"/>
      <c r="F440"/>
      <c r="G440" s="821"/>
      <c r="H440" s="10"/>
      <c r="I440" s="10"/>
      <c r="K440" s="809"/>
      <c r="L440" s="809"/>
      <c r="Q440" s="44"/>
      <c r="R440" s="44"/>
    </row>
    <row r="441" ht="20.1" customHeight="1">
      <c r="A441"/>
      <c r="B441"/>
      <c r="C441"/>
      <c r="D441" s="840"/>
      <c r="E441" s="840"/>
      <c r="F441"/>
      <c r="G441"/>
      <c r="H441" s="10"/>
      <c r="I441" s="10"/>
      <c r="K441" s="809"/>
      <c r="L441" s="809"/>
      <c r="Q441" s="44"/>
      <c r="R441" s="44"/>
    </row>
    <row r="442" ht="20.1" customHeight="1">
      <c r="A442"/>
      <c r="B442" s="405" t="s">
        <v>1289</v>
      </c>
      <c r="D442" s="1000" t="n">
        <f aca="false">SUMIF(D297:D303,I443,C297:C303)</f>
        <v>0</v>
      </c>
      <c r="E442" s="405"/>
      <c r="F442" s="405" t="s">
        <v>1290</v>
      </c>
      <c r="H442" s="1123"/>
      <c r="I442" s="621"/>
      <c r="K442" s="809"/>
      <c r="L442" s="809"/>
      <c r="Q442" s="44"/>
      <c r="R442" s="44"/>
    </row>
    <row r="443" ht="19.5" customHeight="1">
      <c r="A443"/>
      <c r="B443" s="405" t="s">
        <v>1291</v>
      </c>
      <c r="D443" s="621"/>
      <c r="E443" s="1123"/>
      <c r="F443" s="1124" t="s">
        <v>1292</v>
      </c>
      <c r="G443" s="1124"/>
      <c r="H443" s="1125" t="e">
        <f aca="false">INDEX(A297:A303,MATCH(I443,D297:D303,0))</f>
        <v>#N/A</v>
      </c>
      <c r="I443" s="1000" t="n">
        <f aca="false">MAX(D297:D303)</f>
        <v>0</v>
      </c>
      <c r="J443" s="10" t="s">
        <v>94</v>
      </c>
      <c r="K443" s="809"/>
      <c r="L443" s="809"/>
      <c r="Q443" s="44"/>
      <c r="R443" s="44"/>
    </row>
    <row r="444" ht="20.1" customHeight="1">
      <c r="A444"/>
      <c r="B444" s="405" t="s">
        <v>1293</v>
      </c>
      <c r="D444" s="1000" t="n">
        <f aca="false">D442+IF(D443="oui",2,0)</f>
        <v>0</v>
      </c>
      <c r="E444" s="405"/>
      <c r="F444" s="1126" t="s">
        <v>1279</v>
      </c>
      <c r="G444" s="1126"/>
      <c r="H444" s="1126"/>
      <c r="I444" s="1127" t="e">
        <f aca="false">I442/I443</f>
        <v>#DIV/0!</v>
      </c>
      <c r="K444" s="809"/>
      <c r="L444" s="809"/>
      <c r="Q444" s="44"/>
      <c r="R444" s="44"/>
    </row>
    <row r="445" ht="15" customHeight="1">
      <c r="A445"/>
      <c r="B445"/>
      <c r="C445" s="1128"/>
      <c r="D445" s="1128"/>
      <c r="E445" s="1129"/>
      <c r="F445" s="1128"/>
      <c r="G445" s="380"/>
      <c r="H445" s="380"/>
      <c r="I445" s="10"/>
      <c r="J445" s="43"/>
      <c r="K445" s="1076"/>
      <c r="L445" s="880"/>
      <c r="Q445" s="44"/>
      <c r="R445" s="44"/>
    </row>
    <row r="446" ht="20.1" customHeight="1">
      <c r="A446"/>
      <c r="B446"/>
      <c r="C446"/>
      <c r="D446"/>
      <c r="E446" s="44"/>
      <c r="F446"/>
      <c r="G446"/>
      <c r="H446"/>
      <c r="I446"/>
      <c r="J446" s="43"/>
      <c r="K446" s="1076"/>
      <c r="L446" s="880"/>
      <c r="Q446" s="44"/>
      <c r="R446" s="44"/>
    </row>
    <row r="447" ht="20.1" customHeight="1">
      <c r="A447"/>
      <c r="B447" s="1114"/>
      <c r="C447" s="428" t="s">
        <v>1280</v>
      </c>
      <c r="D447" s="428"/>
      <c r="E447" s="428"/>
      <c r="F447" s="428"/>
      <c r="G447"/>
      <c r="H447"/>
      <c r="I447" s="10"/>
      <c r="J447" s="43"/>
      <c r="K447" s="1076"/>
      <c r="L447" s="880"/>
      <c r="Q447" s="44"/>
      <c r="R447" s="44"/>
    </row>
    <row r="448" ht="55.5" customHeight="1">
      <c r="A448"/>
      <c r="B448" s="428" t="s">
        <v>1294</v>
      </c>
      <c r="C448" s="534"/>
      <c r="D448" s="534" t="s">
        <v>1283</v>
      </c>
      <c r="E448" s="534"/>
      <c r="F448" s="534" t="s">
        <v>1248</v>
      </c>
      <c r="G448"/>
      <c r="H448"/>
      <c r="I448" s="10"/>
      <c r="J448" s="43"/>
      <c r="K448" s="1076"/>
      <c r="L448" s="880"/>
      <c r="Q448" s="44"/>
      <c r="R448" s="44"/>
    </row>
    <row r="449" ht="20.1" customHeight="1">
      <c r="A449"/>
      <c r="B449" s="428"/>
      <c r="C449" s="534" t="s">
        <v>1295</v>
      </c>
      <c r="D449" s="234" t="n">
        <v>0</v>
      </c>
      <c r="E449" s="234"/>
      <c r="F449" s="234" t="n">
        <v>1</v>
      </c>
      <c r="G449"/>
      <c r="H449"/>
      <c r="I449" s="10"/>
      <c r="J449" s="43"/>
      <c r="K449" s="1076"/>
      <c r="L449" s="880"/>
      <c r="Q449" s="44"/>
      <c r="R449" s="44"/>
    </row>
    <row r="450" ht="20.1" customHeight="1">
      <c r="A450"/>
      <c r="B450" s="428"/>
      <c r="C450" s="534" t="s">
        <v>1296</v>
      </c>
      <c r="D450" s="234" t="n">
        <v>1</v>
      </c>
      <c r="E450" s="234"/>
      <c r="F450" s="234" t="n">
        <v>2</v>
      </c>
      <c r="G450"/>
      <c r="H450"/>
      <c r="I450" s="10"/>
      <c r="J450" s="43"/>
      <c r="K450" s="1076"/>
      <c r="L450" s="880"/>
      <c r="Q450" s="44"/>
      <c r="R450" s="44"/>
    </row>
    <row r="451" ht="20.1" customHeight="1">
      <c r="A451"/>
      <c r="B451" s="428"/>
      <c r="C451" s="534" t="s">
        <v>1297</v>
      </c>
      <c r="D451" s="234" t="n">
        <v>2</v>
      </c>
      <c r="E451" s="234"/>
      <c r="F451" s="234" t="n">
        <v>3</v>
      </c>
      <c r="G451"/>
      <c r="H451"/>
      <c r="I451" s="10"/>
      <c r="J451" s="43"/>
      <c r="K451" s="1076"/>
      <c r="L451" s="880"/>
      <c r="Q451" s="44"/>
      <c r="R451" s="44"/>
    </row>
    <row r="452" ht="20.1" customHeight="1">
      <c r="A452"/>
      <c r="B452" s="276"/>
      <c r="C452" s="276"/>
      <c r="D452" s="276"/>
      <c r="E452" s="276"/>
      <c r="F452" s="276"/>
      <c r="G452" s="1130" t="s">
        <v>1298</v>
      </c>
      <c r="H452" s="1130"/>
      <c r="I452" s="1131"/>
      <c r="J452" s="43"/>
      <c r="K452" s="1076"/>
      <c r="L452" s="880"/>
      <c r="Q452" s="44"/>
      <c r="R452" s="44"/>
    </row>
    <row r="453" ht="20.1" customHeight="1">
      <c r="A453"/>
      <c r="B453"/>
      <c r="C453"/>
      <c r="D453"/>
      <c r="E453" s="44"/>
      <c r="F453"/>
      <c r="G453"/>
      <c r="H453"/>
      <c r="I453" s="10"/>
      <c r="J453" s="43"/>
      <c r="K453" s="1076"/>
      <c r="L453" s="880"/>
      <c r="Q453" s="44"/>
      <c r="R453" s="44"/>
    </row>
    <row r="454" ht="20.1" customHeight="1">
      <c r="A454"/>
      <c r="B454"/>
      <c r="C454"/>
      <c r="D454"/>
      <c r="E454" s="44"/>
      <c r="F454"/>
      <c r="G454"/>
      <c r="H454"/>
      <c r="I454" s="10"/>
      <c r="J454" s="43"/>
      <c r="K454" s="1076"/>
      <c r="L454" s="880"/>
      <c r="Q454" s="44"/>
      <c r="R454" s="44"/>
    </row>
    <row r="455" ht="20.1" customHeight="1">
      <c r="A455"/>
      <c r="B455"/>
      <c r="C455"/>
      <c r="D455" s="840" t="s">
        <v>98</v>
      </c>
      <c r="E455" s="840"/>
      <c r="F455"/>
      <c r="G455"/>
      <c r="H455"/>
      <c r="I455" s="10"/>
      <c r="J455" s="43"/>
      <c r="K455" s="1076"/>
      <c r="L455" s="880"/>
      <c r="Q455" s="44"/>
      <c r="R455" s="44"/>
    </row>
    <row r="456" ht="20.1" customHeight="1">
      <c r="A456"/>
      <c r="B456"/>
      <c r="C456"/>
      <c r="D456" s="840"/>
      <c r="E456" s="840"/>
      <c r="F456"/>
      <c r="G456"/>
      <c r="H456"/>
      <c r="I456" s="10"/>
      <c r="J456" s="12"/>
      <c r="K456"/>
      <c r="L456"/>
      <c r="Q456" s="44"/>
      <c r="R456" s="44"/>
    </row>
    <row r="457" ht="20.1" customHeight="1">
      <c r="A457"/>
      <c r="B457"/>
      <c r="D457" s="1095" t="s">
        <v>467</v>
      </c>
      <c r="E457" s="1095"/>
      <c r="F457" s="1096"/>
      <c r="G457"/>
      <c r="H457" s="12"/>
      <c r="I457"/>
      <c r="J457"/>
      <c r="K457"/>
      <c r="L457"/>
      <c r="Q457" s="44"/>
      <c r="R457" s="44"/>
    </row>
    <row r="458" ht="20.1" customHeight="1">
      <c r="A458"/>
      <c r="B458"/>
      <c r="C458" s="1067"/>
      <c r="D458" s="1067"/>
      <c r="E458" s="1067"/>
      <c r="F458" s="1097" t="n">
        <f aca="false">IF(F457&gt;=8,2,IF(F457&gt;=4,1,0))</f>
        <v>0</v>
      </c>
      <c r="J458"/>
      <c r="K458"/>
      <c r="L458"/>
      <c r="Q458" s="44"/>
      <c r="R458" s="44"/>
    </row>
    <row r="459" ht="15.75" customHeight="1">
      <c r="A459" s="1106" t="s">
        <v>468</v>
      </c>
      <c r="B459" s="1106"/>
      <c r="C459" s="1106"/>
      <c r="D459" s="1106"/>
      <c r="E459" s="1106"/>
      <c r="F459" s="1096"/>
      <c r="G459"/>
      <c r="H459" s="12"/>
      <c r="I459" s="646"/>
      <c r="J459" s="12"/>
      <c r="K459"/>
      <c r="L459"/>
      <c r="Q459" s="44"/>
      <c r="R459" s="44"/>
    </row>
    <row r="460" ht="15.75" customHeight="1">
      <c r="A460"/>
      <c r="B460"/>
      <c r="F460" s="1097" t="n">
        <f aca="false">IF(F459="oui",1,0)</f>
        <v>0</v>
      </c>
      <c r="I460" s="1132"/>
      <c r="J460" s="9"/>
      <c r="K460"/>
      <c r="L460"/>
      <c r="Q460" s="44"/>
      <c r="R460" s="44"/>
    </row>
    <row r="461" ht="20.1" customHeight="1">
      <c r="A461" s="1133" t="s">
        <v>469</v>
      </c>
      <c r="B461" s="1133"/>
      <c r="C461" s="1133"/>
      <c r="D461" s="1133"/>
      <c r="E461" s="1133"/>
      <c r="F461" s="1096"/>
      <c r="G461" s="1095" t="s">
        <v>1299</v>
      </c>
      <c r="H461" s="1095"/>
      <c r="I461" s="1134" t="n">
        <f aca="false">MIN(3,SUM(F458,F460,F462))</f>
        <v>0</v>
      </c>
      <c r="J461" s="43"/>
      <c r="K461"/>
      <c r="L461"/>
      <c r="Q461" s="44"/>
      <c r="R461" s="44"/>
    </row>
    <row r="462" ht="20.1" customHeight="1">
      <c r="A462"/>
      <c r="B462"/>
      <c r="D462" s="383"/>
      <c r="E462" s="383"/>
      <c r="F462" s="1097" t="n">
        <f aca="false">IF(F461="oui",1,0)</f>
        <v>0</v>
      </c>
      <c r="G462" s="383"/>
      <c r="H462" s="383"/>
      <c r="I462" s="383"/>
      <c r="J462" s="9"/>
      <c r="K462"/>
      <c r="L462"/>
      <c r="Q462" s="44"/>
      <c r="R462" s="44"/>
    </row>
    <row r="463" ht="20.1" customHeight="1">
      <c r="A463"/>
      <c r="B463"/>
      <c r="C463"/>
      <c r="D463"/>
      <c r="E463" s="44"/>
      <c r="F463"/>
      <c r="G463"/>
      <c r="H463"/>
      <c r="I463" s="10"/>
      <c r="J463" s="43"/>
      <c r="K463"/>
      <c r="L463"/>
      <c r="Q463" s="44"/>
      <c r="R463" s="44"/>
    </row>
    <row r="464" ht="20.1" customHeight="1">
      <c r="A464"/>
      <c r="B464"/>
      <c r="C464"/>
      <c r="D464" s="840" t="s">
        <v>100</v>
      </c>
      <c r="E464" s="840"/>
      <c r="F464"/>
      <c r="G464"/>
      <c r="H464"/>
      <c r="I464" s="10"/>
      <c r="J464" s="43"/>
      <c r="K464"/>
      <c r="L464"/>
      <c r="Q464" s="44"/>
      <c r="R464" s="44"/>
    </row>
    <row r="465" ht="20.1" customHeight="1">
      <c r="A465"/>
      <c r="B465"/>
      <c r="C465"/>
      <c r="D465" s="840"/>
      <c r="E465" s="840"/>
      <c r="F465"/>
      <c r="G465"/>
      <c r="H465"/>
      <c r="I465" s="10"/>
      <c r="J465" s="43"/>
      <c r="K465"/>
      <c r="L465"/>
      <c r="Q465" s="44"/>
      <c r="R465" s="44"/>
    </row>
    <row r="466" ht="20.1" customHeight="1">
      <c r="A466"/>
      <c r="B466"/>
      <c r="C466" s="1095" t="s">
        <v>1300</v>
      </c>
      <c r="D466" s="1095"/>
      <c r="E466" s="1095"/>
      <c r="F466" s="1096"/>
      <c r="G466"/>
      <c r="H466"/>
      <c r="I466" s="10"/>
      <c r="J466" s="43"/>
      <c r="K466"/>
      <c r="L466"/>
      <c r="Q466" s="44"/>
      <c r="R466" s="44"/>
    </row>
    <row r="467" ht="20.1" customHeight="1">
      <c r="A467"/>
      <c r="B467"/>
      <c r="C467" s="1067"/>
      <c r="D467" s="1067"/>
      <c r="E467" s="1061" t="s">
        <v>1261</v>
      </c>
      <c r="F467" s="1097" t="n">
        <f aca="false">IF(F466=1,1,IF(F466=2,2,IF(F466&gt;=3,3,0)))</f>
        <v>0</v>
      </c>
      <c r="G467"/>
      <c r="H467"/>
      <c r="I467" s="10"/>
      <c r="J467" s="43"/>
      <c r="K467"/>
      <c r="L467"/>
      <c r="Q467" s="44"/>
      <c r="R467" s="44"/>
    </row>
    <row r="468" ht="20.1" customHeight="1">
      <c r="A468" s="1133" t="s">
        <v>476</v>
      </c>
      <c r="B468" s="1133"/>
      <c r="C468" s="1133"/>
      <c r="D468" s="1133"/>
      <c r="E468" s="1133"/>
      <c r="F468" s="1096"/>
      <c r="G468" s="1095" t="s">
        <v>1301</v>
      </c>
      <c r="H468" s="1095"/>
      <c r="I468" s="1134" t="n">
        <f aca="false">MIN(3,SUM(F467,F469))</f>
        <v>0</v>
      </c>
      <c r="J468" s="43"/>
      <c r="K468"/>
      <c r="L468"/>
      <c r="Q468" s="44"/>
      <c r="R468" s="44"/>
    </row>
    <row r="469" ht="19.5" customHeight="1">
      <c r="A469"/>
      <c r="B469"/>
      <c r="C469"/>
      <c r="D469"/>
      <c r="E469"/>
      <c r="F469" s="1097" t="n">
        <f aca="false">IF(F468="oui",1,0)</f>
        <v>0</v>
      </c>
      <c r="G469"/>
      <c r="H469"/>
      <c r="I469" s="10"/>
      <c r="J469" s="43"/>
      <c r="K469"/>
      <c r="L469"/>
      <c r="Q469" s="44"/>
      <c r="R469" s="44"/>
    </row>
    <row r="470" ht="19.5" customHeight="1">
      <c r="A470"/>
      <c r="B470"/>
      <c r="C470"/>
      <c r="D470"/>
      <c r="E470"/>
      <c r="F470" s="1097"/>
      <c r="G470"/>
      <c r="H470"/>
      <c r="I470" s="10"/>
      <c r="J470" s="43"/>
      <c r="K470"/>
      <c r="L470"/>
      <c r="Q470" s="44"/>
      <c r="R470" s="44"/>
    </row>
    <row r="471" ht="19.5" customHeight="1">
      <c r="A471"/>
      <c r="B471" s="1094" t="s">
        <v>1302</v>
      </c>
      <c r="C471" s="1094"/>
      <c r="D471" t="s">
        <v>1303</v>
      </c>
      <c r="E471"/>
      <c r="F471" s="1097"/>
      <c r="G471"/>
      <c r="H471"/>
      <c r="I471" s="10"/>
      <c r="J471" s="43"/>
      <c r="K471"/>
      <c r="L471"/>
      <c r="Q471" s="44"/>
      <c r="R471" s="44"/>
    </row>
    <row r="472" ht="31.5" customHeight="1">
      <c r="B472" s="1132"/>
      <c r="C472" s="1106" t="s">
        <v>1304</v>
      </c>
      <c r="D472" s="1106"/>
      <c r="E472" s="1106"/>
      <c r="F472" s="1096" t="s">
        <v>254</v>
      </c>
      <c r="H472" s="1102"/>
      <c r="I472" s="933"/>
      <c r="J472" s="1103"/>
      <c r="K472"/>
      <c r="Q472" s="44"/>
      <c r="R472" s="44"/>
    </row>
    <row r="473" ht="19.5" customHeight="1">
      <c r="A473" s="1135"/>
      <c r="B473"/>
      <c r="C473"/>
      <c r="D473" s="4"/>
      <c r="E473" s="4"/>
      <c r="F473" s="933"/>
      <c r="G473" s="46"/>
      <c r="H473" s="1102"/>
      <c r="I473" s="933"/>
      <c r="J473" s="1103"/>
      <c r="K473"/>
      <c r="Q473" s="44"/>
      <c r="R473" s="44"/>
    </row>
    <row r="474" ht="19.5" customHeight="1">
      <c r="A474" s="44"/>
      <c r="B474" s="1136"/>
      <c r="C474" s="44"/>
      <c r="D474" s="381" t="s">
        <v>1305</v>
      </c>
      <c r="E474" s="553" t="n">
        <f aca="false">F100</f>
        <v>0</v>
      </c>
      <c r="F474" s="44"/>
      <c r="G474" s="381" t="s">
        <v>1306</v>
      </c>
      <c r="H474" s="461" t="n">
        <f aca="false">D100</f>
        <v>0</v>
      </c>
      <c r="I474" s="381" t="s">
        <v>1307</v>
      </c>
      <c r="J474" s="1137" t="n">
        <f aca="false">IF(H474&gt;0,E474/H474,0)</f>
        <v>0</v>
      </c>
      <c r="K474"/>
      <c r="L474" t="s">
        <v>1308</v>
      </c>
      <c r="Q474" s="44"/>
      <c r="R474" s="44"/>
    </row>
    <row r="475" ht="19.5" customHeight="1">
      <c r="A475" s="44"/>
      <c r="B475" s="29"/>
      <c r="C475" s="44"/>
      <c r="D475" s="820"/>
      <c r="E475" s="44"/>
      <c r="F475" s="44"/>
      <c r="G475" s="12"/>
      <c r="H475" s="44"/>
      <c r="I475" s="44"/>
      <c r="J475" s="44"/>
      <c r="K475"/>
      <c r="L475"/>
      <c r="Q475" s="44"/>
      <c r="R475" s="44"/>
    </row>
    <row r="476" ht="19.5" customHeight="1">
      <c r="A476" s="44"/>
      <c r="B476" s="29"/>
      <c r="C476"/>
      <c r="D476" s="820"/>
      <c r="E476" s="44"/>
      <c r="F476" s="1095" t="s">
        <v>1309</v>
      </c>
      <c r="G476" s="1095"/>
      <c r="H476" s="1095"/>
      <c r="I476" s="1095"/>
      <c r="J476" s="1096" t="s">
        <v>1310</v>
      </c>
      <c r="K476"/>
      <c r="L476"/>
      <c r="Q476" s="44"/>
      <c r="R476" s="44"/>
    </row>
    <row r="477" ht="19.5" customHeight="1">
      <c r="A477"/>
      <c r="B477"/>
      <c r="C477"/>
      <c r="D477"/>
      <c r="E477"/>
      <c r="F477" s="1097"/>
      <c r="G477"/>
      <c r="H477"/>
      <c r="I477" s="10"/>
      <c r="J477" s="43"/>
      <c r="K477"/>
      <c r="L477"/>
      <c r="Q477" s="44"/>
      <c r="R477" s="44"/>
    </row>
    <row r="478" ht="19.5" customHeight="1">
      <c r="A478"/>
      <c r="B478"/>
      <c r="C478"/>
      <c r="D478"/>
      <c r="E478"/>
      <c r="F478" s="1097"/>
      <c r="G478"/>
      <c r="H478"/>
      <c r="I478" s="10"/>
      <c r="J478" s="43"/>
      <c r="K478"/>
      <c r="L478"/>
      <c r="Q478" s="44"/>
      <c r="R478" s="44"/>
    </row>
    <row r="479" ht="20.1" customHeight="1">
      <c r="A479" s="1071" t="s">
        <v>1311</v>
      </c>
      <c r="B479" s="1071"/>
      <c r="C479" s="1071"/>
      <c r="D479" s="1071"/>
      <c r="E479" s="1071"/>
      <c r="F479" s="1071"/>
      <c r="G479" s="1071"/>
      <c r="H479" s="42"/>
      <c r="I479" s="42"/>
      <c r="J479" s="42"/>
      <c r="K479" s="1072"/>
      <c r="L479" s="1073" t="s">
        <v>1312</v>
      </c>
      <c r="Q479" s="44"/>
      <c r="R479" s="44"/>
    </row>
    <row r="480" ht="20.1" customHeight="1">
      <c r="A480" s="806"/>
      <c r="B480" s="806"/>
      <c r="C480" s="807"/>
      <c r="D480" s="807"/>
      <c r="E480" s="807"/>
      <c r="F480" s="807"/>
      <c r="G480" s="807"/>
      <c r="H480" s="808"/>
      <c r="I480" s="1138"/>
      <c r="J480" s="1139"/>
      <c r="K480" s="1068"/>
      <c r="L480" s="1140"/>
      <c r="Q480" s="44"/>
      <c r="R480" s="44"/>
    </row>
    <row r="481" ht="20.1" customHeight="1">
      <c r="A481" s="806"/>
      <c r="B481" s="806"/>
      <c r="C481" s="807"/>
      <c r="D481" s="725" t="s">
        <v>1313</v>
      </c>
      <c r="E481" s="725"/>
      <c r="F481" s="1095" t="s">
        <v>1314</v>
      </c>
      <c r="G481" s="1095"/>
      <c r="H481" s="1095"/>
      <c r="I481" s="1141" t="n">
        <f aca="false">IF(F322="","REMPLIR TABLEAU Ligne 304",L321/(B25+B26))</f>
        <v>0.960526315789474</v>
      </c>
      <c r="J481" s="1141"/>
      <c r="K481" s="1068"/>
      <c r="L481" s="1140"/>
      <c r="Q481" s="44"/>
      <c r="R481" s="44"/>
    </row>
    <row r="482" ht="20.1" customHeight="1">
      <c r="A482" s="806"/>
      <c r="B482" s="806"/>
      <c r="C482" s="807"/>
      <c r="D482" s="725"/>
      <c r="E482" s="725"/>
      <c r="F482" s="1142"/>
      <c r="G482" s="1142"/>
      <c r="H482" s="1142"/>
      <c r="I482" s="1143"/>
      <c r="J482" s="4"/>
      <c r="K482" s="1068"/>
      <c r="L482" s="1140"/>
      <c r="Q482" s="44"/>
      <c r="R482" s="44"/>
    </row>
    <row r="483" ht="20.1" customHeight="1">
      <c r="A483" s="806"/>
      <c r="B483" s="806"/>
      <c r="C483" s="807"/>
      <c r="D483" s="725"/>
      <c r="E483" s="725"/>
      <c r="F483" s="1095" t="s">
        <v>1315</v>
      </c>
      <c r="G483" s="1095"/>
      <c r="H483" s="1095"/>
      <c r="I483" s="1095"/>
      <c r="J483" s="1096" t="s">
        <v>254</v>
      </c>
      <c r="K483" s="1068"/>
      <c r="L483" s="1140" t="s">
        <v>1192</v>
      </c>
      <c r="Q483" s="44"/>
      <c r="R483" s="44"/>
    </row>
    <row r="484" ht="20.1" customHeight="1">
      <c r="A484" s="806"/>
      <c r="B484" s="806"/>
      <c r="C484" s="807"/>
      <c r="D484" s="725"/>
      <c r="E484" s="725"/>
      <c r="F484" s="632"/>
      <c r="G484" s="632"/>
      <c r="H484" s="500"/>
      <c r="I484" s="897" t="s">
        <v>1316</v>
      </c>
      <c r="J484" s="809"/>
      <c r="K484" s="1068"/>
      <c r="L484" s="1140"/>
      <c r="Q484" s="44"/>
      <c r="R484" s="44"/>
    </row>
    <row r="485" ht="20.1" customHeight="1">
      <c r="A485" s="806"/>
      <c r="B485" s="806"/>
      <c r="C485" s="807"/>
      <c r="D485" s="1144"/>
      <c r="E485" s="1144"/>
      <c r="F485" s="632"/>
      <c r="G485" s="632"/>
      <c r="H485" s="500"/>
      <c r="I485" s="897"/>
      <c r="J485" s="809"/>
      <c r="K485" s="1068"/>
      <c r="L485" s="1140"/>
      <c r="Q485" s="44"/>
      <c r="R485" s="44"/>
    </row>
    <row r="486" ht="20.1" customHeight="1">
      <c r="A486" s="806"/>
      <c r="B486" s="806"/>
      <c r="C486" s="807"/>
      <c r="D486" s="1144"/>
      <c r="E486" s="1144"/>
      <c r="F486" s="632"/>
      <c r="G486" s="632"/>
      <c r="H486" s="500"/>
      <c r="I486" s="1076"/>
      <c r="J486" s="809"/>
      <c r="K486" s="1068"/>
      <c r="L486" s="1140"/>
      <c r="Q486" s="44"/>
      <c r="R486" s="44"/>
    </row>
    <row r="487" ht="20.1" customHeight="1">
      <c r="A487" s="806"/>
      <c r="B487" s="806"/>
      <c r="C487" s="807"/>
      <c r="D487" s="725" t="s">
        <v>1317</v>
      </c>
      <c r="E487" s="725"/>
      <c r="F487" s="1095" t="s">
        <v>1318</v>
      </c>
      <c r="G487" s="1095"/>
      <c r="H487" s="1095"/>
      <c r="I487" s="1095"/>
      <c r="J487" s="1096"/>
      <c r="K487" s="1068"/>
      <c r="L487" s="1140" t="s">
        <v>1260</v>
      </c>
      <c r="Q487" s="44"/>
      <c r="R487" s="44"/>
    </row>
    <row r="488" ht="20.1" customHeight="1">
      <c r="A488" s="806"/>
      <c r="B488" s="806"/>
      <c r="C488" s="807"/>
      <c r="D488" s="725"/>
      <c r="E488" s="725"/>
      <c r="F488" s="632"/>
      <c r="G488" s="632"/>
      <c r="H488" s="500"/>
      <c r="I488" s="1076"/>
      <c r="J488" s="809"/>
      <c r="K488" s="1068"/>
      <c r="L488" s="1140"/>
      <c r="Q488" s="44"/>
      <c r="R488" s="44"/>
    </row>
    <row r="489" ht="20.1" customHeight="1">
      <c r="A489" s="806"/>
      <c r="B489" s="806"/>
      <c r="C489" s="807"/>
      <c r="D489" s="725"/>
      <c r="E489" s="725"/>
      <c r="F489" s="1095" t="s">
        <v>462</v>
      </c>
      <c r="G489" s="1095"/>
      <c r="H489" s="1095"/>
      <c r="I489" s="1095"/>
      <c r="J489" s="1096"/>
      <c r="K489" s="1068"/>
      <c r="L489" s="1140"/>
      <c r="Q489" s="44"/>
      <c r="R489" s="44"/>
    </row>
    <row r="490" ht="20.1" customHeight="1">
      <c r="A490" s="806"/>
      <c r="B490" s="806"/>
      <c r="C490" s="807"/>
      <c r="D490" s="725"/>
      <c r="E490" s="725"/>
      <c r="F490" s="632"/>
      <c r="G490" s="632"/>
      <c r="H490" s="500"/>
      <c r="I490" s="1076"/>
      <c r="J490" s="809"/>
      <c r="K490" s="1068"/>
      <c r="L490" s="1140"/>
      <c r="Q490" s="44"/>
      <c r="R490" s="44"/>
    </row>
    <row r="491" ht="20.1" customHeight="1">
      <c r="A491" s="806"/>
      <c r="B491" s="806"/>
      <c r="C491" s="807"/>
      <c r="D491" s="725"/>
      <c r="E491" s="725"/>
      <c r="F491" s="1095" t="s">
        <v>463</v>
      </c>
      <c r="G491" s="1095"/>
      <c r="H491" s="1095"/>
      <c r="I491" s="1095"/>
      <c r="J491" s="1096"/>
      <c r="K491" s="1068"/>
      <c r="L491" s="1140"/>
      <c r="Q491" s="44"/>
      <c r="R491" s="44"/>
    </row>
    <row r="492" ht="20.1" customHeight="1">
      <c r="A492" s="806"/>
      <c r="B492" s="806"/>
      <c r="C492" s="807"/>
      <c r="D492" s="1144"/>
      <c r="E492" s="1144"/>
      <c r="F492" s="1145"/>
      <c r="G492" s="1145"/>
      <c r="H492" s="1145"/>
      <c r="I492" s="1145"/>
      <c r="J492" s="809"/>
      <c r="K492" s="1068"/>
      <c r="L492" s="1140"/>
      <c r="Q492" s="44"/>
      <c r="R492" s="44"/>
    </row>
    <row r="493" ht="20.1" customHeight="1">
      <c r="A493" s="806"/>
      <c r="B493" s="806"/>
      <c r="C493" s="807"/>
      <c r="D493" s="1144"/>
      <c r="E493" s="1144"/>
      <c r="F493" s="1145"/>
      <c r="G493" s="1145"/>
      <c r="H493" s="1145"/>
      <c r="I493" s="1145"/>
      <c r="J493" s="809"/>
      <c r="K493" s="1068"/>
      <c r="L493" s="1140"/>
      <c r="Q493" s="44"/>
      <c r="R493" s="44"/>
    </row>
    <row r="494" ht="20.1" customHeight="1">
      <c r="A494" s="806"/>
      <c r="B494" s="806"/>
      <c r="C494" s="807"/>
      <c r="D494" s="725" t="s">
        <v>100</v>
      </c>
      <c r="E494" s="725"/>
      <c r="F494" s="1095" t="s">
        <v>477</v>
      </c>
      <c r="G494" s="1095"/>
      <c r="H494" s="1095"/>
      <c r="I494" s="1095"/>
      <c r="J494" s="1096"/>
      <c r="K494" s="1068"/>
      <c r="L494" s="1140" t="s">
        <v>1319</v>
      </c>
      <c r="Q494" s="44"/>
      <c r="R494" s="44"/>
    </row>
    <row r="495" ht="20.1" customHeight="1">
      <c r="A495" s="806"/>
      <c r="B495" s="806"/>
      <c r="C495" s="807"/>
      <c r="D495" s="725"/>
      <c r="E495" s="725"/>
      <c r="F495" s="834"/>
      <c r="G495" s="834"/>
      <c r="H495" s="834"/>
      <c r="I495" s="1061" t="s">
        <v>1261</v>
      </c>
      <c r="J495" s="809"/>
      <c r="K495" s="1068"/>
      <c r="L495" s="1140"/>
      <c r="Q495" s="44"/>
      <c r="R495" s="44"/>
    </row>
    <row r="496" ht="20.1" customHeight="1">
      <c r="A496" s="806"/>
      <c r="B496" s="806"/>
      <c r="C496" s="807"/>
      <c r="D496" s="725"/>
      <c r="E496" s="725"/>
      <c r="F496" s="1095" t="s">
        <v>478</v>
      </c>
      <c r="G496" s="1095"/>
      <c r="H496" s="1095"/>
      <c r="I496" s="1095"/>
      <c r="J496" s="1096"/>
      <c r="K496" s="1068"/>
      <c r="L496" s="1140"/>
      <c r="Q496" s="44"/>
      <c r="R496" s="44"/>
    </row>
    <row r="497" ht="20.1" customHeight="1">
      <c r="A497" s="806"/>
      <c r="B497" s="806"/>
      <c r="C497" s="807"/>
      <c r="D497" s="725"/>
      <c r="E497" s="725"/>
      <c r="F497" s="1145"/>
      <c r="G497" s="1145"/>
      <c r="H497" s="1145"/>
      <c r="I497" s="1061" t="s">
        <v>1261</v>
      </c>
      <c r="J497" s="809"/>
      <c r="K497" s="1068"/>
      <c r="L497" s="1140"/>
      <c r="Q497" s="44"/>
      <c r="R497" s="44"/>
    </row>
    <row r="498" ht="20.1" customHeight="1">
      <c r="A498" s="806"/>
      <c r="B498" s="806"/>
      <c r="C498" s="807"/>
      <c r="D498" s="725"/>
      <c r="E498" s="725"/>
      <c r="F498" s="1095" t="s">
        <v>479</v>
      </c>
      <c r="G498" s="1095"/>
      <c r="H498" s="1095"/>
      <c r="I498" s="1095"/>
      <c r="J498" s="1096"/>
      <c r="K498" s="1068"/>
      <c r="L498" s="1140"/>
      <c r="Q498" s="44"/>
      <c r="R498" s="44"/>
    </row>
    <row r="499" ht="20.1" customHeight="1">
      <c r="A499" s="806"/>
      <c r="B499" s="806"/>
      <c r="C499" s="807"/>
      <c r="D499" s="807"/>
      <c r="E499" s="807"/>
      <c r="F499" s="834"/>
      <c r="G499" s="834"/>
      <c r="H499" s="834"/>
      <c r="I499" s="834"/>
      <c r="J499" s="401"/>
      <c r="K499" s="1068"/>
      <c r="L499" s="1140"/>
      <c r="Q499" s="44"/>
      <c r="R499" s="44"/>
    </row>
    <row r="500" ht="20.1" customHeight="1">
      <c r="A500" s="806"/>
      <c r="B500" s="806"/>
      <c r="C500" s="807"/>
      <c r="D500" s="807"/>
      <c r="E500" s="807"/>
      <c r="F500" s="807"/>
      <c r="G500" s="807"/>
      <c r="H500" s="808"/>
      <c r="I500" s="401"/>
      <c r="J500" s="809"/>
      <c r="K500" s="1068"/>
      <c r="L500" s="1070"/>
      <c r="Q500" s="44"/>
      <c r="R500" s="44"/>
    </row>
    <row r="501" ht="20.1" customHeight="1">
      <c r="A501" s="1071" t="s">
        <v>1320</v>
      </c>
      <c r="B501" s="1071"/>
      <c r="C501" s="1071"/>
      <c r="D501" s="1071"/>
      <c r="E501" s="1071"/>
      <c r="F501" s="1071"/>
      <c r="G501" s="1071"/>
      <c r="H501" s="42"/>
      <c r="I501" s="42"/>
      <c r="J501" s="42"/>
      <c r="K501" s="1072"/>
      <c r="L501" s="1073" t="s">
        <v>1321</v>
      </c>
      <c r="Q501" s="44"/>
      <c r="R501" s="44"/>
    </row>
    <row r="502" ht="20.1" customHeight="1">
      <c r="A502" s="806"/>
      <c r="B502" s="806"/>
      <c r="C502" s="807"/>
      <c r="K502" s="1076"/>
      <c r="L502" s="880"/>
      <c r="Q502" s="44"/>
      <c r="R502" s="44"/>
    </row>
    <row r="503" ht="20.1" customHeight="1">
      <c r="A503" s="806"/>
      <c r="B503" s="806"/>
      <c r="C503" s="807"/>
      <c r="D503" s="725" t="s">
        <v>1313</v>
      </c>
      <c r="E503" s="725"/>
      <c r="F503" s="1095" t="s">
        <v>1322</v>
      </c>
      <c r="G503" s="1095"/>
      <c r="H503" s="1095"/>
      <c r="I503" s="1095"/>
      <c r="J503" s="1093" t="n">
        <v>2</v>
      </c>
      <c r="K503" s="1076"/>
      <c r="L503" s="1140" t="s">
        <v>1323</v>
      </c>
      <c r="Q503" s="44"/>
      <c r="R503" s="44"/>
    </row>
    <row r="504" ht="20.1" customHeight="1">
      <c r="A504" s="806"/>
      <c r="B504" s="806"/>
      <c r="C504" s="807"/>
      <c r="K504" s="1076"/>
      <c r="L504" s="880"/>
      <c r="Q504" s="44"/>
      <c r="R504" s="44"/>
    </row>
    <row r="505" ht="20.1" customHeight="1">
      <c r="A505" s="806"/>
      <c r="B505" s="806"/>
      <c r="C505" s="807"/>
      <c r="K505" s="1076"/>
      <c r="L505" s="880"/>
      <c r="Q505" s="44"/>
      <c r="R505" s="44"/>
    </row>
    <row r="506" ht="20.1" customHeight="1">
      <c r="A506" s="806"/>
      <c r="B506" s="806"/>
      <c r="C506" s="807"/>
      <c r="D506" s="725" t="s">
        <v>1324</v>
      </c>
      <c r="E506" s="725"/>
      <c r="F506" s="1095" t="s">
        <v>1325</v>
      </c>
      <c r="G506" s="1095"/>
      <c r="H506" s="1095"/>
      <c r="I506" s="1095"/>
      <c r="J506" s="1093"/>
      <c r="K506" s="1076"/>
      <c r="L506" s="880"/>
      <c r="Q506" s="44"/>
      <c r="R506" s="44"/>
    </row>
    <row r="507" ht="20.1" customHeight="1">
      <c r="A507" s="806"/>
      <c r="B507" s="806"/>
      <c r="C507" s="807"/>
      <c r="K507" s="1076"/>
      <c r="L507" s="880"/>
      <c r="Q507" s="44"/>
      <c r="R507" s="44"/>
    </row>
    <row r="508" ht="20.1" customHeight="1">
      <c r="A508" s="806"/>
      <c r="B508" s="806"/>
      <c r="C508" s="807"/>
      <c r="D508" s="725" t="s">
        <v>98</v>
      </c>
      <c r="E508" s="725"/>
      <c r="F508" s="1095" t="s">
        <v>1325</v>
      </c>
      <c r="G508" s="1095"/>
      <c r="H508" s="1095"/>
      <c r="I508" s="1095"/>
      <c r="J508" s="1093"/>
      <c r="K508" s="1076"/>
      <c r="L508" s="880"/>
      <c r="Q508" s="44"/>
      <c r="R508" s="44"/>
    </row>
    <row r="509" ht="20.1" customHeight="1">
      <c r="A509" s="806"/>
      <c r="B509" s="806"/>
      <c r="C509" s="807"/>
      <c r="K509" s="1076"/>
      <c r="L509" s="880"/>
      <c r="Q509" s="44"/>
      <c r="R509" s="44"/>
    </row>
    <row r="510" ht="20.1" customHeight="1">
      <c r="A510" s="806"/>
      <c r="B510" s="806"/>
      <c r="C510" s="807"/>
      <c r="D510" s="807"/>
      <c r="E510" s="807"/>
      <c r="F510" s="807"/>
      <c r="G510" s="807"/>
      <c r="H510" s="808"/>
      <c r="I510" s="401"/>
      <c r="J510" s="809"/>
      <c r="K510" s="1076"/>
      <c r="L510" s="880"/>
      <c r="Q510" s="44"/>
      <c r="R510" s="44"/>
    </row>
    <row r="511" ht="20.1" customHeight="1">
      <c r="A511" s="806"/>
      <c r="B511" s="806"/>
      <c r="C511" s="807"/>
      <c r="D511" s="725" t="s">
        <v>100</v>
      </c>
      <c r="E511" s="725"/>
      <c r="F511" s="1095" t="s">
        <v>1325</v>
      </c>
      <c r="G511" s="1095"/>
      <c r="H511" s="1095"/>
      <c r="I511" s="1095"/>
      <c r="J511" s="1093"/>
      <c r="K511" s="1076"/>
      <c r="L511" s="880"/>
      <c r="Q511" s="44"/>
      <c r="R511" s="44"/>
    </row>
    <row r="512" ht="20.1" customHeight="1">
      <c r="D512" s="725"/>
      <c r="E512" s="725"/>
      <c r="F512" s="807"/>
      <c r="G512" s="807"/>
      <c r="H512" s="808"/>
      <c r="I512" s="401"/>
      <c r="J512" s="809"/>
      <c r="K512" s="1076"/>
      <c r="L512" s="880"/>
      <c r="Q512" s="44"/>
      <c r="R512" s="44"/>
    </row>
    <row r="513" ht="20.1" customHeight="1">
      <c r="A513" s="1146"/>
      <c r="B513" s="1146"/>
      <c r="C513" s="1146"/>
      <c r="D513" s="725"/>
      <c r="E513" s="725"/>
      <c r="F513" s="1095" t="s">
        <v>1326</v>
      </c>
      <c r="G513" s="1095"/>
      <c r="H513" s="1095"/>
      <c r="I513" s="1095"/>
      <c r="J513" s="1096"/>
      <c r="K513" s="1076"/>
      <c r="L513" s="1140" t="s">
        <v>1319</v>
      </c>
      <c r="Q513" s="44"/>
      <c r="R513" s="44"/>
    </row>
    <row r="514" ht="20.1" customHeight="1">
      <c r="A514" s="806"/>
      <c r="B514" s="806"/>
      <c r="C514" s="807"/>
      <c r="D514" s="807"/>
      <c r="E514" s="807"/>
      <c r="F514" s="807"/>
      <c r="G514" s="807"/>
      <c r="H514" s="808"/>
      <c r="I514" s="401"/>
      <c r="J514" s="809"/>
      <c r="K514" s="1076"/>
      <c r="L514" s="880"/>
      <c r="Q514" s="44"/>
      <c r="R514" s="44"/>
    </row>
    <row r="515" ht="20.1" customHeight="1">
      <c r="A515" s="12" t="s">
        <v>1327</v>
      </c>
      <c r="B515" s="12"/>
      <c r="C515" s="12"/>
      <c r="D515" s="12"/>
      <c r="E515" s="12"/>
      <c r="F515" s="12"/>
      <c r="G515" s="12"/>
      <c r="H515" s="12"/>
      <c r="I515" s="12"/>
      <c r="K515" s="1076"/>
      <c r="L515" s="880"/>
      <c r="Q515" s="44"/>
      <c r="R515" s="44"/>
    </row>
    <row r="516" ht="20.1" customHeight="1">
      <c r="A516"/>
      <c r="B516"/>
      <c r="C516" s="1061" t="s">
        <v>1261</v>
      </c>
      <c r="D516"/>
      <c r="E516"/>
      <c r="F516"/>
      <c r="G516"/>
      <c r="H516"/>
      <c r="I516"/>
      <c r="K516" s="1076"/>
      <c r="Q516" s="44"/>
      <c r="R516" s="44"/>
    </row>
    <row r="517" ht="20.1" customHeight="1">
      <c r="A517"/>
      <c r="B517" s="29"/>
      <c r="C517" s="9"/>
      <c r="D517" s="1041" t="s">
        <v>1328</v>
      </c>
      <c r="E517" s="1147" t="s">
        <v>1329</v>
      </c>
      <c r="F517" s="1147" t="s">
        <v>1330</v>
      </c>
      <c r="G517"/>
      <c r="H517"/>
      <c r="I517"/>
      <c r="K517" s="1076"/>
      <c r="L517" s="1140" t="s">
        <v>1323</v>
      </c>
      <c r="Q517" s="44"/>
      <c r="R517" s="44"/>
    </row>
    <row r="518" ht="20.1" customHeight="1">
      <c r="A518"/>
      <c r="B518"/>
      <c r="C518" s="38"/>
      <c r="D518" s="544" t="s">
        <v>604</v>
      </c>
      <c r="E518" s="544" t="s">
        <v>1331</v>
      </c>
      <c r="F518" s="544" t="s">
        <v>1331</v>
      </c>
      <c r="G518"/>
      <c r="H518" s="834"/>
      <c r="I518"/>
      <c r="J518"/>
      <c r="K518" s="1076"/>
      <c r="L518" s="880"/>
      <c r="Q518" s="44"/>
      <c r="R518" s="44"/>
    </row>
    <row r="519" ht="20.1" customHeight="1">
      <c r="A519"/>
      <c r="B519" s="950" t="s">
        <v>605</v>
      </c>
      <c r="C519" s="950"/>
      <c r="D519" s="950" t="n">
        <v>500</v>
      </c>
      <c r="E519" s="858" t="n">
        <f aca="false">7000/100</f>
        <v>70</v>
      </c>
      <c r="F519" s="543" t="n">
        <f aca="false">D519*E519</f>
        <v>35000</v>
      </c>
      <c r="G519"/>
      <c r="H519"/>
      <c r="I519"/>
      <c r="J519"/>
      <c r="K519" s="1076"/>
      <c r="L519" s="880"/>
      <c r="Q519" s="44"/>
      <c r="R519" s="44"/>
    </row>
    <row r="520" ht="20.1" customHeight="1">
      <c r="A520"/>
      <c r="B520" s="950" t="s">
        <v>607</v>
      </c>
      <c r="C520" s="950"/>
      <c r="D520" s="950" t="n">
        <v>1000</v>
      </c>
      <c r="E520" s="858" t="n">
        <f aca="false">1200/100</f>
        <v>12</v>
      </c>
      <c r="F520" s="543" t="n">
        <f aca="false">D520*E520</f>
        <v>12000</v>
      </c>
      <c r="G520"/>
      <c r="H520" s="1148"/>
      <c r="I520"/>
      <c r="J520"/>
      <c r="K520" s="1076"/>
      <c r="L520" s="880"/>
      <c r="Q520" s="44"/>
      <c r="R520" s="44"/>
    </row>
    <row r="521" ht="20.1" customHeight="1">
      <c r="A521"/>
      <c r="B521" s="950" t="s">
        <v>1332</v>
      </c>
      <c r="C521" s="950"/>
      <c r="D521" s="950" t="n">
        <v>15</v>
      </c>
      <c r="E521" s="858" t="n">
        <f aca="false">500/100</f>
        <v>5</v>
      </c>
      <c r="F521" s="543" t="n">
        <f aca="false">D521*E521</f>
        <v>75</v>
      </c>
      <c r="G521"/>
      <c r="H521" s="1099" t="s">
        <v>1333</v>
      </c>
      <c r="I521" s="1099"/>
      <c r="J521" s="374" t="n">
        <f aca="false">(F532/10000/B24)</f>
        <v>0.113084415584416</v>
      </c>
      <c r="K521"/>
      <c r="L521"/>
      <c r="Q521" s="44"/>
      <c r="R521" s="44"/>
    </row>
    <row r="522" ht="30.75" customHeight="1">
      <c r="A522"/>
      <c r="B522" s="950" t="s">
        <v>1334</v>
      </c>
      <c r="C522" s="950"/>
      <c r="D522" s="950"/>
      <c r="E522" s="858" t="n">
        <f aca="false">100/1</f>
        <v>100</v>
      </c>
      <c r="F522" s="543" t="n">
        <f aca="false">D522*E522</f>
        <v>0</v>
      </c>
      <c r="G522"/>
      <c r="H522" s="1099"/>
      <c r="I522" s="1099"/>
      <c r="J522" s="374"/>
      <c r="K522"/>
      <c r="L522"/>
      <c r="Q522" s="44"/>
      <c r="R522" s="44"/>
    </row>
    <row r="523" ht="20.1" customHeight="1">
      <c r="A523"/>
      <c r="B523" s="950" t="s">
        <v>612</v>
      </c>
      <c r="C523" s="950"/>
      <c r="D523" s="950"/>
      <c r="E523" s="858" t="n">
        <f aca="false">5680/100</f>
        <v>56.8</v>
      </c>
      <c r="F523" s="543" t="n">
        <f aca="false">D523*E523</f>
        <v>0</v>
      </c>
      <c r="G523"/>
      <c r="H523" s="1148"/>
      <c r="I523"/>
      <c r="J523"/>
      <c r="K523" s="1076"/>
      <c r="L523" s="880"/>
      <c r="Q523" s="44"/>
      <c r="R523" s="44"/>
    </row>
    <row r="524" ht="20.1" customHeight="1">
      <c r="A524"/>
      <c r="B524" s="950" t="s">
        <v>1335</v>
      </c>
      <c r="C524" s="950"/>
      <c r="D524" s="950"/>
      <c r="E524" s="858" t="n">
        <v>10</v>
      </c>
      <c r="F524" s="543" t="n">
        <f aca="false">D524*E524</f>
        <v>0</v>
      </c>
      <c r="G524"/>
      <c r="H524" s="1148"/>
      <c r="I524"/>
      <c r="J524"/>
      <c r="K524" s="1076"/>
      <c r="L524" s="880"/>
      <c r="Q524" s="44"/>
      <c r="R524" s="44"/>
    </row>
    <row r="525" ht="20.1" customHeight="1">
      <c r="A525"/>
      <c r="B525"/>
      <c r="C525"/>
      <c r="D525" s="544" t="s">
        <v>94</v>
      </c>
      <c r="E525" s="544" t="s">
        <v>1336</v>
      </c>
      <c r="F525" s="544"/>
      <c r="G525" s="375"/>
      <c r="H525" s="375"/>
      <c r="I525"/>
      <c r="J525"/>
      <c r="K525" s="1076"/>
      <c r="L525" s="880"/>
      <c r="Q525" s="44"/>
      <c r="R525" s="44"/>
    </row>
    <row r="526" ht="20.1" customHeight="1">
      <c r="A526" s="44"/>
      <c r="B526" s="950" t="s">
        <v>606</v>
      </c>
      <c r="C526" s="950"/>
      <c r="D526" s="950"/>
      <c r="E526" s="858" t="n">
        <v>52880</v>
      </c>
      <c r="F526" s="543" t="n">
        <f aca="false">D526*E526</f>
        <v>0</v>
      </c>
      <c r="G526"/>
      <c r="H526" s="834"/>
      <c r="I526"/>
      <c r="J526"/>
      <c r="K526" s="1076"/>
      <c r="L526" s="880"/>
      <c r="Q526" s="44"/>
      <c r="R526" s="44"/>
    </row>
    <row r="527" ht="20.1" customHeight="1">
      <c r="A527" s="44"/>
      <c r="B527" s="950" t="s">
        <v>608</v>
      </c>
      <c r="C527" s="950"/>
      <c r="D527" s="950"/>
      <c r="E527" s="858" t="n">
        <v>10000</v>
      </c>
      <c r="F527" s="543" t="n">
        <f aca="false">D527*E527</f>
        <v>0</v>
      </c>
      <c r="G527" s="44"/>
      <c r="H527" s="12"/>
      <c r="I527"/>
      <c r="J527"/>
      <c r="K527" s="1076"/>
      <c r="L527" s="880"/>
      <c r="Q527" s="44"/>
      <c r="R527" s="44"/>
    </row>
    <row r="528" ht="20.1" customHeight="1">
      <c r="A528" s="44"/>
      <c r="B528" s="950" t="s">
        <v>1337</v>
      </c>
      <c r="C528" s="950"/>
      <c r="D528" s="543" t="n">
        <f aca="false">B27</f>
        <v>1</v>
      </c>
      <c r="E528" s="858" t="n">
        <v>10000</v>
      </c>
      <c r="F528" s="543" t="n">
        <f aca="false">D528*E528</f>
        <v>10000</v>
      </c>
      <c r="G528" s="44"/>
      <c r="H528" s="44"/>
      <c r="I528" s="375"/>
      <c r="J528" s="375"/>
      <c r="K528" s="376"/>
      <c r="L528" s="880"/>
      <c r="Q528" s="44"/>
      <c r="R528" s="44"/>
    </row>
    <row r="529" ht="20.1" customHeight="1">
      <c r="A529" s="44"/>
      <c r="B529" s="950" t="s">
        <v>370</v>
      </c>
      <c r="C529" s="950"/>
      <c r="D529" s="543" t="n">
        <f aca="false">D310</f>
        <v>3</v>
      </c>
      <c r="E529" s="858" t="n">
        <v>10000</v>
      </c>
      <c r="F529" s="543" t="n">
        <f aca="false">D529*E529</f>
        <v>30000</v>
      </c>
      <c r="G529" s="44"/>
      <c r="H529" s="44"/>
      <c r="I529" s="375"/>
      <c r="J529" s="375"/>
      <c r="K529" s="376"/>
      <c r="L529" s="880"/>
      <c r="Q529" s="44"/>
      <c r="R529" s="44"/>
    </row>
    <row r="530" ht="27.75" customHeight="1">
      <c r="A530" s="44"/>
      <c r="B530" s="950" t="s">
        <v>1338</v>
      </c>
      <c r="C530" s="950"/>
      <c r="D530" s="950"/>
      <c r="E530" s="858" t="n">
        <v>10000</v>
      </c>
      <c r="F530" s="543" t="n">
        <f aca="false">D530*E530</f>
        <v>0</v>
      </c>
      <c r="G530" s="44"/>
      <c r="H530" s="44"/>
      <c r="I530" s="375"/>
      <c r="J530" s="375"/>
      <c r="K530" s="376"/>
      <c r="L530" s="880"/>
      <c r="Q530" s="44"/>
      <c r="R530" s="44"/>
    </row>
    <row r="531" ht="32.25" customHeight="1">
      <c r="A531" s="44"/>
      <c r="B531" s="950" t="s">
        <v>615</v>
      </c>
      <c r="C531" s="950"/>
      <c r="D531" s="950"/>
      <c r="E531" s="858" t="n">
        <v>10000</v>
      </c>
      <c r="F531" s="543" t="n">
        <f aca="false">D531*E531</f>
        <v>0</v>
      </c>
      <c r="G531" s="44"/>
      <c r="H531" s="44"/>
      <c r="I531" s="375"/>
      <c r="J531" s="375"/>
      <c r="K531" s="376"/>
      <c r="L531" s="880"/>
      <c r="Q531" s="44"/>
      <c r="R531" s="44"/>
    </row>
    <row r="532" ht="20.1" customHeight="1">
      <c r="A532" s="44"/>
      <c r="B532" s="377"/>
      <c r="C532" s="29"/>
      <c r="E532" s="380" t="s">
        <v>1244</v>
      </c>
      <c r="F532" s="543" t="n">
        <f aca="false">SUM(F519:F524,F526:F531)</f>
        <v>87075</v>
      </c>
      <c r="G532" s="29"/>
      <c r="H532" s="29"/>
      <c r="I532" s="4"/>
      <c r="J532" s="4"/>
      <c r="K532" s="1076"/>
      <c r="L532" s="880"/>
      <c r="Q532" s="44"/>
      <c r="R532" s="44"/>
    </row>
    <row r="533" ht="20.1" customHeight="1">
      <c r="A533" s="806"/>
      <c r="B533" s="377"/>
      <c r="C533" s="807"/>
      <c r="D533" s="807"/>
      <c r="E533" s="807"/>
      <c r="F533" s="807"/>
      <c r="G533" s="807"/>
      <c r="H533" s="808"/>
      <c r="I533" s="401"/>
      <c r="J533" s="809"/>
      <c r="K533" s="1068"/>
      <c r="L533" s="1070"/>
      <c r="Q533" s="44"/>
      <c r="R533" s="44"/>
    </row>
    <row r="534" ht="20.1" customHeight="1">
      <c r="A534" s="806"/>
      <c r="B534" s="806"/>
      <c r="C534" s="807"/>
      <c r="D534" s="807"/>
      <c r="E534" s="807"/>
      <c r="F534" s="807"/>
      <c r="G534" s="807"/>
      <c r="H534" s="808"/>
      <c r="I534" s="401"/>
      <c r="J534" s="809"/>
      <c r="K534" s="1068"/>
      <c r="L534" s="1070"/>
      <c r="Q534" s="44"/>
      <c r="R534" s="44"/>
    </row>
    <row r="535" ht="20.1" customHeight="1">
      <c r="A535" s="1071" t="s">
        <v>1339</v>
      </c>
      <c r="B535" s="1071"/>
      <c r="C535" s="1071"/>
      <c r="D535" s="1071"/>
      <c r="E535" s="1071"/>
      <c r="F535" s="1071"/>
      <c r="G535" s="1071"/>
      <c r="H535" s="42"/>
      <c r="I535" s="42"/>
      <c r="J535" s="42"/>
      <c r="K535" s="1072"/>
      <c r="L535" s="1073" t="s">
        <v>1340</v>
      </c>
      <c r="Q535" s="44"/>
      <c r="R535" s="44"/>
    </row>
    <row r="536" ht="20.1" customHeight="1">
      <c r="A536" s="378"/>
      <c r="B536" s="378"/>
      <c r="C536" s="378"/>
      <c r="D536" s="378"/>
      <c r="E536" s="378"/>
      <c r="F536" s="807"/>
      <c r="G536" s="807"/>
      <c r="H536" s="808"/>
      <c r="I536" s="401"/>
      <c r="J536" s="809"/>
      <c r="K536" s="1076"/>
      <c r="L536" s="880"/>
      <c r="Q536" s="44"/>
      <c r="R536" s="44"/>
    </row>
    <row r="537" ht="20.1" customHeight="1">
      <c r="E537" s="807"/>
      <c r="G537" s="379" t="s">
        <v>619</v>
      </c>
      <c r="H537" s="379"/>
      <c r="I537" s="379"/>
      <c r="J537" s="1093" t="s">
        <v>620</v>
      </c>
      <c r="K537" s="1076"/>
      <c r="L537" s="1140" t="s">
        <v>1323</v>
      </c>
      <c r="M537" s="1140"/>
      <c r="Q537" s="44"/>
      <c r="R537" s="44"/>
    </row>
    <row r="538" ht="20.1" customHeight="1">
      <c r="A538" s="380"/>
      <c r="B538" s="380"/>
      <c r="C538"/>
      <c r="D538" s="29"/>
      <c r="J538" s="9"/>
      <c r="K538" s="1076"/>
      <c r="L538" s="1140"/>
      <c r="M538" s="1140"/>
      <c r="Q538" s="44"/>
      <c r="R538" s="44"/>
    </row>
    <row r="539" ht="20.1" customHeight="1">
      <c r="A539" s="380"/>
      <c r="B539" s="380"/>
      <c r="C539"/>
      <c r="D539" s="29"/>
      <c r="J539" s="9"/>
      <c r="K539" s="1076"/>
      <c r="L539" s="1140"/>
      <c r="M539" s="1140"/>
      <c r="Q539" s="44"/>
      <c r="R539" s="44"/>
    </row>
    <row r="540" ht="20.1" customHeight="1">
      <c r="A540" s="806"/>
      <c r="B540" s="806"/>
      <c r="C540" s="807"/>
      <c r="D540" s="807"/>
      <c r="E540" s="381" t="s">
        <v>1341</v>
      </c>
      <c r="F540" s="381"/>
      <c r="G540" s="381"/>
      <c r="H540" s="382" t="n">
        <v>73</v>
      </c>
      <c r="I540" s="9" t="s">
        <v>94</v>
      </c>
      <c r="J540" s="1141" t="n">
        <f aca="false">H540/B24</f>
        <v>0.948051948051948</v>
      </c>
      <c r="K540" s="1076"/>
      <c r="L540" s="1140" t="s">
        <v>1319</v>
      </c>
      <c r="M540" s="1140"/>
      <c r="Q540" s="44"/>
      <c r="R540" s="44"/>
    </row>
    <row r="541" ht="15.75" customHeight="1">
      <c r="A541" s="380"/>
      <c r="B541" s="380"/>
      <c r="C541"/>
      <c r="D541" s="29"/>
      <c r="E541" s="29"/>
      <c r="J541" s="12"/>
      <c r="K541" s="1076"/>
      <c r="L541" s="1140"/>
      <c r="M541" s="1140"/>
      <c r="Q541" s="44"/>
      <c r="R541" s="44"/>
    </row>
    <row r="542" ht="20.1" customHeight="1">
      <c r="A542" s="12"/>
      <c r="B542"/>
      <c r="C542" s="12"/>
      <c r="D542"/>
      <c r="E542" s="381" t="s">
        <v>1342</v>
      </c>
      <c r="F542" s="381"/>
      <c r="G542" s="381"/>
      <c r="H542" s="382"/>
      <c r="I542" s="9" t="s">
        <v>1343</v>
      </c>
      <c r="J542" s="1141" t="n">
        <f aca="false">IF(I97=0,0,H542/I97)</f>
        <v>0</v>
      </c>
      <c r="K542" s="1076"/>
      <c r="L542" s="1140" t="s">
        <v>1119</v>
      </c>
      <c r="M542" s="1140"/>
      <c r="Q542" s="44"/>
      <c r="R542" s="44"/>
    </row>
    <row r="543" ht="16.5" customHeight="1">
      <c r="A543"/>
      <c r="B543" s="306"/>
      <c r="C543" s="306"/>
      <c r="D543"/>
      <c r="E543"/>
      <c r="J543" s="9"/>
      <c r="K543" s="1076"/>
      <c r="L543" s="1140"/>
      <c r="M543" s="1140"/>
      <c r="Q543" s="44"/>
      <c r="R543" s="44"/>
    </row>
    <row r="544" ht="20.1" customHeight="1">
      <c r="A544"/>
      <c r="B544" s="306"/>
      <c r="C544" s="306"/>
      <c r="D544" s="306"/>
      <c r="E544"/>
      <c r="J544" s="9"/>
      <c r="K544" s="1076"/>
      <c r="L544" s="1140"/>
      <c r="M544" s="1140"/>
      <c r="Q544" s="44"/>
      <c r="R544" s="44"/>
    </row>
    <row r="545" ht="35.25" customHeight="1">
      <c r="A545"/>
      <c r="B545" s="383"/>
      <c r="C545" s="12"/>
      <c r="D545" s="12"/>
      <c r="E545" s="384" t="s">
        <v>618</v>
      </c>
      <c r="F545" s="384"/>
      <c r="G545" s="384"/>
      <c r="H545" s="384"/>
      <c r="I545" s="384"/>
      <c r="J545" s="1093" t="s">
        <v>254</v>
      </c>
      <c r="K545" s="1076"/>
      <c r="L545" s="1140" t="s">
        <v>1323</v>
      </c>
      <c r="M545" s="1140"/>
      <c r="Q545" s="44"/>
      <c r="R545" s="44"/>
    </row>
    <row r="546" ht="20.1" customHeight="1">
      <c r="A546" s="806"/>
      <c r="B546" s="806"/>
      <c r="C546" s="807"/>
      <c r="D546" s="807"/>
      <c r="F546" s="37"/>
      <c r="G546" s="12"/>
      <c r="H546" s="12"/>
      <c r="I546" s="12"/>
      <c r="J546" s="12"/>
      <c r="K546" s="1068"/>
      <c r="L546" s="1070"/>
      <c r="M546"/>
      <c r="Q546" s="44"/>
      <c r="R546" s="44"/>
    </row>
    <row r="547" ht="20.1" customHeight="1">
      <c r="A547" s="385"/>
      <c r="B547" s="817"/>
      <c r="C547" s="817"/>
      <c r="D547" s="817"/>
      <c r="E547" s="817"/>
      <c r="F547" s="817"/>
      <c r="G547" s="817"/>
      <c r="H547" s="817"/>
      <c r="I547" s="817"/>
      <c r="J547" s="375"/>
      <c r="K547" s="1076"/>
      <c r="L547" s="880"/>
      <c r="M547"/>
      <c r="N547" s="44"/>
      <c r="O547" s="44"/>
      <c r="Q547" s="44"/>
      <c r="R547" s="44"/>
    </row>
    <row r="548" ht="20.1" customHeight="1">
      <c r="A548" s="1071" t="s">
        <v>1344</v>
      </c>
      <c r="B548" s="1071"/>
      <c r="C548" s="1071"/>
      <c r="D548" s="1071"/>
      <c r="E548" s="1071"/>
      <c r="F548" s="1071"/>
      <c r="G548" s="1071"/>
      <c r="H548" s="42"/>
      <c r="I548" s="42"/>
      <c r="J548" s="42"/>
      <c r="K548" s="1072"/>
      <c r="L548" s="1073" t="s">
        <v>1345</v>
      </c>
      <c r="M548"/>
      <c r="N548" s="44"/>
      <c r="O548" s="44"/>
      <c r="Q548" s="44"/>
      <c r="R548" s="44"/>
    </row>
    <row r="549" ht="20.1" customHeight="1">
      <c r="A549" s="378"/>
      <c r="B549" s="378"/>
      <c r="C549" s="378"/>
      <c r="D549" s="378"/>
      <c r="E549" s="378"/>
      <c r="F549" s="817"/>
      <c r="G549" s="817"/>
      <c r="H549" s="817"/>
      <c r="I549" s="817"/>
      <c r="J549" s="375"/>
      <c r="K549" s="1076"/>
      <c r="L549" s="880"/>
      <c r="M549"/>
      <c r="N549" s="44"/>
      <c r="O549" s="44"/>
      <c r="Q549" s="44"/>
      <c r="R549" s="44"/>
    </row>
    <row r="550" ht="20.1" customHeight="1">
      <c r="A550" s="385"/>
      <c r="B550" s="817"/>
      <c r="C550" s="1095" t="s">
        <v>539</v>
      </c>
      <c r="D550" s="1095"/>
      <c r="E550" s="1095"/>
      <c r="F550" s="1095"/>
      <c r="G550" s="1095"/>
      <c r="H550" s="386" t="s">
        <v>1346</v>
      </c>
      <c r="I550" s="386"/>
      <c r="J550" s="386"/>
      <c r="K550" s="1076"/>
      <c r="L550" s="880" t="s">
        <v>1319</v>
      </c>
      <c r="M550"/>
      <c r="N550" s="44"/>
      <c r="O550" s="44"/>
      <c r="Q550" s="44"/>
      <c r="R550" s="44"/>
    </row>
    <row r="551" ht="20.1" customHeight="1">
      <c r="A551" s="385"/>
      <c r="B551" s="817"/>
      <c r="C551" s="817"/>
      <c r="D551" s="817"/>
      <c r="E551" s="1067"/>
      <c r="F551" s="1067"/>
      <c r="G551" s="834"/>
      <c r="H551"/>
      <c r="I551" s="1067"/>
      <c r="J551" s="375"/>
      <c r="K551" s="1076"/>
      <c r="L551" s="880"/>
      <c r="M551"/>
      <c r="N551" s="44"/>
      <c r="O551" s="44"/>
      <c r="Q551" s="44"/>
      <c r="R551" s="44"/>
    </row>
    <row r="552" ht="20.1" customHeight="1">
      <c r="A552" s="385"/>
      <c r="B552" s="817"/>
      <c r="C552" s="817"/>
      <c r="D552" s="817"/>
      <c r="E552" s="1067"/>
      <c r="F552" s="1067"/>
      <c r="G552" s="834"/>
      <c r="H552"/>
      <c r="I552" s="1067"/>
      <c r="J552" s="375"/>
      <c r="K552" s="1076"/>
      <c r="L552" s="880"/>
      <c r="M552"/>
      <c r="N552" s="44"/>
      <c r="O552" s="44"/>
      <c r="Q552" s="44"/>
      <c r="R552" s="44"/>
    </row>
    <row r="553" ht="20.1" customHeight="1">
      <c r="A553" s="385"/>
      <c r="B553" s="817"/>
      <c r="C553" s="817"/>
      <c r="D553" s="13" t="s">
        <v>661</v>
      </c>
      <c r="E553" s="13"/>
      <c r="F553" s="13"/>
      <c r="G553" s="13"/>
      <c r="H553" s="387" t="s">
        <v>1347</v>
      </c>
      <c r="I553" s="388" t="n">
        <f aca="false">IF(H553="Oui",1,0)</f>
        <v>1</v>
      </c>
      <c r="J553" s="375"/>
      <c r="K553" s="1076"/>
      <c r="L553" s="880" t="s">
        <v>1348</v>
      </c>
      <c r="M553"/>
      <c r="N553" s="44"/>
      <c r="O553" s="44"/>
      <c r="Q553" s="44"/>
      <c r="R553" s="44"/>
    </row>
    <row r="554" ht="20.1" customHeight="1">
      <c r="A554" s="385"/>
      <c r="B554" s="817"/>
      <c r="C554" s="817"/>
      <c r="D554" s="13" t="s">
        <v>1349</v>
      </c>
      <c r="E554" s="13"/>
      <c r="F554" s="13"/>
      <c r="G554" s="13"/>
      <c r="H554" s="387" t="s">
        <v>1347</v>
      </c>
      <c r="I554" s="388" t="n">
        <f aca="false">IF(H554="Oui",1,0)</f>
        <v>1</v>
      </c>
      <c r="J554" s="375"/>
      <c r="K554" s="1076"/>
      <c r="L554" s="880"/>
      <c r="M554"/>
      <c r="N554" s="44"/>
      <c r="O554" s="44"/>
      <c r="Q554" s="44"/>
      <c r="R554" s="44"/>
    </row>
    <row r="555" ht="20.1" customHeight="1">
      <c r="A555" s="385"/>
      <c r="B555" s="817"/>
      <c r="C555" s="817"/>
      <c r="D555" s="13" t="s">
        <v>1350</v>
      </c>
      <c r="E555" s="13"/>
      <c r="F555" s="13"/>
      <c r="G555" s="13"/>
      <c r="H555" s="387" t="s">
        <v>1346</v>
      </c>
      <c r="I555" s="388" t="n">
        <f aca="false">IF(H555="Oui",1,0)</f>
        <v>0</v>
      </c>
      <c r="J555" s="375"/>
      <c r="K555" s="1076"/>
      <c r="L555" s="880"/>
      <c r="M555"/>
      <c r="N555" s="44"/>
      <c r="O555" s="44"/>
      <c r="Q555" s="44"/>
      <c r="R555" s="44"/>
    </row>
    <row r="556" ht="20.1" customHeight="1">
      <c r="A556" s="385"/>
      <c r="B556" s="817"/>
      <c r="C556" s="817"/>
      <c r="D556" s="817"/>
      <c r="E556" s="1067"/>
      <c r="F556" s="1067"/>
      <c r="G556" s="834"/>
      <c r="H556"/>
      <c r="I556" s="1067"/>
      <c r="J556" s="375"/>
      <c r="K556" s="1076"/>
      <c r="L556" s="880"/>
      <c r="M556"/>
      <c r="N556" s="44"/>
      <c r="O556" s="44"/>
      <c r="Q556" s="44"/>
      <c r="R556" s="44"/>
    </row>
    <row r="557" ht="20.1" customHeight="1">
      <c r="A557" s="385"/>
      <c r="B557" s="817"/>
      <c r="D557" s="381"/>
      <c r="E557" s="381"/>
      <c r="F557" s="381"/>
      <c r="G557" s="381" t="s">
        <v>1351</v>
      </c>
      <c r="H557" s="389" t="n">
        <f aca="false">SUM(I553:I555)</f>
        <v>2</v>
      </c>
      <c r="K557" s="1076"/>
      <c r="L557" s="880"/>
      <c r="M557"/>
      <c r="N557" s="44"/>
      <c r="O557" s="44"/>
      <c r="Q557" s="44"/>
      <c r="R557" s="44"/>
    </row>
    <row r="558" ht="20.1" customHeight="1">
      <c r="A558" s="385"/>
      <c r="B558" s="817"/>
      <c r="C558" s="817"/>
      <c r="D558" s="817"/>
      <c r="E558" s="817"/>
      <c r="F558" s="817"/>
      <c r="G558" s="390"/>
      <c r="H558" s="375"/>
      <c r="I558"/>
      <c r="J558" s="375"/>
      <c r="K558" s="1076"/>
      <c r="L558" s="880"/>
      <c r="M558"/>
      <c r="N558" s="44"/>
      <c r="O558" s="44"/>
      <c r="Q558" s="44"/>
      <c r="R558" s="44"/>
    </row>
    <row r="559" ht="20.1" customHeight="1">
      <c r="A559" s="385"/>
      <c r="B559" s="817"/>
      <c r="C559" s="817"/>
      <c r="D559" s="391" t="s">
        <v>1352</v>
      </c>
      <c r="E559" s="391"/>
      <c r="F559" s="391"/>
      <c r="G559" s="391"/>
      <c r="H559" s="391"/>
      <c r="I559" s="391"/>
      <c r="J559" s="392" t="n">
        <v>0</v>
      </c>
      <c r="K559" s="1076"/>
      <c r="L559" s="880" t="s">
        <v>1319</v>
      </c>
      <c r="M559"/>
      <c r="N559" s="44"/>
      <c r="O559" s="44"/>
      <c r="Q559" s="44"/>
      <c r="R559" s="44"/>
    </row>
    <row r="560" ht="20.1" customHeight="1">
      <c r="A560" s="385"/>
      <c r="B560" s="817"/>
      <c r="C560" s="817"/>
      <c r="D560" s="817"/>
      <c r="E560" s="817"/>
      <c r="F560" s="817"/>
      <c r="I560"/>
      <c r="J560" s="375"/>
      <c r="K560" s="1076"/>
      <c r="L560" s="880"/>
      <c r="M560"/>
      <c r="N560" s="44"/>
      <c r="O560" s="44"/>
      <c r="Q560" s="44"/>
      <c r="R560" s="44"/>
    </row>
    <row r="561" ht="20.1" customHeight="1">
      <c r="A561" s="22"/>
      <c r="B561" s="22"/>
      <c r="C561" s="811"/>
      <c r="D561" s="811"/>
      <c r="E561"/>
      <c r="F561"/>
      <c r="G561"/>
      <c r="H561"/>
      <c r="I561" s="393"/>
      <c r="J561" s="29"/>
      <c r="K561"/>
      <c r="L561"/>
      <c r="M561" s="357"/>
      <c r="N561"/>
      <c r="O561"/>
      <c r="Q561" s="44"/>
      <c r="R561" s="44"/>
    </row>
    <row r="562" ht="20.1" customHeight="1">
      <c r="A562" s="1071" t="s">
        <v>1353</v>
      </c>
      <c r="B562" s="1071"/>
      <c r="C562" s="1071"/>
      <c r="D562" s="1071"/>
      <c r="E562" s="1071"/>
      <c r="F562" s="1071"/>
      <c r="G562" s="1071"/>
      <c r="H562" s="42"/>
      <c r="I562" s="42"/>
      <c r="J562" s="42"/>
      <c r="K562" s="1072"/>
      <c r="L562" s="1073" t="s">
        <v>1087</v>
      </c>
      <c r="M562" s="357"/>
      <c r="N562"/>
      <c r="O562"/>
      <c r="Q562" s="44"/>
      <c r="R562" s="44"/>
    </row>
    <row r="563" ht="20.1" customHeight="1">
      <c r="A563" s="378"/>
      <c r="B563" s="378"/>
      <c r="C563" s="378"/>
      <c r="D563" s="378"/>
      <c r="E563" s="378"/>
      <c r="F563" s="9"/>
      <c r="G563" s="394"/>
      <c r="H563" s="9"/>
      <c r="I563" s="393"/>
      <c r="J563" s="29"/>
      <c r="K563" s="1068"/>
      <c r="L563" s="395"/>
      <c r="M563" s="357"/>
      <c r="N563"/>
      <c r="O563"/>
      <c r="Q563" s="44"/>
      <c r="R563" s="44"/>
    </row>
    <row r="564" ht="20.1" customHeight="1">
      <c r="A564" s="834" t="s">
        <v>1354</v>
      </c>
      <c r="B564" s="386" t="s">
        <v>1355</v>
      </c>
      <c r="C564" s="386"/>
      <c r="D564" s="378"/>
      <c r="E564" s="378"/>
      <c r="F564" s="9"/>
      <c r="G564" s="9"/>
      <c r="I564" s="393"/>
      <c r="J564" s="29"/>
      <c r="K564" s="1068"/>
      <c r="L564" s="395"/>
      <c r="M564" s="357"/>
      <c r="N564"/>
      <c r="O564"/>
      <c r="Q564" s="44"/>
      <c r="R564" s="44"/>
    </row>
    <row r="565" ht="30" customHeight="1">
      <c r="A565" s="13"/>
      <c r="B565" s="22"/>
      <c r="C565" s="811"/>
      <c r="D565" s="394"/>
      <c r="E565" s="396" t="s">
        <v>1356</v>
      </c>
      <c r="F565" s="396"/>
      <c r="G565" s="809"/>
      <c r="I565" s="393"/>
      <c r="J565" s="29"/>
      <c r="K565"/>
      <c r="L565"/>
      <c r="M565" s="357"/>
      <c r="N565"/>
      <c r="O565"/>
      <c r="Q565" s="44"/>
      <c r="R565" s="44"/>
    </row>
    <row r="566" ht="13.5" customHeight="1">
      <c r="A566" s="397"/>
      <c r="B566" s="812"/>
      <c r="C566"/>
      <c r="D566"/>
      <c r="E566" s="807"/>
      <c r="F566" s="809"/>
      <c r="G566" s="809"/>
      <c r="I566"/>
      <c r="J566" s="398"/>
      <c r="K566" s="1076"/>
      <c r="L566" s="880"/>
      <c r="M566" s="357"/>
      <c r="N566"/>
      <c r="O566"/>
      <c r="Q566" s="44"/>
      <c r="R566" s="44"/>
    </row>
    <row r="567" ht="29.25" customHeight="1">
      <c r="A567" s="834" t="s">
        <v>1357</v>
      </c>
      <c r="B567" s="399" t="n">
        <f aca="false">I175+B188</f>
        <v>0</v>
      </c>
      <c r="C567" s="9" t="s">
        <v>1358</v>
      </c>
      <c r="D567" s="297" t="s">
        <v>1359</v>
      </c>
      <c r="E567" s="297"/>
      <c r="F567" s="399" t="n">
        <f aca="false">I98*5</f>
        <v>0</v>
      </c>
      <c r="G567" s="9" t="s">
        <v>1360</v>
      </c>
      <c r="H567" s="400" t="s">
        <v>1361</v>
      </c>
      <c r="I567" s="400"/>
      <c r="J567" s="1100" t="n">
        <f aca="false">IF(F567&gt;0,1-(B567/F567),0)</f>
        <v>0</v>
      </c>
      <c r="L567"/>
      <c r="M567" s="401"/>
      <c r="N567"/>
      <c r="O567"/>
      <c r="Q567" s="44"/>
      <c r="R567" s="44"/>
    </row>
    <row r="568" ht="20.1" customHeight="1">
      <c r="A568" s="402"/>
      <c r="B568" s="401"/>
      <c r="C568" s="807"/>
      <c r="D568" s="403" t="s">
        <v>1362</v>
      </c>
      <c r="E568" s="403"/>
      <c r="F568" s="404" t="n">
        <f aca="false">G257+B567</f>
        <v>0</v>
      </c>
      <c r="G568"/>
      <c r="H568" s="405"/>
      <c r="I568" s="405"/>
      <c r="J568" s="406"/>
      <c r="L568" s="880"/>
      <c r="M568" s="357"/>
      <c r="N568"/>
      <c r="O568"/>
      <c r="Q568" s="44"/>
      <c r="R568" s="44"/>
    </row>
    <row r="569" ht="20.1" customHeight="1">
      <c r="A569" s="402"/>
      <c r="B569" s="401"/>
      <c r="C569" s="807"/>
      <c r="D569" s="403"/>
      <c r="E569" s="403"/>
      <c r="F569" s="401"/>
      <c r="G569"/>
      <c r="H569" s="405"/>
      <c r="I569" s="405"/>
      <c r="J569" s="406"/>
      <c r="L569" s="880"/>
      <c r="M569" s="357"/>
      <c r="N569"/>
      <c r="O569"/>
      <c r="Q569" s="44"/>
      <c r="R569" s="44"/>
    </row>
    <row r="570" ht="32.25" customHeight="1">
      <c r="A570" s="834" t="s">
        <v>1363</v>
      </c>
      <c r="B570" s="407" t="n">
        <f aca="false">SUM(C200,G265:G280,G282:G287)-B188</f>
        <v>75.63</v>
      </c>
      <c r="C570" s="9" t="s">
        <v>1364</v>
      </c>
      <c r="D570" s="297" t="s">
        <v>1365</v>
      </c>
      <c r="E570" s="297"/>
      <c r="F570" s="382" t="n">
        <v>0</v>
      </c>
      <c r="G570" s="9" t="s">
        <v>1364</v>
      </c>
      <c r="H570" s="400" t="s">
        <v>1366</v>
      </c>
      <c r="I570" s="400"/>
      <c r="J570" s="1100" t="n">
        <f aca="false">IF(F570&gt;0,1-(B570/F570),0)</f>
        <v>0</v>
      </c>
      <c r="L570" s="401"/>
      <c r="M570" s="241" t="s">
        <v>1367</v>
      </c>
      <c r="N570" s="241"/>
      <c r="O570" s="408" t="s">
        <v>1368</v>
      </c>
      <c r="P570" s="408"/>
      <c r="Q570" s="44"/>
      <c r="R570" s="44"/>
    </row>
    <row r="571" ht="20.1" customHeight="1">
      <c r="A571" s="409"/>
      <c r="B571" s="401"/>
      <c r="C571" s="807"/>
      <c r="D571" s="403" t="s">
        <v>1362</v>
      </c>
      <c r="E571" s="403"/>
      <c r="F571" s="404" t="n">
        <f aca="false">SUM(C200,F265:F280,F282:F287,G265:G280,G282:G287)-SUM(J265:J280,J282:J287)-B188</f>
        <v>75.63</v>
      </c>
      <c r="G571"/>
      <c r="I571"/>
      <c r="J571" s="398"/>
      <c r="K571" s="1076"/>
      <c r="L571" s="880"/>
      <c r="M571" s="241"/>
      <c r="N571" s="241"/>
      <c r="O571" s="408"/>
      <c r="P571" s="408"/>
      <c r="Q571" s="44"/>
      <c r="R571" s="44"/>
    </row>
    <row r="572" ht="20.1" customHeight="1">
      <c r="A572" s="12"/>
      <c r="B572" s="37"/>
      <c r="C572" s="37"/>
      <c r="D572"/>
      <c r="E572" s="12"/>
      <c r="F572" s="807"/>
      <c r="G572"/>
      <c r="H572"/>
      <c r="I572"/>
      <c r="J572" s="398"/>
      <c r="K572" s="1076"/>
      <c r="L572" s="880"/>
      <c r="M572" s="241"/>
      <c r="N572" s="241"/>
      <c r="O572" s="408"/>
      <c r="P572" s="408"/>
      <c r="Q572" s="44"/>
      <c r="R572" s="44"/>
    </row>
    <row r="573" ht="20.1" customHeight="1">
      <c r="A573" s="409"/>
      <c r="B573" s="811"/>
      <c r="C573" s="811"/>
      <c r="D573" s="807"/>
      <c r="E573"/>
      <c r="F573"/>
      <c r="G573"/>
      <c r="H573"/>
      <c r="I573"/>
      <c r="J573" s="398"/>
      <c r="K573" s="1076"/>
      <c r="L573" s="880"/>
      <c r="M573" s="357"/>
      <c r="N573"/>
      <c r="O573"/>
      <c r="P573"/>
      <c r="Q573" s="44"/>
      <c r="R573" s="44"/>
    </row>
    <row r="574" ht="20.1" customHeight="1">
      <c r="A574" s="409"/>
      <c r="B574"/>
      <c r="C574" s="401"/>
      <c r="D574" s="807"/>
      <c r="E574"/>
      <c r="F574"/>
      <c r="G574"/>
      <c r="H574"/>
      <c r="I574"/>
      <c r="J574" s="398"/>
      <c r="K574" s="1076"/>
      <c r="L574" s="880"/>
      <c r="M574" s="357"/>
      <c r="N574"/>
      <c r="O574"/>
      <c r="P574"/>
      <c r="Q574" s="44"/>
      <c r="R574" s="44"/>
    </row>
    <row r="575" ht="20.1" customHeight="1">
      <c r="A575" s="1071" t="s">
        <v>1369</v>
      </c>
      <c r="B575" s="1071"/>
      <c r="C575" s="1071"/>
      <c r="D575" s="1071"/>
      <c r="E575" s="1071"/>
      <c r="F575" s="1071"/>
      <c r="G575" s="1071"/>
      <c r="H575" s="42"/>
      <c r="I575" s="42"/>
      <c r="J575" s="42"/>
      <c r="K575" s="1072"/>
      <c r="L575" s="1073" t="s">
        <v>1370</v>
      </c>
      <c r="M575" s="357"/>
      <c r="N575"/>
      <c r="O575"/>
      <c r="P575"/>
      <c r="Q575" s="44"/>
      <c r="R575" s="44"/>
    </row>
    <row r="576" ht="20.1" customHeight="1">
      <c r="J576" s="9"/>
      <c r="K576" s="1076"/>
      <c r="L576" s="880"/>
      <c r="M576" s="357"/>
      <c r="N576"/>
      <c r="O576"/>
      <c r="P576"/>
      <c r="Q576" s="44"/>
      <c r="R576" s="44"/>
    </row>
    <row r="577" ht="18" customHeight="1">
      <c r="A577"/>
      <c r="B577" s="12" t="s">
        <v>1371</v>
      </c>
      <c r="C577" s="461" t="n">
        <f aca="false">(C578+C579)</f>
        <v>12319.2</v>
      </c>
      <c r="D577" s="808" t="s">
        <v>1372</v>
      </c>
      <c r="F577" s="834" t="s">
        <v>1373</v>
      </c>
      <c r="G577" s="461" t="n">
        <f aca="false">G578+G579</f>
        <v>12697.2</v>
      </c>
      <c r="H577" s="821" t="s">
        <v>1372</v>
      </c>
      <c r="I577" s="1099" t="s">
        <v>1374</v>
      </c>
      <c r="J577" s="410" t="n">
        <f aca="false">IF(G577=0,1,1-(C577/G577))</f>
        <v>0.0297703430677629</v>
      </c>
      <c r="K577" s="1076"/>
      <c r="L577" s="1076"/>
      <c r="M577" s="357"/>
      <c r="N577"/>
      <c r="O577"/>
      <c r="P577"/>
      <c r="Q577" s="44"/>
      <c r="R577" s="44"/>
    </row>
    <row r="578" ht="20.1" customHeight="1">
      <c r="A578"/>
      <c r="B578" s="897" t="s">
        <v>1375</v>
      </c>
      <c r="C578" s="401" t="n">
        <f aca="false">'Bilan apparent'!F46</f>
        <v>12319.2</v>
      </c>
      <c r="D578" s="401" t="s">
        <v>551</v>
      </c>
      <c r="F578" s="897" t="s">
        <v>1375</v>
      </c>
      <c r="G578" s="401" t="n">
        <f aca="false">'Bilan apparent'!F46</f>
        <v>12319.2</v>
      </c>
      <c r="H578" s="401" t="s">
        <v>551</v>
      </c>
      <c r="I578" s="1099"/>
      <c r="J578" s="410"/>
      <c r="K578" s="1076"/>
      <c r="L578" s="1076"/>
      <c r="M578" s="357"/>
      <c r="N578"/>
      <c r="O578"/>
      <c r="P578"/>
      <c r="Q578" s="44"/>
      <c r="R578" s="44"/>
    </row>
    <row r="579" ht="20.1" customHeight="1">
      <c r="A579"/>
      <c r="B579" s="897" t="s">
        <v>1376</v>
      </c>
      <c r="C579" s="902" t="n">
        <f aca="false">J370</f>
        <v>0</v>
      </c>
      <c r="D579" s="401" t="s">
        <v>551</v>
      </c>
      <c r="E579"/>
      <c r="F579" s="897" t="s">
        <v>1377</v>
      </c>
      <c r="G579" s="902" t="n">
        <f aca="false">I370</f>
        <v>378</v>
      </c>
      <c r="H579" s="401" t="s">
        <v>551</v>
      </c>
      <c r="I579" s="1099"/>
      <c r="J579" s="410"/>
      <c r="K579" s="1076"/>
      <c r="L579" s="1076"/>
      <c r="M579" s="357"/>
      <c r="N579"/>
      <c r="O579"/>
      <c r="P579"/>
      <c r="Q579" s="44"/>
      <c r="R579" s="44"/>
    </row>
    <row r="580" ht="20.1" customHeight="1">
      <c r="A580" s="409"/>
      <c r="B580" s="812"/>
      <c r="C580" s="411"/>
      <c r="D580" s="807"/>
      <c r="E580"/>
      <c r="F580" s="807"/>
      <c r="G580" s="807"/>
      <c r="H580" s="44"/>
      <c r="I580" s="44"/>
      <c r="K580" s="1076"/>
      <c r="L580" s="1076"/>
      <c r="M580" s="357"/>
      <c r="N580"/>
      <c r="O580"/>
      <c r="P580"/>
      <c r="Q580" s="44"/>
      <c r="R580" s="44"/>
    </row>
    <row r="581" ht="20.1" customHeight="1">
      <c r="A581" s="378"/>
      <c r="B581" s="378"/>
      <c r="C581" s="378"/>
      <c r="D581" s="378"/>
      <c r="E581" s="378"/>
      <c r="F581" s="807" t="s">
        <v>1378</v>
      </c>
      <c r="G581"/>
      <c r="H581"/>
      <c r="I581"/>
      <c r="J581" s="398"/>
      <c r="K581" s="1076"/>
      <c r="L581" s="1076"/>
      <c r="M581" s="357"/>
      <c r="N581"/>
      <c r="O581"/>
      <c r="P581"/>
      <c r="Q581" s="44"/>
      <c r="R581" s="44"/>
    </row>
    <row r="582" ht="20.1" customHeight="1">
      <c r="A582" s="412" t="s">
        <v>1379</v>
      </c>
      <c r="B582" s="412"/>
      <c r="C582" s="412"/>
      <c r="D582" s="412"/>
      <c r="F582" s="413" t="n">
        <f aca="false">SUMPRODUCT(C222:C226,E222:E226)+(C236*E236)+SUMPRODUCT(C238:C245,E238:E245)+SUMPRODUCT(C247:C252,E247:E252)+SUM(D282:D287)+SUM(D294:D295)</f>
        <v>0</v>
      </c>
      <c r="G582" s="808" t="s">
        <v>94</v>
      </c>
      <c r="H582" s="400" t="s">
        <v>1380</v>
      </c>
      <c r="I582" s="400"/>
      <c r="J582" s="1100" t="n">
        <f aca="false">IF(B24-B27&gt;0,(F582+F583*0.3+F584*0.3+F585*0.1)/(B24-B27),0)</f>
        <v>0.153947368421053</v>
      </c>
      <c r="K582" s="1076"/>
      <c r="L582" s="1076"/>
      <c r="M582" s="357"/>
      <c r="N582"/>
      <c r="O582"/>
      <c r="P582"/>
      <c r="Q582" s="44"/>
      <c r="R582" s="44"/>
    </row>
    <row r="583" ht="19.5" customHeight="1">
      <c r="A583" s="897" t="s">
        <v>515</v>
      </c>
      <c r="B583" s="897"/>
      <c r="C583" s="897"/>
      <c r="D583" s="897"/>
      <c r="F583" s="387" t="n">
        <v>39</v>
      </c>
      <c r="G583" s="807" t="s">
        <v>94</v>
      </c>
      <c r="H583" s="44"/>
      <c r="I583" s="44"/>
      <c r="J583" s="398"/>
      <c r="K583" s="1076"/>
      <c r="L583" s="1076"/>
      <c r="M583" s="357"/>
      <c r="N583"/>
      <c r="O583"/>
      <c r="P583"/>
      <c r="Q583" s="44"/>
      <c r="R583" s="44"/>
    </row>
    <row r="584" ht="20.1" customHeight="1">
      <c r="A584" s="897" t="s">
        <v>516</v>
      </c>
      <c r="B584" s="897"/>
      <c r="C584" s="897"/>
      <c r="D584" s="897"/>
      <c r="E584" s="807"/>
      <c r="F584" s="387" t="n">
        <v>0</v>
      </c>
      <c r="G584" s="807" t="s">
        <v>94</v>
      </c>
      <c r="H584" s="44"/>
      <c r="I584" s="44"/>
      <c r="J584" s="398"/>
      <c r="K584" s="1076"/>
      <c r="L584" s="1076"/>
      <c r="M584" s="357"/>
      <c r="N584"/>
      <c r="O584"/>
      <c r="P584"/>
      <c r="Q584" s="44"/>
      <c r="R584" s="44"/>
    </row>
    <row r="585" ht="20.1" customHeight="1">
      <c r="A585" s="897"/>
      <c r="B585" s="897"/>
      <c r="C585" s="897"/>
      <c r="D585" s="897" t="s">
        <v>517</v>
      </c>
      <c r="E585" s="807"/>
      <c r="F585" s="387" t="n">
        <v>0</v>
      </c>
      <c r="G585" s="807" t="s">
        <v>94</v>
      </c>
      <c r="H585" s="44"/>
      <c r="I585" s="44"/>
      <c r="J585" s="398"/>
      <c r="K585" s="1076"/>
      <c r="L585" s="880"/>
      <c r="M585" s="357"/>
      <c r="N585"/>
      <c r="O585"/>
      <c r="P585"/>
      <c r="Q585" s="44"/>
      <c r="R585" s="44"/>
    </row>
    <row r="586" ht="20.1" customHeight="1">
      <c r="A586" s="897"/>
      <c r="B586" s="897"/>
      <c r="C586" s="897"/>
      <c r="D586" s="897"/>
      <c r="E586" s="807"/>
      <c r="F586" s="889"/>
      <c r="G586" s="807"/>
      <c r="H586" s="44"/>
      <c r="I586" s="44"/>
      <c r="J586" s="398"/>
      <c r="K586" s="1076"/>
      <c r="L586" s="880"/>
      <c r="M586" s="357"/>
      <c r="N586"/>
      <c r="O586"/>
      <c r="P586"/>
      <c r="Q586" s="44"/>
      <c r="R586" s="44"/>
    </row>
    <row r="587" ht="20.1" customHeight="1">
      <c r="J587" s="9"/>
      <c r="K587" s="1076"/>
      <c r="L587" s="880"/>
      <c r="M587" s="357"/>
      <c r="N587"/>
      <c r="O587"/>
      <c r="P587"/>
      <c r="Q587" s="44"/>
      <c r="R587" s="44"/>
    </row>
    <row r="588" ht="20.1" customHeight="1">
      <c r="A588" s="1071" t="s">
        <v>1381</v>
      </c>
      <c r="B588" s="1071"/>
      <c r="C588" s="1071"/>
      <c r="D588" s="1071"/>
      <c r="E588" s="1071"/>
      <c r="F588" s="1071"/>
      <c r="G588" s="1071"/>
      <c r="H588" s="42"/>
      <c r="I588" s="42"/>
      <c r="J588" s="42"/>
      <c r="K588" s="1072"/>
      <c r="L588" s="1073" t="s">
        <v>1382</v>
      </c>
    </row>
    <row r="589" ht="20.1" customHeight="1">
      <c r="A589" s="378"/>
      <c r="B589" s="378"/>
      <c r="C589" s="378"/>
      <c r="D589" s="378"/>
      <c r="E589" s="378"/>
      <c r="F589" s="378"/>
      <c r="G589" s="378"/>
      <c r="H589" s="414"/>
      <c r="I589" s="44"/>
      <c r="J589" s="811"/>
      <c r="K589" s="1076"/>
      <c r="L589" s="880"/>
      <c r="V589"/>
      <c r="W589"/>
      <c r="X589"/>
      <c r="Y589"/>
      <c r="Z589"/>
      <c r="AA589"/>
      <c r="AB589"/>
      <c r="AC589"/>
      <c r="AD589"/>
      <c r="AE589"/>
      <c r="AF589"/>
      <c r="AG589"/>
      <c r="AH589"/>
      <c r="AI589"/>
      <c r="AJ589"/>
      <c r="AK589"/>
      <c r="AL589"/>
      <c r="AM589"/>
      <c r="AN589"/>
      <c r="AO589"/>
      <c r="AP589"/>
      <c r="AQ589"/>
      <c r="AR589"/>
      <c r="AS589"/>
      <c r="AT589"/>
      <c r="AU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row>
    <row r="590" ht="20.1" customHeight="1">
      <c r="A590" s="415" t="s">
        <v>1383</v>
      </c>
      <c r="B590" s="378"/>
      <c r="C590" s="378"/>
      <c r="D590" s="416" t="s">
        <v>1347</v>
      </c>
      <c r="E590" s="798" t="s">
        <v>1384</v>
      </c>
      <c r="F590" s="378"/>
      <c r="G590" s="378"/>
      <c r="H590" s="414"/>
      <c r="I590" s="44"/>
      <c r="J590" s="811"/>
      <c r="K590" s="1076"/>
      <c r="L590" s="880"/>
      <c r="V590"/>
      <c r="W590"/>
      <c r="X590"/>
      <c r="Y590"/>
      <c r="Z590"/>
      <c r="AA590"/>
      <c r="AB590"/>
      <c r="AC590"/>
      <c r="AD590"/>
      <c r="AE590"/>
      <c r="AF590"/>
      <c r="AG590"/>
      <c r="AH590"/>
      <c r="AI590"/>
      <c r="AJ590"/>
      <c r="AK590"/>
      <c r="AL590"/>
      <c r="AM590"/>
      <c r="AN590"/>
      <c r="AO590"/>
      <c r="AP590"/>
      <c r="AQ590"/>
      <c r="AR590"/>
      <c r="AS590"/>
      <c r="AT590"/>
      <c r="AU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row>
    <row r="591" ht="20.1" customHeight="1">
      <c r="A591" s="417" t="s">
        <v>1385</v>
      </c>
      <c r="B591" s="418"/>
      <c r="C591" s="418"/>
      <c r="D591" s="418"/>
      <c r="E591" s="418"/>
      <c r="F591" s="418"/>
      <c r="G591" s="418"/>
      <c r="H591"/>
      <c r="I591"/>
      <c r="J591"/>
      <c r="K591" s="1076"/>
      <c r="L591" s="880"/>
      <c r="V591"/>
      <c r="W591"/>
      <c r="X591"/>
      <c r="Y591"/>
      <c r="Z591"/>
      <c r="AA591"/>
      <c r="AB591"/>
      <c r="AC591"/>
      <c r="AD591"/>
      <c r="AE591"/>
      <c r="AF591"/>
      <c r="AG591"/>
      <c r="AH591"/>
      <c r="AI591"/>
      <c r="AJ591"/>
      <c r="AK591"/>
      <c r="AL591"/>
      <c r="AM591"/>
      <c r="AN591"/>
      <c r="AO591"/>
      <c r="AP591"/>
      <c r="AQ591"/>
      <c r="AR591"/>
      <c r="AS591"/>
      <c r="AT591"/>
      <c r="AU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row>
    <row r="592" ht="20.1" customHeight="1">
      <c r="A592"/>
      <c r="B592" s="418"/>
      <c r="C592" s="418"/>
      <c r="D592" s="418"/>
      <c r="E592" s="418"/>
      <c r="F592" s="418"/>
      <c r="G592" s="418"/>
      <c r="H592"/>
      <c r="I592"/>
      <c r="J592"/>
      <c r="K592" s="1076"/>
      <c r="L592" s="880"/>
      <c r="V592"/>
      <c r="W592"/>
      <c r="X592"/>
      <c r="Y592"/>
      <c r="Z592"/>
      <c r="AA592"/>
      <c r="AB592"/>
      <c r="AC592"/>
      <c r="AD592"/>
      <c r="AE592"/>
      <c r="AF592"/>
      <c r="AG592"/>
      <c r="AH592"/>
      <c r="AI592"/>
      <c r="AJ592"/>
      <c r="AK592"/>
      <c r="AL592"/>
      <c r="AM592"/>
      <c r="AN592"/>
      <c r="AO592"/>
      <c r="AP592"/>
      <c r="AQ592"/>
      <c r="AR592"/>
      <c r="AS592"/>
      <c r="AT592"/>
      <c r="AU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row>
    <row r="593" ht="20.1" customHeight="1">
      <c r="A593" s="415" t="s">
        <v>1386</v>
      </c>
      <c r="B593"/>
      <c r="C593" s="419" t="s">
        <v>568</v>
      </c>
      <c r="D593" s="419"/>
      <c r="E593" s="419"/>
      <c r="F593" s="419"/>
      <c r="G593" s="418"/>
      <c r="H593"/>
      <c r="I593"/>
      <c r="J593"/>
      <c r="K593" s="1076"/>
      <c r="L593" s="880"/>
      <c r="V593"/>
      <c r="W593"/>
      <c r="X593"/>
      <c r="Y593"/>
      <c r="Z593"/>
      <c r="AA593"/>
      <c r="AB593"/>
      <c r="AC593"/>
      <c r="AD593"/>
      <c r="AE593"/>
      <c r="AF593"/>
      <c r="AG593"/>
      <c r="AH593"/>
      <c r="AI593"/>
      <c r="AJ593"/>
      <c r="AK593"/>
      <c r="AL593"/>
      <c r="AM593"/>
      <c r="AN593"/>
      <c r="AO593"/>
      <c r="AP593"/>
      <c r="AQ593"/>
      <c r="AR593"/>
      <c r="AS593"/>
      <c r="AT593"/>
      <c r="AU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row>
    <row r="594" ht="15" customHeight="1">
      <c r="A594" s="415"/>
      <c r="B594"/>
      <c r="C594" s="420" t="s">
        <v>569</v>
      </c>
      <c r="D594" s="421" t="s">
        <v>570</v>
      </c>
      <c r="E594" s="421"/>
      <c r="F594" s="422" t="s">
        <v>571</v>
      </c>
      <c r="G594" s="418"/>
      <c r="H594"/>
      <c r="I594"/>
      <c r="J594"/>
      <c r="K594" s="1076"/>
      <c r="L594" s="880"/>
      <c r="V594"/>
      <c r="W594"/>
      <c r="X594"/>
      <c r="Y594"/>
      <c r="Z594"/>
      <c r="AA594"/>
      <c r="AB594"/>
      <c r="AC594"/>
      <c r="AD594"/>
      <c r="AE594"/>
      <c r="AF594"/>
      <c r="AG594"/>
      <c r="AH594"/>
      <c r="AI594"/>
      <c r="AJ594"/>
      <c r="AK594"/>
      <c r="AL594"/>
      <c r="AM594"/>
      <c r="AN594"/>
      <c r="AO594"/>
      <c r="AP594"/>
      <c r="AQ594"/>
      <c r="AR594"/>
      <c r="AS594"/>
      <c r="AT594"/>
      <c r="AU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row>
    <row r="595" ht="20.1" customHeight="1">
      <c r="A595" s="423" t="s">
        <v>567</v>
      </c>
      <c r="B595" s="424" t="s">
        <v>1347</v>
      </c>
      <c r="C595" s="425" t="s">
        <v>1387</v>
      </c>
      <c r="D595" s="426" t="s">
        <v>1388</v>
      </c>
      <c r="E595" s="426"/>
      <c r="F595" s="425" t="s">
        <v>1389</v>
      </c>
      <c r="G595" s="418"/>
      <c r="H595"/>
      <c r="I595"/>
      <c r="J595"/>
      <c r="K595" s="1076"/>
      <c r="L595" s="880"/>
      <c r="V595"/>
      <c r="W595"/>
      <c r="X595"/>
      <c r="Y595"/>
      <c r="Z595"/>
      <c r="AA595"/>
      <c r="AB595"/>
      <c r="AC595"/>
      <c r="AD595"/>
      <c r="AE595"/>
      <c r="AF595"/>
      <c r="AG595"/>
      <c r="AH595"/>
      <c r="AI595"/>
      <c r="AJ595"/>
      <c r="AK595"/>
      <c r="AL595"/>
      <c r="AM595"/>
      <c r="AN595"/>
      <c r="AO595"/>
      <c r="AP595"/>
      <c r="AQ595"/>
      <c r="AR595"/>
      <c r="AS595"/>
      <c r="AT595"/>
      <c r="AU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row>
    <row r="596" ht="20.1" customHeight="1">
      <c r="A596" s="423"/>
      <c r="B596" s="424" t="s">
        <v>1346</v>
      </c>
      <c r="C596" s="425"/>
      <c r="D596" s="426" t="s">
        <v>1390</v>
      </c>
      <c r="E596" s="426"/>
      <c r="F596" s="425"/>
      <c r="G596" s="418"/>
      <c r="H596"/>
      <c r="I596"/>
      <c r="J596"/>
      <c r="K596" s="1076"/>
      <c r="L596" s="880"/>
      <c r="V596"/>
      <c r="W596"/>
      <c r="X596"/>
      <c r="Y596"/>
      <c r="Z596"/>
      <c r="AA596"/>
      <c r="AB596"/>
      <c r="AC596"/>
      <c r="AD596"/>
      <c r="AE596"/>
      <c r="AF596"/>
      <c r="AG596"/>
      <c r="AH596"/>
      <c r="AI596"/>
      <c r="AJ596"/>
      <c r="AK596"/>
      <c r="AL596"/>
      <c r="AM596"/>
      <c r="AN596"/>
      <c r="AO596"/>
      <c r="AP596"/>
      <c r="AQ596"/>
      <c r="AR596"/>
      <c r="AS596"/>
      <c r="AT596"/>
      <c r="AU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row>
    <row r="597" ht="16.5" customHeight="1">
      <c r="A597" s="418"/>
      <c r="B597" s="418"/>
      <c r="C597" s="418"/>
      <c r="D597" s="418"/>
      <c r="E597" s="418"/>
      <c r="F597" s="418"/>
      <c r="G597" s="418"/>
      <c r="H597"/>
      <c r="I597"/>
      <c r="J597"/>
      <c r="K597" s="1076"/>
      <c r="L597" s="880"/>
      <c r="V597"/>
      <c r="W597"/>
      <c r="X597"/>
      <c r="Y597"/>
      <c r="Z597"/>
      <c r="AA597"/>
      <c r="AB597"/>
      <c r="AC597"/>
      <c r="AD597"/>
      <c r="AE597"/>
      <c r="AF597"/>
      <c r="AG597"/>
      <c r="AH597"/>
      <c r="AI597"/>
      <c r="AJ597"/>
      <c r="AK597"/>
      <c r="AL597"/>
      <c r="AM597"/>
      <c r="AN597"/>
      <c r="AO597"/>
      <c r="AP597"/>
      <c r="AQ597"/>
      <c r="AR597"/>
      <c r="AS597"/>
      <c r="AT597"/>
      <c r="AU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row>
    <row r="598" ht="31.5" customHeight="1">
      <c r="A598" s="418" t="s">
        <v>1391</v>
      </c>
      <c r="B598" s="418"/>
      <c r="C598" s="427" t="s">
        <v>1392</v>
      </c>
      <c r="D598" s="387" t="n">
        <v>128500</v>
      </c>
      <c r="E598" s="418" t="s">
        <v>1393</v>
      </c>
      <c r="F598" s="418"/>
      <c r="G598" s="418"/>
      <c r="H598"/>
      <c r="I598"/>
      <c r="J598"/>
      <c r="K598" s="1076"/>
      <c r="L598" s="880"/>
      <c r="V598"/>
      <c r="W598"/>
      <c r="X598"/>
      <c r="Y598"/>
      <c r="Z598"/>
      <c r="AA598"/>
      <c r="AB598"/>
      <c r="AC598"/>
      <c r="AD598"/>
      <c r="AE598"/>
      <c r="AF598"/>
      <c r="AG598"/>
      <c r="AH598"/>
      <c r="AI598"/>
      <c r="AJ598"/>
      <c r="AK598"/>
      <c r="AL598"/>
      <c r="AM598"/>
      <c r="AN598"/>
      <c r="AO598"/>
      <c r="AP598"/>
      <c r="AQ598"/>
      <c r="AR598"/>
      <c r="AS598"/>
      <c r="AT598"/>
      <c r="AU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row>
    <row r="599" ht="16.5" customHeight="1">
      <c r="A599" s="418"/>
      <c r="B599" s="418"/>
      <c r="C599" s="418"/>
      <c r="D599" s="418"/>
      <c r="E599" s="418"/>
      <c r="F599" s="418"/>
      <c r="G599" s="418"/>
      <c r="H599"/>
      <c r="I599"/>
      <c r="J599"/>
      <c r="K599" s="1076"/>
      <c r="L599" s="880"/>
      <c r="V599"/>
      <c r="W599"/>
      <c r="X599"/>
      <c r="Y599"/>
      <c r="Z599"/>
      <c r="AA599"/>
      <c r="AB599"/>
      <c r="AC599"/>
      <c r="AD599"/>
      <c r="AE599"/>
      <c r="AF599"/>
      <c r="AG599"/>
      <c r="AH599"/>
      <c r="AI599"/>
      <c r="AJ599"/>
      <c r="AK599"/>
      <c r="AL599"/>
      <c r="AM599"/>
      <c r="AN599"/>
      <c r="AO599"/>
      <c r="AP599"/>
      <c r="AQ599"/>
      <c r="AR599"/>
      <c r="AS599"/>
      <c r="AT599"/>
      <c r="AU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row>
    <row r="600" ht="15" customHeight="1">
      <c r="A600" s="415"/>
      <c r="B600" s="418"/>
      <c r="C600" s="428" t="s">
        <v>1394</v>
      </c>
      <c r="D600" s="428"/>
      <c r="E600" s="428"/>
      <c r="F600" s="428"/>
      <c r="G600" s="418"/>
      <c r="H600"/>
      <c r="I600"/>
      <c r="J600"/>
      <c r="K600" s="1076"/>
      <c r="L600" s="880"/>
      <c r="V600"/>
      <c r="W600"/>
      <c r="X600"/>
      <c r="Y600"/>
      <c r="Z600"/>
      <c r="AA600"/>
      <c r="AB600"/>
      <c r="AC600"/>
      <c r="AD600"/>
      <c r="AE600"/>
      <c r="AF600"/>
      <c r="AG600"/>
      <c r="AH600"/>
      <c r="AI600"/>
      <c r="AJ600"/>
      <c r="AK600"/>
      <c r="AL600"/>
      <c r="AM600"/>
      <c r="AN600"/>
      <c r="AO600"/>
      <c r="AP600"/>
      <c r="AQ600"/>
      <c r="AR600"/>
      <c r="AS600"/>
      <c r="AT600"/>
      <c r="AU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row>
    <row r="601" ht="15" customHeight="1">
      <c r="A601" s="418"/>
      <c r="B601" s="418"/>
      <c r="C601" s="424" t="s">
        <v>1395</v>
      </c>
      <c r="D601" s="424" t="s">
        <v>1396</v>
      </c>
      <c r="E601" s="424"/>
      <c r="F601" s="424" t="s">
        <v>1397</v>
      </c>
      <c r="G601" s="418"/>
      <c r="H601"/>
      <c r="I601"/>
      <c r="J601"/>
      <c r="K601" s="1076"/>
      <c r="L601" s="880"/>
      <c r="V601"/>
      <c r="W601"/>
      <c r="X601"/>
      <c r="Y601"/>
      <c r="Z601"/>
      <c r="AA601"/>
      <c r="AB601"/>
      <c r="AC601"/>
      <c r="AD601"/>
      <c r="AE601"/>
      <c r="AF601"/>
      <c r="AG601"/>
      <c r="AH601"/>
      <c r="AI601"/>
      <c r="AJ601"/>
      <c r="AK601"/>
      <c r="AL601"/>
      <c r="AM601"/>
      <c r="AN601"/>
      <c r="AO601"/>
      <c r="AP601"/>
      <c r="AQ601"/>
      <c r="AR601"/>
      <c r="AS601"/>
      <c r="AT601"/>
      <c r="AU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row>
    <row r="602" ht="15" customHeight="1">
      <c r="A602" s="423" t="s">
        <v>1398</v>
      </c>
      <c r="B602" s="424" t="s">
        <v>1399</v>
      </c>
      <c r="C602" s="429" t="n">
        <v>4</v>
      </c>
      <c r="D602" s="429" t="n">
        <v>0</v>
      </c>
      <c r="E602" s="429"/>
      <c r="F602" s="429" t="n">
        <v>0</v>
      </c>
      <c r="G602" s="418"/>
      <c r="H602"/>
      <c r="I602"/>
      <c r="J602"/>
      <c r="K602" s="1076"/>
      <c r="L602" s="880"/>
      <c r="V602"/>
      <c r="W602"/>
      <c r="X602"/>
      <c r="Y602"/>
      <c r="Z602"/>
      <c r="AA602"/>
      <c r="AB602"/>
      <c r="AC602"/>
      <c r="AD602"/>
      <c r="AE602"/>
      <c r="AF602"/>
      <c r="AG602"/>
      <c r="AH602"/>
      <c r="AI602"/>
      <c r="AJ602"/>
      <c r="AK602"/>
      <c r="AL602"/>
      <c r="AM602"/>
      <c r="AN602"/>
      <c r="AO602"/>
      <c r="AP602"/>
      <c r="AQ602"/>
      <c r="AR602"/>
      <c r="AS602"/>
      <c r="AT602"/>
      <c r="AU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row>
    <row r="603" ht="15.75" customHeight="1">
      <c r="A603" s="423"/>
      <c r="B603" s="424" t="s">
        <v>1400</v>
      </c>
      <c r="C603" s="429" t="n">
        <v>4</v>
      </c>
      <c r="D603" s="429" t="n">
        <v>2</v>
      </c>
      <c r="E603" s="429"/>
      <c r="F603" s="429" t="n">
        <v>0</v>
      </c>
      <c r="G603" s="430" t="s">
        <v>1401</v>
      </c>
      <c r="H603" s="431" t="n">
        <v>0</v>
      </c>
      <c r="I603"/>
      <c r="J603"/>
      <c r="K603" s="1076"/>
      <c r="L603" s="880"/>
      <c r="V603"/>
      <c r="W603"/>
      <c r="X603"/>
      <c r="Y603"/>
      <c r="Z603"/>
      <c r="AA603"/>
      <c r="AB603"/>
      <c r="AC603"/>
      <c r="AD603"/>
      <c r="AE603"/>
      <c r="AF603"/>
      <c r="AG603"/>
      <c r="AH603"/>
      <c r="AI603"/>
      <c r="AJ603"/>
      <c r="AK603"/>
      <c r="AL603"/>
      <c r="AM603"/>
      <c r="AN603"/>
      <c r="AO603"/>
      <c r="AP603"/>
      <c r="AQ603"/>
      <c r="AR603"/>
      <c r="AS603"/>
      <c r="AT603"/>
      <c r="AU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row>
    <row r="604" ht="15.75" customHeight="1">
      <c r="A604" s="423"/>
      <c r="B604" s="424" t="s">
        <v>1402</v>
      </c>
      <c r="C604" s="429" t="n">
        <v>6</v>
      </c>
      <c r="D604" s="429" t="n">
        <v>4</v>
      </c>
      <c r="E604" s="429"/>
      <c r="F604" s="429" t="n">
        <v>2</v>
      </c>
      <c r="G604" s="430"/>
      <c r="H604" s="431"/>
      <c r="I604"/>
      <c r="J604"/>
      <c r="K604" s="1076"/>
      <c r="L604" s="880"/>
      <c r="V604"/>
      <c r="W604"/>
      <c r="X604"/>
      <c r="Y604"/>
      <c r="Z604"/>
      <c r="AA604"/>
      <c r="AB604"/>
      <c r="AC604"/>
      <c r="AD604"/>
      <c r="AE604"/>
      <c r="AF604"/>
      <c r="AG604"/>
      <c r="AH604"/>
      <c r="AI604"/>
      <c r="AJ604"/>
      <c r="AK604"/>
      <c r="AL604"/>
      <c r="AM604"/>
      <c r="AN604"/>
      <c r="AO604"/>
      <c r="AP604"/>
      <c r="AQ604"/>
      <c r="AR604"/>
      <c r="AS604"/>
      <c r="AT604"/>
      <c r="AU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row>
    <row r="605" ht="15.75" customHeight="1">
      <c r="A605" s="423"/>
      <c r="B605" s="424" t="s">
        <v>1403</v>
      </c>
      <c r="C605" s="429" t="n">
        <v>8</v>
      </c>
      <c r="D605" s="429" t="n">
        <v>6</v>
      </c>
      <c r="E605" s="429"/>
      <c r="F605" s="429" t="n">
        <v>4</v>
      </c>
      <c r="G605" s="430" t="s">
        <v>1401</v>
      </c>
      <c r="H605" s="431"/>
      <c r="I605"/>
      <c r="J605"/>
      <c r="K605" s="1076"/>
      <c r="L605" s="880"/>
      <c r="V605"/>
      <c r="W605"/>
      <c r="X605"/>
      <c r="Y605"/>
      <c r="Z605"/>
      <c r="AA605"/>
      <c r="AB605"/>
      <c r="AC605"/>
      <c r="AD605"/>
      <c r="AE605"/>
      <c r="AF605"/>
      <c r="AG605"/>
      <c r="AH605"/>
      <c r="AI605"/>
      <c r="AJ605"/>
      <c r="AK605"/>
      <c r="AL605"/>
      <c r="AM605"/>
      <c r="AN605"/>
      <c r="AO605"/>
      <c r="AP605"/>
      <c r="AQ605"/>
      <c r="AR605"/>
      <c r="AS605"/>
      <c r="AT605"/>
      <c r="AU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row>
    <row r="606" ht="15.75" customHeight="1">
      <c r="A606" s="418"/>
      <c r="B606" s="418"/>
      <c r="C606" s="418"/>
      <c r="D606" s="418"/>
      <c r="E606" s="418"/>
      <c r="F606" s="418"/>
      <c r="G606" s="418"/>
      <c r="H606"/>
      <c r="I606"/>
      <c r="J606"/>
      <c r="K606" s="1076"/>
      <c r="L606" s="880"/>
      <c r="V606"/>
      <c r="W606"/>
      <c r="X606"/>
      <c r="Y606"/>
      <c r="Z606"/>
      <c r="AA606"/>
      <c r="AB606"/>
      <c r="AC606"/>
      <c r="AD606"/>
      <c r="AE606"/>
      <c r="AF606"/>
      <c r="AG606"/>
      <c r="AH606"/>
      <c r="AI606"/>
      <c r="AJ606"/>
      <c r="AK606"/>
      <c r="AL606"/>
      <c r="AM606"/>
      <c r="AN606"/>
      <c r="AO606"/>
      <c r="AP606"/>
      <c r="AQ606"/>
      <c r="AR606"/>
      <c r="AS606"/>
      <c r="AT606"/>
      <c r="AU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row>
    <row r="607" ht="15" customHeight="1">
      <c r="A607"/>
      <c r="B607"/>
      <c r="C607"/>
      <c r="D607"/>
      <c r="E607"/>
      <c r="F607"/>
      <c r="G607"/>
      <c r="H607"/>
      <c r="I607"/>
      <c r="J607"/>
      <c r="K607"/>
      <c r="L607"/>
      <c r="V607"/>
      <c r="W607"/>
      <c r="X607"/>
      <c r="Y607"/>
      <c r="Z607"/>
      <c r="AA607"/>
      <c r="AB607"/>
      <c r="AC607"/>
      <c r="AD607"/>
      <c r="AE607"/>
      <c r="AF607"/>
      <c r="AG607"/>
      <c r="AH607"/>
      <c r="AI607"/>
      <c r="AJ607"/>
      <c r="AK607"/>
      <c r="AL607"/>
      <c r="AM607"/>
      <c r="AN607"/>
      <c r="AO607"/>
      <c r="AP607"/>
      <c r="AQ607"/>
      <c r="AR607"/>
      <c r="AS607"/>
      <c r="AT607"/>
      <c r="AU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row>
    <row r="608" ht="15" customHeight="1">
      <c r="A608" s="1071" t="s">
        <v>1404</v>
      </c>
      <c r="B608" s="1071"/>
      <c r="C608" s="1071"/>
      <c r="D608" s="1071"/>
      <c r="E608" s="1071"/>
      <c r="F608" s="1071"/>
      <c r="G608" s="1071"/>
      <c r="H608" s="42"/>
      <c r="I608" s="42"/>
      <c r="J608" s="42"/>
      <c r="K608" s="1072"/>
      <c r="L608" s="1073"/>
      <c r="V608"/>
      <c r="W608"/>
      <c r="X608"/>
      <c r="Y608"/>
      <c r="Z608"/>
      <c r="AA608"/>
      <c r="AB608"/>
      <c r="AC608"/>
      <c r="AD608"/>
      <c r="AE608"/>
      <c r="AF608"/>
      <c r="AG608"/>
      <c r="AH608"/>
      <c r="AI608"/>
      <c r="AJ608"/>
      <c r="AK608"/>
      <c r="AL608"/>
      <c r="AM608"/>
      <c r="AN608"/>
      <c r="AO608"/>
      <c r="AP608"/>
      <c r="AQ608"/>
      <c r="AR608"/>
      <c r="AS608"/>
      <c r="AT608"/>
      <c r="AU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row>
    <row r="609" ht="15" customHeight="1">
      <c r="A609" s="378"/>
      <c r="B609" s="378"/>
      <c r="C609" s="378"/>
      <c r="D609" s="378"/>
      <c r="E609" s="378"/>
      <c r="F609" s="378"/>
      <c r="G609" s="378"/>
      <c r="H609" s="12"/>
      <c r="I609" s="12"/>
      <c r="K609" s="1076"/>
      <c r="L609" s="880"/>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row>
    <row r="610" ht="20.1" customHeight="1">
      <c r="A610" s="405" t="s">
        <v>1405</v>
      </c>
      <c r="B610" s="432" t="n">
        <f aca="false">'Bilan apparent'!G43</f>
        <v>2246.4</v>
      </c>
      <c r="C610"/>
      <c r="D610" s="400" t="s">
        <v>1406</v>
      </c>
      <c r="E610" s="400"/>
      <c r="F610" s="433" t="n">
        <f aca="false">B610/B24</f>
        <v>29.174025974026</v>
      </c>
      <c r="G610" s="44"/>
      <c r="H610"/>
      <c r="I610"/>
      <c r="J610" s="646"/>
      <c r="K610" s="434"/>
      <c r="L610" s="434"/>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row>
    <row r="611" ht="16.5" customHeight="1">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row>
    <row r="612" ht="20.1" customHeight="1">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row>
    <row r="613" ht="20.1" customHeight="1">
      <c r="A613" s="1071" t="s">
        <v>1407</v>
      </c>
      <c r="B613" s="1071"/>
      <c r="C613" s="1071"/>
      <c r="D613" s="1071"/>
      <c r="E613" s="1071"/>
      <c r="F613" s="1071"/>
      <c r="G613" s="1071"/>
      <c r="H613" s="42"/>
      <c r="I613" s="42"/>
      <c r="J613" s="42"/>
      <c r="K613" s="1072"/>
      <c r="L613" s="1073" t="s">
        <v>1382</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row>
    <row r="614" ht="20.1" customHeight="1">
      <c r="A614" s="378"/>
      <c r="B614" s="378"/>
      <c r="C614" s="378"/>
      <c r="D614" s="378"/>
      <c r="E614" s="378"/>
      <c r="F614" s="378"/>
      <c r="G614" s="378"/>
      <c r="H614"/>
      <c r="I614"/>
      <c r="J614"/>
      <c r="K614" s="1076"/>
      <c r="L614" s="880"/>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row>
    <row r="615" ht="20.1" customHeight="1">
      <c r="A615" s="435" t="s">
        <v>1408</v>
      </c>
      <c r="B615" s="435"/>
      <c r="C615" s="435"/>
      <c r="D615" s="435"/>
      <c r="E615" s="435"/>
      <c r="F615" s="435"/>
      <c r="G615" s="821"/>
      <c r="H615" s="821"/>
      <c r="I615" s="393"/>
      <c r="J615" s="29"/>
      <c r="K615" s="1068"/>
      <c r="L615" s="880"/>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row>
    <row r="616" ht="28.5" customHeight="1">
      <c r="A616" s="436" t="s">
        <v>1409</v>
      </c>
      <c r="B616" s="436"/>
      <c r="C616" s="437" t="s">
        <v>1410</v>
      </c>
      <c r="D616" s="437" t="s">
        <v>1411</v>
      </c>
      <c r="E616" s="438" t="s">
        <v>1412</v>
      </c>
      <c r="F616" s="439" t="s">
        <v>1413</v>
      </c>
      <c r="G616" s="29"/>
      <c r="H616" s="29"/>
      <c r="I616" s="393"/>
      <c r="J616" s="29"/>
      <c r="K616" s="1068"/>
      <c r="L616" s="880"/>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row>
    <row r="617" ht="20.1" customHeight="1">
      <c r="A617" s="440"/>
      <c r="B617" s="440"/>
      <c r="C617" s="757"/>
      <c r="D617" s="757"/>
      <c r="E617" s="757" t="s">
        <v>1414</v>
      </c>
      <c r="F617" s="910" t="s">
        <v>1415</v>
      </c>
      <c r="G617" s="425"/>
      <c r="H617" s="425"/>
      <c r="I617" s="393"/>
      <c r="J617" s="29"/>
      <c r="K617" s="1068"/>
      <c r="L617" s="880"/>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row>
    <row r="618" ht="20.1" customHeight="1">
      <c r="A618" s="441" t="s">
        <v>545</v>
      </c>
      <c r="B618" s="441"/>
      <c r="C618" s="757" t="s">
        <v>546</v>
      </c>
      <c r="D618" s="382" t="n">
        <v>32800</v>
      </c>
      <c r="E618" s="442" t="n">
        <v>0.290502793296089</v>
      </c>
      <c r="F618" s="443" t="n">
        <f aca="false">D618*E618</f>
        <v>9528.49162011172</v>
      </c>
      <c r="G618" s="444" t="s">
        <v>1416</v>
      </c>
      <c r="H618" s="445"/>
      <c r="I618" s="393"/>
      <c r="J618" s="29"/>
      <c r="K618" s="1068"/>
      <c r="L618" s="880"/>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row>
    <row r="619" ht="20.1" customHeight="1">
      <c r="A619" s="441" t="s">
        <v>547</v>
      </c>
      <c r="B619" s="441"/>
      <c r="C619" s="757" t="s">
        <v>183</v>
      </c>
      <c r="D619" s="382" t="n">
        <v>5000</v>
      </c>
      <c r="E619" s="442" t="n">
        <v>1.28491620111732</v>
      </c>
      <c r="F619" s="443" t="n">
        <f aca="false">D619*E619</f>
        <v>6424.5810055866</v>
      </c>
      <c r="G619" s="444"/>
      <c r="H619" s="811"/>
      <c r="I619" s="393"/>
      <c r="J619" s="29"/>
      <c r="K619" s="1068"/>
      <c r="L619" s="880"/>
      <c r="M619"/>
      <c r="N619"/>
      <c r="O619"/>
      <c r="P619"/>
      <c r="Q619"/>
      <c r="R619"/>
      <c r="S619"/>
      <c r="T619"/>
      <c r="U619"/>
    </row>
    <row r="620" ht="20.1" customHeight="1">
      <c r="A620" s="441" t="s">
        <v>549</v>
      </c>
      <c r="B620" s="441"/>
      <c r="C620" s="757" t="s">
        <v>183</v>
      </c>
      <c r="D620" s="382"/>
      <c r="E620" s="382"/>
      <c r="F620" s="443" t="n">
        <f aca="false">D620*E620</f>
        <v>0</v>
      </c>
      <c r="G620" s="444"/>
      <c r="H620" s="445"/>
      <c r="I620" s="393"/>
      <c r="J620" s="29"/>
      <c r="K620" s="1068"/>
      <c r="L620" s="880"/>
      <c r="M620"/>
      <c r="N620"/>
      <c r="O620"/>
      <c r="P620"/>
      <c r="Q620"/>
      <c r="R620"/>
      <c r="S620"/>
      <c r="T620"/>
      <c r="U620"/>
    </row>
    <row r="621" ht="20.1" customHeight="1">
      <c r="A621" s="441" t="s">
        <v>550</v>
      </c>
      <c r="B621" s="441"/>
      <c r="C621" s="757" t="s">
        <v>551</v>
      </c>
      <c r="D621" s="382"/>
      <c r="E621" s="442" t="n">
        <v>1.58100558659218</v>
      </c>
      <c r="F621" s="443" t="n">
        <f aca="false">D621*E621</f>
        <v>0</v>
      </c>
      <c r="G621" s="444"/>
      <c r="H621" s="811"/>
      <c r="I621" s="393"/>
      <c r="J621" s="29"/>
      <c r="K621" s="1068"/>
      <c r="L621" s="880"/>
      <c r="M621"/>
      <c r="N621"/>
      <c r="O621"/>
      <c r="P621"/>
      <c r="Q621"/>
      <c r="R621"/>
      <c r="S621"/>
      <c r="T621"/>
      <c r="U621"/>
    </row>
    <row r="622" ht="20.1" customHeight="1">
      <c r="A622" s="441" t="s">
        <v>552</v>
      </c>
      <c r="B622" s="441"/>
      <c r="C622" s="757" t="s">
        <v>551</v>
      </c>
      <c r="D622" s="382"/>
      <c r="E622" s="442" t="n">
        <v>0.51</v>
      </c>
      <c r="F622" s="443" t="n">
        <f aca="false">D622*E622</f>
        <v>0</v>
      </c>
      <c r="G622" s="811"/>
      <c r="H622" s="445"/>
      <c r="I622" s="393"/>
      <c r="J622" s="29"/>
      <c r="K622" s="1068"/>
      <c r="L622" s="880"/>
      <c r="M622"/>
      <c r="N622"/>
      <c r="O622"/>
      <c r="P622"/>
      <c r="Q622"/>
      <c r="R622"/>
      <c r="S622"/>
      <c r="T622"/>
      <c r="U622"/>
    </row>
    <row r="623" ht="20.1" customHeight="1">
      <c r="A623" s="441" t="s">
        <v>553</v>
      </c>
      <c r="B623" s="441"/>
      <c r="C623" s="757" t="s">
        <v>554</v>
      </c>
      <c r="D623" s="382"/>
      <c r="E623" s="442" t="n">
        <v>0.502793296089386</v>
      </c>
      <c r="F623" s="443" t="n">
        <f aca="false">D623*E623</f>
        <v>0</v>
      </c>
      <c r="G623" s="811"/>
      <c r="H623" s="445"/>
      <c r="I623" s="393"/>
      <c r="J623" s="29"/>
      <c r="K623" s="1068"/>
      <c r="L623" s="880"/>
      <c r="M623"/>
      <c r="N623"/>
      <c r="O623"/>
      <c r="P623"/>
      <c r="Q623"/>
      <c r="R623"/>
      <c r="S623"/>
      <c r="T623"/>
      <c r="U623"/>
    </row>
    <row r="624" ht="20.1" customHeight="1">
      <c r="A624" s="447" t="s">
        <v>555</v>
      </c>
      <c r="B624" s="447"/>
      <c r="C624" s="757" t="s">
        <v>554</v>
      </c>
      <c r="D624" s="382"/>
      <c r="E624" s="442" t="n">
        <v>0.502793296089386</v>
      </c>
      <c r="F624" s="443" t="n">
        <f aca="false">D624*E624</f>
        <v>0</v>
      </c>
      <c r="G624" s="811"/>
      <c r="H624" s="445"/>
      <c r="I624" s="393"/>
      <c r="J624" s="29"/>
      <c r="K624" s="1068"/>
      <c r="L624" s="880"/>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row>
    <row r="625" ht="20.1" customHeight="1">
      <c r="A625" s="441" t="s">
        <v>556</v>
      </c>
      <c r="B625" s="441"/>
      <c r="C625" s="757" t="s">
        <v>551</v>
      </c>
      <c r="D625" s="382"/>
      <c r="E625" s="442" t="n">
        <v>0.782122905027933</v>
      </c>
      <c r="F625" s="443" t="n">
        <f aca="false">D625*E625</f>
        <v>0</v>
      </c>
      <c r="G625" s="811"/>
      <c r="H625" s="811"/>
      <c r="I625" s="393"/>
      <c r="J625" s="29"/>
      <c r="K625" s="1068"/>
      <c r="L625" s="880"/>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row>
    <row r="626" ht="20.1" customHeight="1">
      <c r="A626" s="441" t="s">
        <v>557</v>
      </c>
      <c r="B626" s="441"/>
      <c r="C626" s="757" t="s">
        <v>183</v>
      </c>
      <c r="D626" s="382" t="n">
        <v>50</v>
      </c>
      <c r="E626" s="442" t="n">
        <v>1.01061452513966</v>
      </c>
      <c r="F626" s="443" t="n">
        <f aca="false">D626*E626</f>
        <v>50.530726256983</v>
      </c>
      <c r="G626" s="811"/>
      <c r="H626" s="811"/>
      <c r="I626" s="393"/>
      <c r="J626" s="29"/>
      <c r="K626" s="1068"/>
      <c r="L626" s="880"/>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row>
    <row r="627" ht="20.1" customHeight="1">
      <c r="A627" s="441" t="s">
        <v>558</v>
      </c>
      <c r="B627" s="441"/>
      <c r="C627" s="757" t="s">
        <v>551</v>
      </c>
      <c r="D627" s="382"/>
      <c r="E627" s="442" t="n">
        <v>0.53072625698324</v>
      </c>
      <c r="F627" s="443" t="n">
        <f aca="false">D627*E627</f>
        <v>0</v>
      </c>
      <c r="G627" s="811"/>
      <c r="H627" s="445"/>
      <c r="I627" s="393"/>
      <c r="J627" s="29"/>
      <c r="K627" s="1068"/>
      <c r="L627" s="880"/>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row>
    <row r="628" ht="20.1" customHeight="1">
      <c r="A628" s="448"/>
      <c r="B628" s="449"/>
      <c r="C628" s="450" t="s">
        <v>1417</v>
      </c>
      <c r="D628" s="450"/>
      <c r="E628" s="450"/>
      <c r="F628" s="451" t="n">
        <f aca="false">SUM(F618:F627)</f>
        <v>16003.6033519553</v>
      </c>
      <c r="G628" s="452"/>
      <c r="H628" s="9"/>
      <c r="I628" s="393"/>
      <c r="J628" s="29"/>
      <c r="K628" s="1068"/>
      <c r="L628" s="880"/>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row>
    <row r="629" ht="20.1" customHeight="1">
      <c r="A629" s="453" t="s">
        <v>1418</v>
      </c>
      <c r="B629" s="453"/>
      <c r="C629" s="453"/>
      <c r="D629" s="453"/>
      <c r="E629" s="453"/>
      <c r="F629" s="453"/>
      <c r="G629"/>
      <c r="H629" s="9"/>
      <c r="I629"/>
      <c r="J629"/>
      <c r="K629" s="454"/>
      <c r="L629" s="880"/>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row>
    <row r="630" ht="25.5" customHeight="1">
      <c r="A630" s="436" t="s">
        <v>1409</v>
      </c>
      <c r="B630" s="436"/>
      <c r="C630" s="437" t="s">
        <v>1410</v>
      </c>
      <c r="D630" s="455" t="s">
        <v>1419</v>
      </c>
      <c r="E630" s="456" t="s">
        <v>1412</v>
      </c>
      <c r="F630" s="845" t="s">
        <v>1420</v>
      </c>
      <c r="H630" s="44"/>
      <c r="I630" s="457" t="s">
        <v>1421</v>
      </c>
      <c r="J630" s="458" t="n">
        <f aca="false">F628+F641</f>
        <v>39258.5173184357</v>
      </c>
      <c r="K630" s="454"/>
      <c r="L630" s="88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row>
    <row r="631" ht="20.1" customHeight="1">
      <c r="A631" s="459"/>
      <c r="B631" s="29"/>
      <c r="C631" s="757"/>
      <c r="D631" s="757"/>
      <c r="E631" s="757" t="s">
        <v>1414</v>
      </c>
      <c r="F631" s="460" t="s">
        <v>1415</v>
      </c>
      <c r="G631"/>
      <c r="H631" s="44"/>
      <c r="I631" s="457"/>
      <c r="J631" s="457"/>
      <c r="K631" s="454"/>
      <c r="L631" s="880"/>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row>
    <row r="632" ht="20.1" customHeight="1">
      <c r="A632" s="441" t="s">
        <v>1422</v>
      </c>
      <c r="B632" s="441"/>
      <c r="C632" s="757" t="s">
        <v>1423</v>
      </c>
      <c r="D632" s="461" t="n">
        <f aca="false">B158</f>
        <v>0</v>
      </c>
      <c r="E632" s="442" t="n">
        <v>159.357541899441</v>
      </c>
      <c r="F632" s="443" t="n">
        <f aca="false">D632*E632</f>
        <v>0</v>
      </c>
      <c r="G632" s="462"/>
      <c r="H632" s="44"/>
      <c r="I632" s="44"/>
      <c r="J632" s="44"/>
      <c r="K632" s="454"/>
      <c r="L632" s="880"/>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row>
    <row r="633" ht="20.1" customHeight="1">
      <c r="A633" s="441" t="s">
        <v>1424</v>
      </c>
      <c r="B633" s="441"/>
      <c r="C633" s="757" t="s">
        <v>1423</v>
      </c>
      <c r="D633" s="461" t="n">
        <f aca="false">C162</f>
        <v>0</v>
      </c>
      <c r="E633" s="442" t="n">
        <v>92.9888268156425</v>
      </c>
      <c r="F633" s="443" t="n">
        <f aca="false">D633*E633</f>
        <v>0</v>
      </c>
      <c r="G633" s="463"/>
      <c r="H633" s="463"/>
      <c r="I633"/>
      <c r="J633"/>
      <c r="K633"/>
      <c r="L633" s="880"/>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row>
    <row r="634" ht="20.1" customHeight="1">
      <c r="A634" s="447" t="s">
        <v>1425</v>
      </c>
      <c r="B634" s="447"/>
      <c r="C634" s="757" t="s">
        <v>1423</v>
      </c>
      <c r="D634" s="461" t="n">
        <f aca="false">B163</f>
        <v>72</v>
      </c>
      <c r="E634" s="442" t="n">
        <v>71.5921787709497</v>
      </c>
      <c r="F634" s="443" t="n">
        <f aca="false">D634*E634</f>
        <v>5154.63687150838</v>
      </c>
      <c r="G634" s="463"/>
      <c r="H634" s="463"/>
      <c r="I634" s="464"/>
      <c r="J634" s="465"/>
      <c r="K634" s="454"/>
      <c r="L634" s="880"/>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row>
    <row r="635" ht="20.1" customHeight="1">
      <c r="A635" s="441" t="s">
        <v>1426</v>
      </c>
      <c r="B635" s="441"/>
      <c r="C635" s="757" t="s">
        <v>1427</v>
      </c>
      <c r="D635" s="461" t="n">
        <f aca="false">C171</f>
        <v>0</v>
      </c>
      <c r="E635" s="442" t="n">
        <v>84.3016759776536</v>
      </c>
      <c r="F635" s="443" t="n">
        <f aca="false">D635*E635</f>
        <v>0</v>
      </c>
      <c r="G635" s="463"/>
      <c r="H635" s="400" t="s">
        <v>1428</v>
      </c>
      <c r="I635" s="400"/>
      <c r="J635" s="466" t="n">
        <f aca="false">IF(J630=0,"Erreur",J630/B24)</f>
        <v>509.850874265399</v>
      </c>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row>
    <row r="636" ht="20.1" customHeight="1">
      <c r="A636" s="447" t="s">
        <v>1429</v>
      </c>
      <c r="B636" s="447"/>
      <c r="C636" s="757" t="s">
        <v>1430</v>
      </c>
      <c r="D636" s="461" t="n">
        <f aca="false">B172</f>
        <v>0</v>
      </c>
      <c r="E636" s="442" t="n">
        <v>100.558659217877</v>
      </c>
      <c r="F636" s="443" t="n">
        <f aca="false">D636*E636</f>
        <v>0</v>
      </c>
      <c r="G636" s="463"/>
      <c r="H636" s="463"/>
      <c r="I636" s="463"/>
      <c r="J636" s="465"/>
      <c r="K636" s="454"/>
      <c r="L636" s="880"/>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row>
    <row r="637" ht="20.1" customHeight="1">
      <c r="A637" s="447" t="s">
        <v>1431</v>
      </c>
      <c r="B637" s="447"/>
      <c r="C637" s="757" t="s">
        <v>1430</v>
      </c>
      <c r="D637" s="461" t="n">
        <f aca="false">C184+C185+C183</f>
        <v>0</v>
      </c>
      <c r="E637" s="442" t="n">
        <v>92.3743016759777</v>
      </c>
      <c r="F637" s="443" t="n">
        <f aca="false">D637*E637</f>
        <v>0</v>
      </c>
      <c r="G637" s="880"/>
      <c r="H637" s="463"/>
      <c r="I637" s="463"/>
      <c r="J637" s="465"/>
      <c r="K637" s="454"/>
      <c r="L637" s="880"/>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row>
    <row r="638" ht="15.75" customHeight="1">
      <c r="A638" s="447" t="s">
        <v>1432</v>
      </c>
      <c r="B638" s="447"/>
      <c r="C638" s="757" t="s">
        <v>1430</v>
      </c>
      <c r="D638" s="461" t="n">
        <f aca="false">C186+C187</f>
        <v>0</v>
      </c>
      <c r="E638" s="442" t="n">
        <v>164.804469273743</v>
      </c>
      <c r="F638" s="443" t="n">
        <f aca="false">D638*E638</f>
        <v>0</v>
      </c>
      <c r="G638" s="880"/>
      <c r="H638" s="463"/>
      <c r="I638" s="463"/>
      <c r="J638" s="465"/>
      <c r="K638" s="454"/>
      <c r="L638" s="880"/>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row>
    <row r="639" ht="20.1" customHeight="1">
      <c r="A639" s="441" t="s">
        <v>1433</v>
      </c>
      <c r="B639" s="441"/>
      <c r="C639" s="757" t="s">
        <v>1427</v>
      </c>
      <c r="D639" s="461" t="n">
        <f aca="false">B188</f>
        <v>0</v>
      </c>
      <c r="E639" s="442" t="n">
        <v>368.659217877095</v>
      </c>
      <c r="F639" s="443" t="n">
        <f aca="false">D639*E639</f>
        <v>0</v>
      </c>
      <c r="G639" s="463"/>
      <c r="H639" s="463"/>
      <c r="I639" s="463"/>
      <c r="J639" s="465"/>
      <c r="K639" s="454"/>
      <c r="L639" s="880"/>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row>
    <row r="640" ht="20.1" customHeight="1">
      <c r="A640" s="441" t="s">
        <v>1434</v>
      </c>
      <c r="B640" s="441"/>
      <c r="C640" s="757" t="s">
        <v>1435</v>
      </c>
      <c r="D640" s="974" t="n">
        <f aca="false">'Bilan apparent'!F46</f>
        <v>12319.2</v>
      </c>
      <c r="E640" s="442" t="n">
        <v>1.46927374301676</v>
      </c>
      <c r="F640" s="443" t="n">
        <f aca="false">D640*E640</f>
        <v>18100.2770949721</v>
      </c>
      <c r="G640" s="44"/>
      <c r="H640" s="44"/>
      <c r="I640" s="44"/>
      <c r="J640" s="9"/>
      <c r="K640" s="434"/>
      <c r="L640" s="434"/>
      <c r="M640"/>
      <c r="N640"/>
      <c r="O640"/>
      <c r="P640"/>
      <c r="Q640"/>
      <c r="R640"/>
      <c r="S640"/>
      <c r="T640"/>
      <c r="U640"/>
    </row>
    <row r="641" ht="20.1" customHeight="1">
      <c r="A641" s="467"/>
      <c r="B641" s="468"/>
      <c r="C641" s="469"/>
      <c r="D641" s="470"/>
      <c r="E641" s="471" t="s">
        <v>1436</v>
      </c>
      <c r="F641" s="472" t="n">
        <f aca="false">SUM(F632:F640)</f>
        <v>23254.9139664804</v>
      </c>
      <c r="G641" s="473"/>
      <c r="H641" s="9"/>
      <c r="J641" s="9"/>
      <c r="K641" s="454"/>
      <c r="L641" s="880"/>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row>
    <row r="642" ht="20.1" customHeight="1">
      <c r="N642"/>
      <c r="O642"/>
      <c r="P642"/>
      <c r="Q642" s="44"/>
      <c r="R642" s="44"/>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row>
    <row r="643" ht="20.1" customHeight="1">
      <c r="N643"/>
      <c r="O643"/>
      <c r="P643"/>
      <c r="Q643" s="44"/>
      <c r="R643" s="44"/>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row>
    <row r="644" ht="15.75" customHeight="1">
      <c r="A644" s="1071" t="s">
        <v>1437</v>
      </c>
      <c r="B644" s="1071"/>
      <c r="C644" s="1071"/>
      <c r="D644" s="1071"/>
      <c r="E644" s="1071"/>
      <c r="F644" s="1071"/>
      <c r="G644" s="1071"/>
      <c r="H644" s="42"/>
      <c r="I644" s="42"/>
      <c r="J644" s="42"/>
      <c r="K644" s="1072"/>
      <c r="L644" s="1073" t="s">
        <v>1438</v>
      </c>
      <c r="M644" s="357"/>
      <c r="N644"/>
      <c r="O644"/>
      <c r="P644"/>
      <c r="Q644" s="44"/>
      <c r="R644" s="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row>
    <row r="645" ht="15" customHeight="1">
      <c r="A645" s="378"/>
      <c r="B645" s="378"/>
      <c r="C645" s="378"/>
      <c r="D645" s="378"/>
      <c r="E645" s="378"/>
      <c r="J645" s="9"/>
      <c r="K645" s="1076"/>
      <c r="L645" s="880"/>
      <c r="M645" s="357"/>
      <c r="N645"/>
      <c r="O645"/>
      <c r="P645"/>
      <c r="Q645" s="44"/>
      <c r="R645" s="44"/>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row>
    <row r="646" ht="15" customHeight="1">
      <c r="A646" s="474" t="s">
        <v>1439</v>
      </c>
      <c r="B646" s="474"/>
      <c r="C646" s="474"/>
      <c r="D646" s="378"/>
      <c r="E646" s="378"/>
      <c r="J646" s="9"/>
      <c r="K646" s="1076"/>
      <c r="L646" s="880"/>
      <c r="M646" s="357"/>
      <c r="N646"/>
      <c r="O646"/>
      <c r="P646"/>
      <c r="Q646" s="44"/>
      <c r="R646" s="44"/>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row>
    <row r="647" ht="15" customHeight="1">
      <c r="A647" s="475" t="s">
        <v>1440</v>
      </c>
      <c r="B647" s="378"/>
      <c r="C647" s="378"/>
      <c r="D647" s="378"/>
      <c r="E647" s="378"/>
      <c r="F647" s="357"/>
      <c r="G647" s="357"/>
      <c r="H647" s="357"/>
      <c r="I647" s="357"/>
      <c r="J647" s="357"/>
      <c r="K647" s="357"/>
      <c r="L647" s="880"/>
      <c r="M647" s="357"/>
      <c r="N647"/>
      <c r="O647"/>
      <c r="P647"/>
      <c r="Q647" s="44"/>
      <c r="R647" s="44"/>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row>
    <row r="648" ht="20.1" customHeight="1">
      <c r="A648" s="43" t="s">
        <v>1441</v>
      </c>
      <c r="B648" s="476"/>
      <c r="C648" s="29"/>
      <c r="D648" s="477" t="s">
        <v>583</v>
      </c>
      <c r="E648" s="477"/>
      <c r="F648" s="357"/>
      <c r="G648" s="357"/>
      <c r="H648" s="357"/>
      <c r="I648" s="357"/>
      <c r="J648" s="357"/>
      <c r="K648" s="357"/>
      <c r="L648" s="880"/>
      <c r="M648"/>
      <c r="N648"/>
      <c r="O648"/>
      <c r="P648"/>
      <c r="Q648" s="44"/>
      <c r="R648" s="44"/>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row>
    <row r="649" ht="20.25" customHeight="1">
      <c r="C649"/>
      <c r="E649" s="476"/>
      <c r="F649" s="357"/>
      <c r="G649" s="357"/>
      <c r="H649" s="357"/>
      <c r="I649" s="357"/>
      <c r="J649" s="357"/>
      <c r="K649" s="357"/>
      <c r="L649" s="880"/>
      <c r="M649"/>
      <c r="Q649" s="44"/>
      <c r="R649" s="44"/>
    </row>
    <row r="650" ht="20.25" customHeight="1">
      <c r="A650" s="475" t="s">
        <v>1442</v>
      </c>
      <c r="B650" s="812"/>
      <c r="C650"/>
      <c r="D650" s="29"/>
      <c r="E650" s="476"/>
      <c r="F650" s="357"/>
      <c r="G650" s="357"/>
      <c r="H650" s="357"/>
      <c r="I650" s="357"/>
      <c r="J650" s="357"/>
      <c r="K650" s="357"/>
      <c r="L650" s="880"/>
      <c r="M650"/>
      <c r="N650"/>
      <c r="O650"/>
      <c r="P650"/>
      <c r="Q650" s="44"/>
      <c r="R650" s="44"/>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row>
    <row r="651" ht="20.1" customHeight="1">
      <c r="A651" s="9" t="s">
        <v>1443</v>
      </c>
      <c r="B651" s="812"/>
      <c r="C651" s="44"/>
      <c r="D651" s="477" t="s">
        <v>254</v>
      </c>
      <c r="E651" s="476"/>
      <c r="F651" s="357"/>
      <c r="G651" s="357"/>
      <c r="H651" s="357"/>
      <c r="I651" s="357"/>
      <c r="J651" s="357"/>
      <c r="K651" s="357"/>
      <c r="L651" s="880"/>
      <c r="M651"/>
      <c r="N651"/>
      <c r="O651"/>
      <c r="P651"/>
      <c r="Q651" s="44"/>
      <c r="R651" s="44"/>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row>
    <row r="652" ht="20.1" customHeight="1">
      <c r="E652"/>
      <c r="F652" s="357"/>
      <c r="G652" s="357"/>
      <c r="H652" s="357"/>
      <c r="I652" s="357"/>
      <c r="J652" s="357"/>
      <c r="K652" s="357"/>
      <c r="L652" s="880"/>
      <c r="M652"/>
      <c r="N652"/>
      <c r="O652"/>
      <c r="P652"/>
      <c r="Q652" s="44"/>
      <c r="R652" s="44"/>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row>
    <row r="653" ht="21.75" customHeight="1">
      <c r="A653" s="478" t="s">
        <v>1444</v>
      </c>
      <c r="B653" s="478"/>
      <c r="C653" s="478"/>
      <c r="D653" s="477" t="s">
        <v>254</v>
      </c>
      <c r="E653" s="476"/>
      <c r="F653" s="357"/>
      <c r="G653" s="357"/>
      <c r="H653" s="357"/>
      <c r="I653" s="357"/>
      <c r="J653" s="357"/>
      <c r="K653" s="357"/>
      <c r="L653" s="880"/>
      <c r="M653"/>
      <c r="Q653" s="44"/>
      <c r="R653" s="44"/>
      <c r="S653" s="44"/>
    </row>
    <row r="654" ht="75" customHeight="1">
      <c r="A654" s="479" t="s">
        <v>1445</v>
      </c>
      <c r="B654" s="479"/>
      <c r="C654" s="479"/>
      <c r="D654" s="479"/>
      <c r="E654" s="479"/>
      <c r="F654" s="9"/>
      <c r="G654" s="12"/>
      <c r="H654" s="414"/>
      <c r="I654" s="44"/>
      <c r="K654" s="1076"/>
      <c r="L654" s="880"/>
      <c r="M654" s="44"/>
      <c r="Q654" s="44"/>
      <c r="R654" s="44"/>
      <c r="S654" s="44"/>
    </row>
    <row r="655" ht="20.1" customHeight="1">
      <c r="F655"/>
      <c r="G655"/>
      <c r="H655"/>
      <c r="I655"/>
      <c r="K655" s="1076"/>
      <c r="L655" s="880"/>
      <c r="M655"/>
      <c r="Q655" s="44"/>
      <c r="R655" s="44"/>
      <c r="S655" s="44"/>
    </row>
    <row r="656" ht="20.1" customHeight="1">
      <c r="A656" s="12" t="s">
        <v>1446</v>
      </c>
      <c r="B656" s="480"/>
      <c r="C656" s="480"/>
      <c r="D656" s="29"/>
      <c r="E656"/>
      <c r="F656"/>
      <c r="G656"/>
      <c r="H656"/>
      <c r="I656"/>
      <c r="J656"/>
      <c r="K656" s="1076"/>
      <c r="L656" s="880"/>
      <c r="M656"/>
      <c r="Q656" s="44"/>
      <c r="R656" s="44"/>
      <c r="S656" s="44"/>
    </row>
    <row r="657" ht="20.1" customHeight="1">
      <c r="A657" s="9" t="s">
        <v>575</v>
      </c>
      <c r="B657" s="480"/>
      <c r="C657" s="480"/>
      <c r="D657" s="477" t="s">
        <v>253</v>
      </c>
      <c r="E657"/>
      <c r="F657"/>
      <c r="G657"/>
      <c r="H657"/>
      <c r="I657"/>
      <c r="J657"/>
      <c r="K657" s="1076"/>
      <c r="L657" s="880"/>
      <c r="M657"/>
      <c r="Q657" s="44"/>
      <c r="R657" s="44"/>
      <c r="S657" s="44"/>
    </row>
    <row r="658" ht="20.1" customHeight="1">
      <c r="A658" s="12"/>
      <c r="B658" s="480"/>
      <c r="C658" s="480"/>
      <c r="D658" s="29"/>
      <c r="E658"/>
      <c r="F658"/>
      <c r="G658"/>
      <c r="H658"/>
      <c r="I658"/>
      <c r="J658"/>
      <c r="K658" s="1076"/>
      <c r="L658" s="880"/>
      <c r="M658"/>
      <c r="Q658" s="44"/>
      <c r="R658" s="44"/>
      <c r="S658" s="44"/>
    </row>
    <row r="659" ht="20.1" customHeight="1">
      <c r="A659" s="12" t="s">
        <v>1447</v>
      </c>
      <c r="B659"/>
      <c r="C659"/>
      <c r="D659" s="481" t="n">
        <f aca="false">E660+E662+E664+E666</f>
        <v>2</v>
      </c>
      <c r="E659"/>
      <c r="F659"/>
      <c r="G659"/>
      <c r="H659"/>
      <c r="I659"/>
      <c r="J659"/>
      <c r="K659" s="1076"/>
      <c r="L659" s="880"/>
      <c r="M659"/>
      <c r="Q659" s="44"/>
      <c r="R659" s="44"/>
      <c r="S659" s="44"/>
    </row>
    <row r="660" ht="20.1" customHeight="1">
      <c r="A660" s="482" t="s">
        <v>1448</v>
      </c>
      <c r="B660" s="482"/>
      <c r="C660" s="480"/>
      <c r="D660" s="483" t="s">
        <v>254</v>
      </c>
      <c r="E660" s="484" t="n">
        <f aca="false">IF(D660="oui",1,0)</f>
        <v>0</v>
      </c>
      <c r="F660"/>
      <c r="G660"/>
      <c r="H660"/>
      <c r="I660"/>
      <c r="J660"/>
      <c r="K660" s="1076"/>
      <c r="L660" s="880"/>
      <c r="M660"/>
      <c r="Q660" s="44"/>
      <c r="R660" s="44"/>
      <c r="S660" s="44"/>
    </row>
    <row r="661" ht="20.1" customHeight="1">
      <c r="A661" s="485" t="s">
        <v>1449</v>
      </c>
      <c r="B661" s="482"/>
      <c r="C661" s="480"/>
      <c r="D661"/>
      <c r="E661" s="484"/>
      <c r="F661"/>
      <c r="G661"/>
      <c r="H661"/>
      <c r="I661"/>
      <c r="J661"/>
      <c r="K661" s="1076"/>
      <c r="L661" s="880"/>
      <c r="M661"/>
      <c r="Q661" s="44"/>
      <c r="R661" s="44"/>
      <c r="S661" s="44"/>
    </row>
    <row r="662" ht="19.5" customHeight="1">
      <c r="A662" s="486" t="s">
        <v>1450</v>
      </c>
      <c r="B662" s="486"/>
      <c r="C662" s="486"/>
      <c r="D662" s="483" t="s">
        <v>253</v>
      </c>
      <c r="E662" s="484" t="n">
        <f aca="false">IF(D662="oui",1,0)</f>
        <v>1</v>
      </c>
      <c r="F662"/>
      <c r="G662"/>
      <c r="H662"/>
      <c r="I662"/>
      <c r="J662"/>
      <c r="K662" s="1076"/>
      <c r="L662" s="880"/>
      <c r="M662"/>
      <c r="Q662" s="44"/>
      <c r="R662" s="44"/>
      <c r="S662" s="44"/>
    </row>
    <row r="663" ht="19.5" customHeight="1">
      <c r="A663" s="485" t="s">
        <v>1451</v>
      </c>
      <c r="B663" s="482"/>
      <c r="C663" s="480"/>
      <c r="D663"/>
      <c r="E663" s="484"/>
      <c r="F663"/>
      <c r="G663"/>
      <c r="H663"/>
      <c r="I663"/>
      <c r="J663"/>
      <c r="K663" s="1076"/>
      <c r="L663" s="880"/>
      <c r="M663"/>
      <c r="Q663" s="44"/>
      <c r="R663" s="44"/>
      <c r="S663" s="44"/>
    </row>
    <row r="664" ht="20.1" customHeight="1">
      <c r="A664" s="482" t="s">
        <v>1452</v>
      </c>
      <c r="B664" s="482"/>
      <c r="C664" s="480"/>
      <c r="D664" s="483" t="s">
        <v>253</v>
      </c>
      <c r="E664" s="484" t="n">
        <f aca="false">IF(D664="oui",1,0)</f>
        <v>1</v>
      </c>
      <c r="F664"/>
      <c r="G664"/>
      <c r="H664"/>
      <c r="I664"/>
      <c r="J664"/>
      <c r="K664" s="1076"/>
      <c r="L664" s="880"/>
      <c r="M664"/>
      <c r="Q664" s="44"/>
      <c r="R664" s="44"/>
      <c r="S664" s="44"/>
    </row>
    <row r="665" ht="20.1" customHeight="1">
      <c r="A665" s="485" t="s">
        <v>1453</v>
      </c>
      <c r="B665" s="482"/>
      <c r="C665" s="480"/>
      <c r="D665"/>
      <c r="E665" s="484"/>
      <c r="F665"/>
      <c r="G665"/>
      <c r="H665"/>
      <c r="I665"/>
      <c r="J665"/>
      <c r="K665" s="1076"/>
      <c r="L665" s="880"/>
      <c r="M665"/>
      <c r="Q665" s="44"/>
      <c r="R665" s="44"/>
      <c r="S665" s="44"/>
    </row>
    <row r="666" ht="20.1" customHeight="1">
      <c r="A666" s="482" t="s">
        <v>1454</v>
      </c>
      <c r="B666" s="482"/>
      <c r="C666" s="480"/>
      <c r="D666" s="483" t="s">
        <v>254</v>
      </c>
      <c r="E666" s="484" t="n">
        <f aca="false">IF(D666="oui",1,0)</f>
        <v>0</v>
      </c>
      <c r="F666"/>
      <c r="G666"/>
      <c r="H666"/>
      <c r="I666"/>
      <c r="J666"/>
      <c r="K666" s="1076"/>
      <c r="L666" s="880"/>
      <c r="M666"/>
      <c r="Q666" s="44"/>
      <c r="R666" s="44"/>
      <c r="S666" s="44"/>
    </row>
    <row r="667" ht="20.1" customHeight="1">
      <c r="A667" s="485" t="s">
        <v>1455</v>
      </c>
      <c r="F667"/>
      <c r="G667"/>
      <c r="H667"/>
      <c r="I667"/>
      <c r="J667"/>
      <c r="K667" s="1076"/>
      <c r="L667" s="880"/>
      <c r="M667"/>
      <c r="Q667" s="44"/>
      <c r="R667" s="44"/>
      <c r="S667" s="44"/>
    </row>
    <row r="668" ht="20.1" customHeight="1">
      <c r="F668"/>
      <c r="G668"/>
      <c r="H668"/>
      <c r="I668"/>
      <c r="J668"/>
      <c r="K668" s="1076"/>
      <c r="L668" s="880"/>
      <c r="M668"/>
      <c r="Q668" s="44"/>
      <c r="R668" s="44"/>
      <c r="S668" s="44"/>
    </row>
    <row r="669" ht="20.1" customHeight="1">
      <c r="A669" s="415" t="s">
        <v>1456</v>
      </c>
      <c r="B669" s="812"/>
      <c r="C669"/>
      <c r="D669"/>
      <c r="E669"/>
      <c r="F669"/>
      <c r="G669"/>
      <c r="H669"/>
      <c r="I669"/>
      <c r="J669"/>
      <c r="K669" s="1076"/>
      <c r="L669" s="880"/>
      <c r="M669"/>
      <c r="Q669" s="44"/>
      <c r="R669" s="44"/>
      <c r="S669" s="44"/>
    </row>
    <row r="670" ht="20.1" customHeight="1">
      <c r="A670" s="14" t="s">
        <v>1457</v>
      </c>
      <c r="B670"/>
      <c r="C670"/>
      <c r="D670"/>
      <c r="E670" s="4"/>
      <c r="F670" s="9"/>
      <c r="G670" s="12"/>
      <c r="H670" s="477" t="s">
        <v>253</v>
      </c>
      <c r="I670"/>
      <c r="J670"/>
      <c r="K670" s="1076"/>
      <c r="L670" s="880"/>
      <c r="M670"/>
      <c r="Q670" s="44"/>
      <c r="R670" s="44"/>
      <c r="S670" s="44"/>
    </row>
    <row r="671" ht="20.1" customHeight="1">
      <c r="I671" s="484"/>
      <c r="J671" s="10"/>
      <c r="K671" s="1076"/>
      <c r="L671" s="403"/>
      <c r="M671" s="44"/>
      <c r="Q671" s="44"/>
      <c r="R671" s="44"/>
      <c r="S671" s="44"/>
    </row>
    <row r="672" ht="20.1" customHeight="1">
      <c r="A672" s="14"/>
      <c r="B672"/>
      <c r="C672"/>
      <c r="D672" s="4"/>
      <c r="E672"/>
      <c r="F672" s="13"/>
      <c r="G672"/>
      <c r="H672"/>
      <c r="I672"/>
      <c r="J672"/>
      <c r="K672" s="1076"/>
      <c r="L672" s="403"/>
      <c r="M672" s="44"/>
      <c r="Q672" s="44"/>
      <c r="R672" s="44"/>
      <c r="S672" s="44"/>
    </row>
    <row r="673" ht="20.1" customHeight="1">
      <c r="A673" s="1071" t="s">
        <v>1458</v>
      </c>
      <c r="B673" s="1071"/>
      <c r="C673" s="1071"/>
      <c r="D673" s="1071"/>
      <c r="E673" s="1071"/>
      <c r="F673" s="1071"/>
      <c r="G673" s="1071"/>
      <c r="H673" s="42"/>
      <c r="I673" s="42"/>
      <c r="J673" s="42"/>
      <c r="K673" s="1072"/>
      <c r="L673" s="1073" t="s">
        <v>1370</v>
      </c>
      <c r="M673"/>
      <c r="Q673" s="44"/>
      <c r="R673" s="44"/>
      <c r="S673" s="44"/>
    </row>
    <row r="674" ht="20.1" customHeight="1">
      <c r="J674" s="9"/>
      <c r="M674"/>
      <c r="Q674" s="44"/>
      <c r="R674" s="44"/>
      <c r="S674" s="44"/>
    </row>
    <row r="675" ht="20.1" customHeight="1">
      <c r="A675" s="415" t="s">
        <v>1459</v>
      </c>
      <c r="B675" s="406"/>
      <c r="C675" s="406"/>
      <c r="D675" s="1" t="s">
        <v>94</v>
      </c>
      <c r="E675" s="8"/>
      <c r="F675" s="487" t="s">
        <v>1460</v>
      </c>
      <c r="G675" s="12"/>
      <c r="H675" s="488"/>
      <c r="I675" s="12"/>
      <c r="J675" s="383"/>
      <c r="K675" s="1076"/>
      <c r="L675" s="880"/>
      <c r="M675" s="357"/>
      <c r="Q675" s="44"/>
      <c r="R675" s="44"/>
      <c r="S675" s="44"/>
    </row>
    <row r="676" ht="20.1" customHeight="1">
      <c r="A676" s="14" t="s">
        <v>520</v>
      </c>
      <c r="B676" s="14"/>
      <c r="C676" s="14"/>
      <c r="D676" s="489" t="n">
        <v>15</v>
      </c>
      <c r="E676" s="12"/>
      <c r="F676" s="490" t="n">
        <f aca="false">D676/B24</f>
        <v>0.194805194805195</v>
      </c>
      <c r="G676" s="9"/>
      <c r="H676" s="9"/>
      <c r="I676" s="9"/>
      <c r="J676" s="9"/>
      <c r="K676" s="9"/>
      <c r="L676" s="880"/>
      <c r="M676" s="357"/>
      <c r="Q676" s="44"/>
      <c r="R676" s="44"/>
      <c r="S676" s="44"/>
    </row>
    <row r="677" ht="20.1" customHeight="1">
      <c r="A677" s="491" t="s">
        <v>1461</v>
      </c>
      <c r="B677" s="492"/>
      <c r="C677" s="492"/>
      <c r="D677" s="492"/>
      <c r="E677" s="492"/>
      <c r="F677" s="9"/>
      <c r="G677" s="9"/>
      <c r="H677" s="9"/>
      <c r="I677" s="9"/>
      <c r="J677" s="9"/>
      <c r="K677" s="9"/>
      <c r="L677" s="12"/>
      <c r="M677" s="357"/>
      <c r="Q677" s="44"/>
      <c r="R677" s="44"/>
      <c r="S677" s="44"/>
    </row>
    <row r="678" ht="20.1" customHeight="1">
      <c r="A678" s="493"/>
      <c r="B678" s="494"/>
      <c r="C678" s="494"/>
      <c r="D678" s="494"/>
      <c r="E678" s="494"/>
      <c r="F678" s="446"/>
      <c r="G678" s="446"/>
      <c r="H678" s="446"/>
      <c r="I678" s="446"/>
      <c r="J678" s="446"/>
      <c r="K678" s="446"/>
      <c r="L678" s="495"/>
      <c r="M678" s="496"/>
      <c r="Q678" s="44"/>
      <c r="R678" s="44"/>
      <c r="S678" s="44"/>
      <c r="T678"/>
      <c r="U678"/>
      <c r="V678"/>
      <c r="W678"/>
      <c r="X678"/>
      <c r="Y678"/>
      <c r="Z678"/>
      <c r="AA678"/>
      <c r="AB678"/>
      <c r="AC678"/>
      <c r="AD678"/>
      <c r="AE678"/>
      <c r="AF678"/>
      <c r="AG678"/>
      <c r="AH678"/>
      <c r="AI678"/>
      <c r="AJ678"/>
      <c r="AK678"/>
      <c r="AL678"/>
      <c r="AM678"/>
      <c r="AN678"/>
      <c r="AO678"/>
      <c r="AP678"/>
      <c r="AQ678"/>
      <c r="AR678"/>
      <c r="AS678"/>
      <c r="AT678"/>
      <c r="AU678"/>
      <c r="AV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row>
    <row r="679" ht="20.1" customHeight="1">
      <c r="A679" s="497" t="s">
        <v>522</v>
      </c>
      <c r="B679" s="497"/>
      <c r="C679" s="497"/>
      <c r="D679" s="416" t="s">
        <v>254</v>
      </c>
      <c r="E679" s="12"/>
      <c r="F679" s="12"/>
      <c r="G679" s="12"/>
      <c r="H679" s="12"/>
      <c r="I679" s="12"/>
      <c r="J679" s="12"/>
      <c r="K679" s="1076"/>
      <c r="L679" s="880"/>
      <c r="M679" s="357"/>
      <c r="Q679" s="44"/>
      <c r="R679" s="44"/>
      <c r="S679" s="44"/>
      <c r="T679"/>
      <c r="U679"/>
      <c r="V679"/>
      <c r="W679"/>
      <c r="X679"/>
      <c r="Y679"/>
      <c r="Z679"/>
      <c r="AA679"/>
      <c r="AB679"/>
      <c r="AC679"/>
      <c r="AD679"/>
      <c r="AE679"/>
      <c r="AF679"/>
      <c r="AG679"/>
      <c r="AH679"/>
      <c r="AI679"/>
      <c r="AJ679"/>
      <c r="AK679"/>
      <c r="AL679"/>
      <c r="AM679"/>
      <c r="AN679"/>
      <c r="AO679"/>
      <c r="AP679"/>
      <c r="AQ679"/>
      <c r="AR679"/>
      <c r="AS679"/>
      <c r="AT679"/>
      <c r="AU679"/>
      <c r="AV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row>
    <row r="680" ht="20.1" customHeight="1">
      <c r="A680" s="405"/>
      <c r="B680" s="12"/>
      <c r="C680" s="12"/>
      <c r="D680" s="12"/>
      <c r="E680" s="12"/>
      <c r="F680" s="12"/>
      <c r="G680" s="12"/>
      <c r="H680" s="12"/>
      <c r="I680" s="12"/>
      <c r="J680" s="12"/>
      <c r="K680" s="1076"/>
      <c r="L680" s="880"/>
      <c r="M680" s="357"/>
      <c r="Q680" s="44"/>
      <c r="R680" s="44"/>
      <c r="S680" s="44"/>
      <c r="T680"/>
      <c r="U680"/>
      <c r="V680"/>
      <c r="W680"/>
      <c r="X680"/>
      <c r="Y680"/>
      <c r="Z680"/>
      <c r="AA680"/>
      <c r="AB680"/>
      <c r="AC680"/>
      <c r="AD680"/>
      <c r="AE680"/>
      <c r="AF680"/>
      <c r="AG680"/>
      <c r="AH680"/>
      <c r="AI680"/>
      <c r="AJ680"/>
      <c r="AK680"/>
      <c r="AL680"/>
      <c r="AM680"/>
      <c r="AN680"/>
      <c r="AO680"/>
      <c r="AP680"/>
      <c r="AQ680"/>
      <c r="AR680"/>
      <c r="AS680"/>
      <c r="AT680"/>
      <c r="AU680"/>
      <c r="AV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row>
    <row r="681" ht="20.1" customHeight="1">
      <c r="A681" s="497" t="s">
        <v>523</v>
      </c>
      <c r="B681" s="497"/>
      <c r="C681" s="497"/>
      <c r="D681" s="416" t="s">
        <v>254</v>
      </c>
      <c r="E681" s="8"/>
      <c r="F681" s="12"/>
      <c r="G681" s="12"/>
      <c r="H681" s="488"/>
      <c r="I681" s="12"/>
      <c r="J681" s="383"/>
      <c r="K681" s="1076"/>
      <c r="L681" s="880"/>
      <c r="M681" s="357"/>
      <c r="Q681" s="44"/>
      <c r="R681" s="44"/>
      <c r="S681" s="44"/>
      <c r="T681"/>
      <c r="U681"/>
      <c r="V681"/>
      <c r="W681"/>
      <c r="X681"/>
      <c r="Y681"/>
      <c r="Z681"/>
      <c r="AA681"/>
      <c r="AB681"/>
      <c r="AC681"/>
      <c r="AD681"/>
      <c r="AE681"/>
      <c r="AF681"/>
      <c r="AG681"/>
      <c r="AH681"/>
      <c r="AI681"/>
      <c r="AJ681"/>
      <c r="AK681"/>
      <c r="AL681"/>
      <c r="AM681"/>
      <c r="AN681"/>
      <c r="AO681"/>
      <c r="AP681"/>
      <c r="AQ681"/>
      <c r="AR681"/>
      <c r="AS681"/>
      <c r="AT681"/>
      <c r="AU681"/>
      <c r="AV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row>
    <row r="682" ht="20.1" customHeight="1">
      <c r="A682" s="12"/>
      <c r="B682" s="406"/>
      <c r="C682" s="406"/>
      <c r="D682" s="8"/>
      <c r="E682" s="8"/>
      <c r="F682" s="9"/>
      <c r="G682" s="394"/>
      <c r="H682" s="488"/>
      <c r="I682" s="12"/>
      <c r="J682" s="383"/>
      <c r="K682" s="1076"/>
      <c r="L682" s="880"/>
      <c r="M682" s="357"/>
      <c r="Q682" s="44"/>
      <c r="R682" s="44"/>
      <c r="S682" s="44"/>
      <c r="T682"/>
      <c r="U682"/>
      <c r="V682"/>
      <c r="W682"/>
      <c r="X682"/>
      <c r="Y682"/>
      <c r="Z682"/>
      <c r="AA682"/>
      <c r="AB682"/>
      <c r="AC682"/>
      <c r="AD682"/>
      <c r="AE682"/>
      <c r="AF682"/>
      <c r="AG682"/>
      <c r="AH682"/>
      <c r="AI682"/>
      <c r="AJ682"/>
      <c r="AK682"/>
      <c r="AL682"/>
      <c r="AM682"/>
      <c r="AN682"/>
      <c r="AO682"/>
      <c r="AP682"/>
      <c r="AQ682"/>
      <c r="AR682"/>
      <c r="AS682"/>
      <c r="AT682"/>
      <c r="AU682"/>
      <c r="AV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row>
    <row r="683" ht="20.1" customHeight="1">
      <c r="A683" s="415" t="s">
        <v>525</v>
      </c>
      <c r="B683" s="406"/>
      <c r="C683" s="406"/>
      <c r="D683" s="8"/>
      <c r="E683" s="1" t="s">
        <v>94</v>
      </c>
      <c r="F683" s="394"/>
      <c r="G683" s="12"/>
      <c r="H683" s="487" t="s">
        <v>1460</v>
      </c>
      <c r="I683" s="821"/>
      <c r="J683" s="1132"/>
      <c r="K683" s="1076"/>
      <c r="L683" s="880"/>
      <c r="M683" s="357"/>
      <c r="Q683" s="44"/>
      <c r="R683" s="44"/>
      <c r="S683" s="44"/>
      <c r="T683"/>
      <c r="U683"/>
      <c r="V683"/>
      <c r="W683"/>
      <c r="X683"/>
      <c r="Y683"/>
      <c r="Z683"/>
      <c r="AA683"/>
      <c r="AB683"/>
      <c r="AC683"/>
      <c r="AD683"/>
      <c r="AE683"/>
      <c r="AF683"/>
      <c r="AG683"/>
      <c r="AH683"/>
      <c r="AI683"/>
      <c r="AJ683"/>
      <c r="AK683"/>
      <c r="AL683"/>
      <c r="AM683"/>
      <c r="AN683"/>
      <c r="AO683"/>
      <c r="AP683"/>
      <c r="AQ683"/>
      <c r="AR683"/>
      <c r="AS683"/>
      <c r="AT683"/>
      <c r="AU683"/>
      <c r="AV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row>
    <row r="684" ht="20.1" customHeight="1">
      <c r="A684" s="13" t="s">
        <v>1462</v>
      </c>
      <c r="B684" s="13"/>
      <c r="C684" s="13"/>
      <c r="D684" s="834" t="s">
        <v>1463</v>
      </c>
      <c r="E684" s="489" t="n">
        <v>39</v>
      </c>
      <c r="F684" s="394"/>
      <c r="G684" s="12"/>
      <c r="H684" s="490" t="n">
        <f aca="false">E684/B24</f>
        <v>0.506493506493506</v>
      </c>
      <c r="I684" s="821"/>
      <c r="J684" s="1132"/>
      <c r="K684" s="1076"/>
      <c r="L684" s="880"/>
      <c r="M684" s="357"/>
      <c r="Q684" s="44"/>
      <c r="R684" s="44"/>
      <c r="S684" s="44"/>
      <c r="T684"/>
      <c r="U684"/>
      <c r="V684"/>
      <c r="W684"/>
      <c r="X684"/>
      <c r="Y684"/>
      <c r="Z684"/>
      <c r="AA684"/>
      <c r="AB684"/>
      <c r="AC684"/>
      <c r="AD684"/>
      <c r="AE684"/>
      <c r="AF684"/>
      <c r="AG684"/>
      <c r="AH684"/>
      <c r="AI684"/>
      <c r="AJ684"/>
      <c r="AK684"/>
      <c r="AL684"/>
      <c r="AM684"/>
      <c r="AN684"/>
      <c r="AO684"/>
      <c r="AP684"/>
      <c r="AQ684"/>
      <c r="AR684"/>
      <c r="AS684"/>
      <c r="AT684"/>
      <c r="AU684"/>
      <c r="AV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row>
    <row r="685" ht="20.1" customHeight="1">
      <c r="A685" s="13" t="s">
        <v>1464</v>
      </c>
      <c r="B685" s="13"/>
      <c r="C685" s="13"/>
      <c r="D685" s="834" t="s">
        <v>1465</v>
      </c>
      <c r="E685" s="489" t="n">
        <v>4</v>
      </c>
      <c r="F685" s="394"/>
      <c r="G685" s="12"/>
      <c r="H685" s="490" t="n">
        <f aca="false">E685/B24</f>
        <v>0.051948051948052</v>
      </c>
      <c r="I685" s="821"/>
      <c r="J685" s="1132"/>
      <c r="K685" s="1076"/>
      <c r="L685" s="880"/>
      <c r="M685" s="357"/>
      <c r="Q685" s="44"/>
      <c r="R685" s="44"/>
      <c r="S685" s="44"/>
      <c r="T685"/>
      <c r="U685"/>
      <c r="V685"/>
      <c r="W685"/>
      <c r="X685"/>
      <c r="Y685"/>
      <c r="Z685"/>
      <c r="AA685"/>
      <c r="AB685"/>
      <c r="AC685"/>
      <c r="AD685"/>
      <c r="AE685"/>
      <c r="AF685"/>
      <c r="AG685"/>
      <c r="AH685"/>
      <c r="AI685"/>
      <c r="AJ685"/>
      <c r="AK685"/>
      <c r="AL685"/>
      <c r="AM685"/>
      <c r="AN685"/>
      <c r="AO685"/>
      <c r="AP685"/>
      <c r="AQ685"/>
      <c r="AR685"/>
      <c r="AS685"/>
      <c r="AT685"/>
      <c r="AU685"/>
      <c r="AV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row>
    <row r="686" ht="20.1" customHeight="1">
      <c r="A686" s="13" t="s">
        <v>1466</v>
      </c>
      <c r="B686" s="13"/>
      <c r="C686" s="13"/>
      <c r="D686" s="12"/>
      <c r="E686" s="489" t="n">
        <v>4</v>
      </c>
      <c r="F686" s="44"/>
      <c r="G686" s="40"/>
      <c r="H686" s="490" t="n">
        <f aca="false">E686/B24</f>
        <v>0.051948051948052</v>
      </c>
      <c r="I686"/>
      <c r="J686" s="821"/>
      <c r="K686" s="1076"/>
      <c r="L686" s="880"/>
      <c r="M686" s="357"/>
      <c r="Q686" s="44"/>
      <c r="R686" s="44"/>
      <c r="S686" s="44"/>
      <c r="T686"/>
      <c r="U686"/>
      <c r="V686"/>
      <c r="W686"/>
      <c r="X686"/>
      <c r="Y686"/>
      <c r="Z686"/>
      <c r="AA686"/>
      <c r="AB686"/>
      <c r="AC686"/>
      <c r="AD686"/>
      <c r="AE686"/>
      <c r="AF686"/>
      <c r="AG686"/>
      <c r="AH686"/>
      <c r="AI686"/>
      <c r="AJ686"/>
      <c r="AK686"/>
      <c r="AL686"/>
      <c r="AM686"/>
      <c r="AN686"/>
      <c r="AO686"/>
      <c r="AP686"/>
      <c r="AQ686"/>
      <c r="AR686"/>
      <c r="AS686"/>
      <c r="AT686"/>
      <c r="AU686"/>
      <c r="AV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row>
    <row r="687" ht="20.1" customHeight="1">
      <c r="A687" s="498"/>
      <c r="B687" s="499"/>
      <c r="C687" s="499"/>
      <c r="D687" s="821"/>
      <c r="E687" s="821"/>
      <c r="F687" s="412"/>
      <c r="G687" s="821"/>
      <c r="H687" s="821"/>
      <c r="I687" s="821"/>
      <c r="J687" s="12"/>
      <c r="K687" s="500"/>
      <c r="L687" s="501"/>
      <c r="M687" s="357"/>
      <c r="Q687" s="44"/>
      <c r="R687" s="44"/>
      <c r="S687" s="44"/>
      <c r="T687"/>
      <c r="U687"/>
      <c r="V687"/>
      <c r="W687"/>
      <c r="X687"/>
      <c r="Y687"/>
      <c r="Z687"/>
      <c r="AA687"/>
      <c r="AB687"/>
      <c r="AC687"/>
      <c r="AD687"/>
      <c r="AE687"/>
      <c r="AF687"/>
      <c r="AG687"/>
      <c r="AH687"/>
      <c r="AI687"/>
      <c r="AJ687"/>
      <c r="AK687"/>
      <c r="AL687"/>
      <c r="AM687"/>
      <c r="AN687"/>
      <c r="AO687"/>
      <c r="AP687"/>
      <c r="AQ687"/>
      <c r="AR687"/>
      <c r="AS687"/>
      <c r="AT687"/>
      <c r="AU687"/>
      <c r="AV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row>
    <row r="688" ht="20.1" customHeight="1">
      <c r="A688" s="497" t="s">
        <v>529</v>
      </c>
      <c r="B688" s="497"/>
      <c r="C688" s="497"/>
      <c r="D688" s="477" t="s">
        <v>254</v>
      </c>
      <c r="E688" s="821"/>
      <c r="F688" s="412"/>
      <c r="G688" s="821"/>
      <c r="H688" s="821"/>
      <c r="I688" s="821"/>
      <c r="J688" s="12"/>
      <c r="K688" s="500"/>
      <c r="L688" s="501"/>
      <c r="M688" s="357"/>
      <c r="Q688" s="44"/>
      <c r="R688" s="44"/>
      <c r="S688" s="44"/>
      <c r="T688"/>
      <c r="U688"/>
      <c r="V688"/>
      <c r="W688"/>
      <c r="X688"/>
      <c r="Y688"/>
      <c r="Z688"/>
      <c r="AA688"/>
      <c r="AB688"/>
      <c r="AC688"/>
      <c r="AD688"/>
      <c r="AE688"/>
      <c r="AF688"/>
      <c r="AG688"/>
      <c r="AH688"/>
      <c r="AI688"/>
      <c r="AJ688"/>
      <c r="AK688"/>
      <c r="AL688"/>
      <c r="AM688"/>
      <c r="AN688"/>
      <c r="AO688"/>
      <c r="AP688"/>
      <c r="AQ688"/>
      <c r="AR688"/>
      <c r="AS688"/>
      <c r="AT688"/>
      <c r="AU688"/>
      <c r="AV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row>
    <row r="689" ht="20.1" customHeight="1">
      <c r="A689" s="498"/>
      <c r="B689" s="499"/>
      <c r="C689" s="499"/>
      <c r="D689" s="821"/>
      <c r="E689" s="821"/>
      <c r="F689" s="412"/>
      <c r="G689" s="821"/>
      <c r="H689" s="821"/>
      <c r="I689" s="821"/>
      <c r="J689" s="12"/>
      <c r="K689" s="500"/>
      <c r="L689" s="501"/>
      <c r="M689" s="357"/>
      <c r="Q689" s="44"/>
      <c r="R689" s="44"/>
      <c r="S689" s="44"/>
      <c r="T689"/>
      <c r="U689"/>
      <c r="V689"/>
      <c r="W689"/>
      <c r="X689"/>
      <c r="Y689"/>
      <c r="Z689"/>
      <c r="AA689"/>
      <c r="AB689"/>
      <c r="AC689"/>
      <c r="AD689"/>
      <c r="AE689"/>
      <c r="AF689"/>
      <c r="AG689"/>
      <c r="AH689"/>
      <c r="AI689"/>
      <c r="AJ689"/>
      <c r="AK689"/>
      <c r="AL689"/>
      <c r="AM689"/>
      <c r="AN689"/>
      <c r="AO689"/>
      <c r="AP689"/>
      <c r="AQ689"/>
      <c r="AR689"/>
      <c r="AS689"/>
      <c r="AT689"/>
      <c r="AU689"/>
      <c r="AV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row>
    <row r="690" ht="20.1" customHeight="1">
      <c r="A690" s="12" t="s">
        <v>530</v>
      </c>
      <c r="B690" s="29"/>
      <c r="C690" s="29"/>
      <c r="D690" s="4"/>
      <c r="E690"/>
      <c r="F690" s="9"/>
      <c r="G690" s="12"/>
      <c r="H690" s="414"/>
      <c r="I690"/>
      <c r="J690"/>
      <c r="K690" s="1076"/>
      <c r="L690" s="880"/>
      <c r="M690"/>
      <c r="Q690" s="44"/>
      <c r="R690" s="44"/>
      <c r="S690" s="44"/>
      <c r="T690"/>
      <c r="U690"/>
      <c r="V690"/>
      <c r="W690"/>
      <c r="X690"/>
      <c r="Y690"/>
      <c r="Z690"/>
      <c r="AA690"/>
      <c r="AB690"/>
      <c r="AC690"/>
      <c r="AD690"/>
      <c r="AE690"/>
      <c r="AF690"/>
      <c r="AG690"/>
      <c r="AH690"/>
      <c r="AI690"/>
      <c r="AJ690"/>
      <c r="AK690"/>
      <c r="AL690"/>
      <c r="AM690"/>
      <c r="AN690"/>
      <c r="AO690"/>
      <c r="AP690"/>
      <c r="AQ690"/>
      <c r="AR690"/>
      <c r="AS690"/>
      <c r="AT690"/>
      <c r="AU690"/>
      <c r="AV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row>
    <row r="691" ht="20.1" customHeight="1">
      <c r="A691" s="9" t="s">
        <v>531</v>
      </c>
      <c r="B691" s="12"/>
      <c r="C691" s="12"/>
      <c r="D691" s="811"/>
      <c r="E691" s="416" t="s">
        <v>254</v>
      </c>
      <c r="F691" s="13" t="s">
        <v>1467</v>
      </c>
      <c r="G691" s="502"/>
      <c r="H691" s="502"/>
      <c r="I691" s="502"/>
      <c r="J691" s="502"/>
      <c r="K691" s="1068"/>
      <c r="L691" s="880"/>
      <c r="M691" s="357"/>
      <c r="Q691" s="44"/>
      <c r="R691" s="44"/>
      <c r="S691" s="44"/>
      <c r="T691"/>
      <c r="U691"/>
      <c r="V691"/>
      <c r="W691"/>
      <c r="X691"/>
      <c r="Y691"/>
      <c r="Z691"/>
      <c r="AA691"/>
      <c r="AB691"/>
      <c r="AC691"/>
      <c r="AD691"/>
      <c r="AE691"/>
      <c r="AF691"/>
      <c r="AG691"/>
      <c r="AH691"/>
      <c r="AI691"/>
      <c r="AJ691"/>
      <c r="AK691"/>
      <c r="AL691"/>
      <c r="AM691"/>
      <c r="AN691"/>
      <c r="AO691"/>
      <c r="AP691"/>
      <c r="AQ691"/>
      <c r="AR691"/>
      <c r="AS691"/>
      <c r="AT691"/>
      <c r="AU691"/>
      <c r="AV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row>
    <row r="692" ht="20.1" customHeight="1">
      <c r="A692" s="503" t="s">
        <v>1468</v>
      </c>
      <c r="B692" s="503"/>
      <c r="C692" s="503"/>
      <c r="D692" s="503"/>
      <c r="E692" s="503"/>
      <c r="F692" s="9"/>
      <c r="G692" s="502"/>
      <c r="H692" s="502"/>
      <c r="I692" s="502"/>
      <c r="J692" s="502"/>
      <c r="K692" s="1068"/>
      <c r="L692" s="880"/>
      <c r="M692" s="357"/>
      <c r="Q692" s="44"/>
      <c r="R692" s="44"/>
      <c r="S692" s="44"/>
      <c r="T692"/>
      <c r="U692"/>
      <c r="V692"/>
      <c r="W692"/>
      <c r="X692"/>
      <c r="Y692"/>
      <c r="Z692"/>
      <c r="AA692"/>
      <c r="AB692"/>
      <c r="AC692"/>
      <c r="AD692"/>
      <c r="AE692"/>
      <c r="AF692"/>
      <c r="AG692"/>
      <c r="AH692"/>
      <c r="AI692"/>
      <c r="AJ692"/>
      <c r="AK692"/>
      <c r="AL692"/>
      <c r="AM692"/>
      <c r="AN692"/>
      <c r="AO692"/>
      <c r="AP692"/>
      <c r="AQ692"/>
      <c r="AR692"/>
      <c r="AS692"/>
      <c r="AT692"/>
      <c r="AU692"/>
      <c r="AV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row>
    <row r="693" ht="20.1" customHeight="1">
      <c r="A693" s="503"/>
      <c r="B693" s="503"/>
      <c r="C693" s="503"/>
      <c r="D693" s="503"/>
      <c r="E693" s="503"/>
      <c r="F693" s="9"/>
      <c r="G693" s="502"/>
      <c r="H693" s="502"/>
      <c r="I693" s="502"/>
      <c r="J693" s="502"/>
      <c r="K693" s="1068"/>
      <c r="L693" s="880"/>
      <c r="M693" s="357"/>
      <c r="Q693" s="44"/>
      <c r="R693" s="44"/>
      <c r="S693" s="44"/>
      <c r="T693"/>
      <c r="U693"/>
      <c r="V693"/>
      <c r="W693"/>
      <c r="X693"/>
      <c r="Y693"/>
      <c r="Z693"/>
      <c r="AA693"/>
      <c r="AB693"/>
      <c r="AC693"/>
      <c r="AD693"/>
      <c r="AE693"/>
      <c r="AF693"/>
      <c r="AG693"/>
      <c r="AH693"/>
      <c r="AI693"/>
      <c r="AJ693"/>
      <c r="AK693"/>
      <c r="AL693"/>
      <c r="AM693"/>
      <c r="AN693"/>
      <c r="AO693"/>
      <c r="AP693"/>
      <c r="AQ693"/>
      <c r="AR693"/>
      <c r="AS693"/>
      <c r="AT693"/>
      <c r="AU693"/>
      <c r="AV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row>
    <row r="694" ht="20.1" customHeight="1">
      <c r="A694" s="806"/>
      <c r="B694" s="29"/>
      <c r="C694" s="29"/>
      <c r="D694" s="4"/>
      <c r="E694" s="4"/>
      <c r="F694" s="9"/>
      <c r="G694" s="12"/>
      <c r="H694" s="414"/>
      <c r="I694" s="44"/>
      <c r="J694" s="10"/>
      <c r="K694" s="1076"/>
      <c r="L694" s="880"/>
      <c r="M694" s="357"/>
      <c r="Q694" s="44"/>
      <c r="R694" s="44"/>
      <c r="S694" s="44"/>
      <c r="T694"/>
      <c r="U694"/>
      <c r="V694"/>
      <c r="W694"/>
      <c r="X694"/>
      <c r="Y694"/>
      <c r="Z694"/>
      <c r="AA694"/>
      <c r="AB694"/>
      <c r="AC694"/>
      <c r="AD694"/>
      <c r="AE694"/>
      <c r="AF694"/>
      <c r="AG694"/>
      <c r="AH694"/>
      <c r="AI694"/>
      <c r="AJ694"/>
      <c r="AK694"/>
      <c r="AL694"/>
      <c r="AM694"/>
      <c r="AN694"/>
      <c r="AO694"/>
      <c r="AP694"/>
      <c r="AQ694"/>
      <c r="AR694"/>
      <c r="AS694"/>
      <c r="AT694"/>
      <c r="AU694"/>
      <c r="AV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row>
    <row r="695" ht="20.1" customHeight="1">
      <c r="A695" s="22"/>
      <c r="B695" s="22"/>
      <c r="C695" s="811"/>
      <c r="D695" s="811"/>
      <c r="E695" s="394"/>
      <c r="F695" s="9"/>
      <c r="G695" s="394"/>
      <c r="H695" s="9"/>
      <c r="I695" s="393"/>
      <c r="J695" s="29"/>
      <c r="M695" s="357"/>
      <c r="Q695" s="44"/>
      <c r="R695" s="44"/>
      <c r="S695" s="44"/>
      <c r="T695"/>
      <c r="U695"/>
      <c r="V695"/>
      <c r="W695"/>
      <c r="X695"/>
      <c r="Y695"/>
      <c r="Z695"/>
      <c r="AA695"/>
      <c r="AB695"/>
      <c r="AC695"/>
      <c r="AD695"/>
      <c r="AE695"/>
      <c r="AF695"/>
      <c r="AG695"/>
      <c r="AH695"/>
      <c r="AI695"/>
      <c r="AJ695"/>
      <c r="AK695"/>
      <c r="AL695"/>
      <c r="AM695"/>
      <c r="AN695"/>
      <c r="AO695"/>
      <c r="AP695"/>
      <c r="AQ695"/>
      <c r="AR695"/>
      <c r="AS695"/>
      <c r="AT695"/>
      <c r="AU695"/>
      <c r="AV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row>
    <row r="696" ht="20.1" customHeight="1">
      <c r="A696" s="1071" t="s">
        <v>1469</v>
      </c>
      <c r="B696" s="1071"/>
      <c r="C696" s="1071"/>
      <c r="D696" s="1071"/>
      <c r="E696" s="1071"/>
      <c r="F696" s="1071"/>
      <c r="G696" s="1071"/>
      <c r="H696" s="42"/>
      <c r="I696" s="42"/>
      <c r="J696" s="42"/>
      <c r="K696" s="1072"/>
      <c r="L696" s="1073" t="s">
        <v>1470</v>
      </c>
      <c r="M696"/>
      <c r="Q696" s="44"/>
      <c r="R696" s="44"/>
      <c r="S696" s="44"/>
      <c r="T696"/>
      <c r="U696"/>
      <c r="V696"/>
      <c r="W696"/>
      <c r="X696"/>
      <c r="Y696"/>
      <c r="Z696"/>
      <c r="AA696"/>
      <c r="AB696"/>
      <c r="AC696"/>
      <c r="AD696"/>
      <c r="AE696"/>
      <c r="AF696"/>
      <c r="AG696"/>
      <c r="AH696"/>
      <c r="AI696"/>
      <c r="AJ696"/>
      <c r="AK696"/>
      <c r="AL696"/>
      <c r="AM696"/>
      <c r="AN696"/>
      <c r="AO696"/>
      <c r="AP696"/>
      <c r="AQ696"/>
      <c r="AR696"/>
      <c r="AS696"/>
      <c r="AT696"/>
      <c r="AU696"/>
      <c r="AV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row>
    <row r="697" ht="20.1" customHeight="1">
      <c r="A697" s="378"/>
      <c r="B697" s="378"/>
      <c r="C697" s="378"/>
      <c r="D697" s="378"/>
      <c r="E697" s="378"/>
      <c r="F697" s="378"/>
      <c r="G697" s="807"/>
      <c r="H697" s="808"/>
      <c r="I697" s="401"/>
      <c r="J697" s="809"/>
      <c r="K697" s="1068"/>
      <c r="L697" s="1070"/>
      <c r="M697"/>
      <c r="Q697" s="44"/>
      <c r="R697" s="44"/>
      <c r="S697" s="44"/>
      <c r="T697"/>
      <c r="U697"/>
      <c r="V697"/>
      <c r="W697"/>
      <c r="X697"/>
      <c r="Y697"/>
      <c r="Z697"/>
      <c r="AA697"/>
      <c r="AB697"/>
      <c r="AC697"/>
      <c r="AD697"/>
      <c r="AE697"/>
      <c r="AF697"/>
      <c r="AG697"/>
      <c r="AH697"/>
      <c r="AI697"/>
      <c r="AJ697"/>
      <c r="AK697"/>
      <c r="AL697"/>
      <c r="AM697"/>
      <c r="AN697"/>
      <c r="AO697"/>
      <c r="AP697"/>
      <c r="AQ697"/>
      <c r="AR697"/>
      <c r="AS697"/>
      <c r="AT697"/>
      <c r="AU697"/>
      <c r="AV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row>
    <row r="698" ht="20.1" customHeight="1">
      <c r="A698" s="820" t="s">
        <v>1471</v>
      </c>
      <c r="B698" s="820"/>
      <c r="C698" s="820"/>
      <c r="D698" s="504" t="s">
        <v>1472</v>
      </c>
      <c r="E698" s="504"/>
      <c r="F698" s="378"/>
      <c r="G698" s="807"/>
      <c r="H698" s="808"/>
      <c r="I698" s="401"/>
      <c r="J698" s="809"/>
      <c r="K698" s="1068"/>
      <c r="L698" s="1070"/>
      <c r="M698"/>
      <c r="Q698" s="44"/>
      <c r="R698" s="44"/>
      <c r="S698" s="44"/>
      <c r="T698"/>
      <c r="U698"/>
      <c r="V698"/>
      <c r="W698"/>
      <c r="X698"/>
      <c r="Y698"/>
      <c r="Z698"/>
      <c r="AA698"/>
      <c r="AB698"/>
      <c r="AC698"/>
      <c r="AD698"/>
      <c r="AE698"/>
      <c r="AF698"/>
      <c r="AG698"/>
      <c r="AH698"/>
      <c r="AI698"/>
      <c r="AJ698"/>
      <c r="AK698"/>
      <c r="AL698"/>
      <c r="AM698"/>
      <c r="AN698"/>
      <c r="AO698"/>
      <c r="AP698"/>
      <c r="AQ698"/>
      <c r="AR698"/>
      <c r="AS698"/>
      <c r="AT698"/>
      <c r="AU698"/>
      <c r="AV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row>
    <row r="699" ht="20.1" customHeight="1">
      <c r="A699" s="505" t="s">
        <v>1473</v>
      </c>
      <c r="B699" s="505"/>
      <c r="C699" s="505"/>
      <c r="D699"/>
      <c r="E699"/>
      <c r="F699"/>
      <c r="G699" s="807"/>
      <c r="H699" s="808"/>
      <c r="I699" s="401"/>
      <c r="J699" s="809"/>
      <c r="K699" s="1068"/>
      <c r="L699" s="1070" t="s">
        <v>1319</v>
      </c>
      <c r="M699"/>
      <c r="Q699" s="44"/>
      <c r="R699" s="44"/>
      <c r="S699" s="44"/>
      <c r="T699"/>
      <c r="U699"/>
      <c r="V699"/>
      <c r="W699"/>
      <c r="X699"/>
      <c r="Y699"/>
      <c r="Z699"/>
      <c r="AA699"/>
      <c r="AB699"/>
      <c r="AC699"/>
      <c r="AD699"/>
      <c r="AE699"/>
      <c r="AF699"/>
      <c r="AG699"/>
      <c r="AH699"/>
      <c r="AI699"/>
      <c r="AJ699"/>
      <c r="AK699"/>
      <c r="AL699"/>
      <c r="AM699"/>
      <c r="AN699"/>
      <c r="AO699"/>
      <c r="AP699"/>
      <c r="AQ699"/>
      <c r="AR699"/>
      <c r="AS699"/>
      <c r="AT699"/>
      <c r="AU699"/>
      <c r="AV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row>
    <row r="700" ht="20.1" customHeight="1">
      <c r="A700" s="506" t="s">
        <v>489</v>
      </c>
      <c r="B700" s="506"/>
      <c r="C700" s="506"/>
      <c r="D700" s="416" t="s">
        <v>491</v>
      </c>
      <c r="E700" s="9"/>
      <c r="F700"/>
      <c r="J700" s="9"/>
      <c r="K700" s="1076"/>
      <c r="L700" s="880"/>
      <c r="M700"/>
      <c r="Q700" s="44"/>
      <c r="R700" s="44"/>
      <c r="S700" s="44"/>
      <c r="T700"/>
      <c r="U700"/>
      <c r="V700"/>
      <c r="W700"/>
      <c r="X700"/>
      <c r="Y700"/>
      <c r="Z700"/>
      <c r="AA700"/>
      <c r="AB700"/>
      <c r="AC700"/>
      <c r="AD700"/>
      <c r="AE700"/>
      <c r="AF700"/>
      <c r="AG700"/>
      <c r="AH700"/>
      <c r="AI700"/>
      <c r="AJ700"/>
      <c r="AK700"/>
      <c r="AL700"/>
      <c r="AM700"/>
      <c r="AN700"/>
      <c r="AO700"/>
      <c r="AP700"/>
      <c r="AQ700"/>
      <c r="AR700"/>
      <c r="AS700"/>
      <c r="AT700"/>
      <c r="AU700"/>
      <c r="AV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row>
    <row r="701" ht="20.1" customHeight="1">
      <c r="B701" s="13"/>
      <c r="J701" s="9"/>
      <c r="K701" s="1076"/>
      <c r="L701" s="880"/>
      <c r="Q701" s="44"/>
      <c r="R701" s="44"/>
      <c r="S701" s="44"/>
      <c r="T701"/>
      <c r="U701"/>
      <c r="V701"/>
      <c r="W701"/>
      <c r="X701"/>
      <c r="Y701"/>
      <c r="Z701"/>
      <c r="AA701"/>
      <c r="AB701"/>
      <c r="AC701"/>
      <c r="AD701"/>
      <c r="AE701"/>
      <c r="AF701"/>
      <c r="AG701"/>
      <c r="AH701"/>
      <c r="AI701"/>
      <c r="AJ701"/>
      <c r="AK701"/>
      <c r="AL701"/>
      <c r="AM701"/>
      <c r="AN701"/>
      <c r="AO701"/>
      <c r="AP701"/>
      <c r="AQ701"/>
      <c r="AR701"/>
      <c r="AS701"/>
      <c r="AT701"/>
      <c r="AU701"/>
      <c r="AV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row>
    <row r="702" ht="20.1" customHeight="1">
      <c r="A702" s="505" t="s">
        <v>1474</v>
      </c>
      <c r="B702" s="505"/>
      <c r="C702" s="505"/>
      <c r="D702"/>
      <c r="E702"/>
      <c r="F702"/>
      <c r="G702"/>
      <c r="H702"/>
      <c r="I702"/>
      <c r="J702"/>
      <c r="K702" s="1076"/>
      <c r="L702" s="880" t="s">
        <v>1475</v>
      </c>
      <c r="M702"/>
      <c r="N702"/>
      <c r="O702"/>
      <c r="P702"/>
      <c r="Q702" s="44"/>
      <c r="R702" s="44"/>
      <c r="S702" s="44"/>
      <c r="T702"/>
      <c r="U702"/>
      <c r="V702"/>
      <c r="W702"/>
      <c r="X702"/>
      <c r="Y702"/>
      <c r="Z702"/>
      <c r="AA702"/>
      <c r="AB702"/>
      <c r="AC702"/>
      <c r="AD702"/>
      <c r="AE702"/>
      <c r="AF702"/>
      <c r="AG702"/>
      <c r="AH702"/>
      <c r="AI702"/>
      <c r="AJ702"/>
      <c r="AK702"/>
      <c r="AL702"/>
      <c r="AM702"/>
      <c r="AN702"/>
      <c r="AO702"/>
      <c r="AP702"/>
      <c r="AQ702"/>
      <c r="AR702"/>
      <c r="AS702"/>
      <c r="AT702"/>
      <c r="AU702"/>
      <c r="AV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row>
    <row r="703" ht="20.1" customHeight="1">
      <c r="A703"/>
      <c r="B703" s="13"/>
      <c r="C703"/>
      <c r="D703"/>
      <c r="E703"/>
      <c r="F703"/>
      <c r="G703"/>
      <c r="H703"/>
      <c r="I703"/>
      <c r="J703"/>
      <c r="K703" s="1076"/>
      <c r="L703" s="880"/>
      <c r="M703"/>
      <c r="N703"/>
      <c r="O703"/>
      <c r="P703"/>
      <c r="Q703" s="44"/>
      <c r="R703" s="44"/>
      <c r="S703" s="44"/>
      <c r="T703"/>
      <c r="U703"/>
      <c r="V703"/>
      <c r="W703"/>
      <c r="X703"/>
      <c r="Y703"/>
      <c r="Z703"/>
      <c r="AA703"/>
      <c r="AB703"/>
      <c r="AC703"/>
      <c r="AD703"/>
      <c r="AE703"/>
      <c r="AF703"/>
      <c r="AG703"/>
      <c r="AH703"/>
      <c r="AI703"/>
      <c r="AJ703"/>
      <c r="AK703"/>
      <c r="AL703"/>
      <c r="AM703"/>
      <c r="AN703"/>
      <c r="AO703"/>
      <c r="AP703"/>
      <c r="AQ703"/>
      <c r="AR703"/>
      <c r="AS703"/>
      <c r="AT703"/>
      <c r="AU703"/>
      <c r="AV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row>
    <row r="704" ht="20.1" customHeight="1">
      <c r="A704" s="507" t="s">
        <v>1476</v>
      </c>
      <c r="B704" s="507"/>
      <c r="C704" s="483" t="s">
        <v>1477</v>
      </c>
      <c r="D704" s="507" t="s">
        <v>1478</v>
      </c>
      <c r="E704" s="507"/>
      <c r="F704" s="483" t="s">
        <v>1479</v>
      </c>
      <c r="G704"/>
      <c r="H704"/>
      <c r="I704"/>
      <c r="J704"/>
      <c r="K704" s="1076"/>
      <c r="L704" s="880"/>
      <c r="M704"/>
      <c r="N704"/>
      <c r="O704"/>
      <c r="P704" s="508"/>
      <c r="Q704" s="44"/>
      <c r="R704" s="44"/>
      <c r="S704" s="44"/>
      <c r="T704"/>
      <c r="U704"/>
      <c r="V704"/>
      <c r="W704"/>
      <c r="X704"/>
      <c r="Y704"/>
      <c r="Z704"/>
      <c r="AA704"/>
      <c r="AB704"/>
      <c r="AC704"/>
      <c r="AD704"/>
      <c r="AE704"/>
      <c r="AF704"/>
      <c r="AG704"/>
      <c r="AH704"/>
      <c r="AI704"/>
      <c r="AJ704"/>
      <c r="AK704"/>
      <c r="AL704"/>
      <c r="AM704"/>
      <c r="AN704"/>
      <c r="AO704"/>
      <c r="AP704"/>
      <c r="AQ704"/>
      <c r="AR704"/>
      <c r="AS704"/>
      <c r="AT704"/>
      <c r="AU704"/>
      <c r="AV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row>
    <row r="705" ht="36" customHeight="1">
      <c r="A705" s="44"/>
      <c r="B705"/>
      <c r="C705"/>
      <c r="D705" s="428" t="s">
        <v>1480</v>
      </c>
      <c r="E705" s="428"/>
      <c r="F705" s="44"/>
      <c r="G705" s="44"/>
      <c r="H705" s="44"/>
      <c r="I705" s="44"/>
      <c r="J705" s="9"/>
      <c r="K705" s="1076"/>
      <c r="L705" s="880"/>
      <c r="M705"/>
      <c r="N705"/>
      <c r="O705"/>
      <c r="P705" s="508"/>
      <c r="Q705" s="44"/>
      <c r="R705" s="508"/>
      <c r="S705" s="44"/>
      <c r="T705"/>
      <c r="U705"/>
      <c r="V705"/>
      <c r="W705"/>
      <c r="X705"/>
      <c r="Y705"/>
      <c r="Z705"/>
      <c r="AA705"/>
      <c r="AB705"/>
      <c r="AC705"/>
      <c r="AD705"/>
      <c r="AE705"/>
      <c r="AF705"/>
      <c r="AG705"/>
      <c r="AH705"/>
      <c r="AI705"/>
      <c r="AJ705"/>
      <c r="AK705"/>
      <c r="AL705"/>
      <c r="AM705"/>
      <c r="AN705"/>
      <c r="AO705"/>
      <c r="AP705"/>
      <c r="AQ705"/>
      <c r="AR705"/>
      <c r="AS705"/>
      <c r="AT705"/>
      <c r="AU705"/>
      <c r="AV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row>
    <row r="706" ht="39" customHeight="1">
      <c r="A706" s="44"/>
      <c r="B706" s="509" t="s">
        <v>1481</v>
      </c>
      <c r="C706" s="509"/>
      <c r="D706" s="510" t="s">
        <v>1482</v>
      </c>
      <c r="E706" s="510" t="s">
        <v>1483</v>
      </c>
      <c r="F706" s="44"/>
      <c r="G706" s="430" t="s">
        <v>1401</v>
      </c>
      <c r="H706" s="431" t="n">
        <v>2</v>
      </c>
      <c r="I706" s="44"/>
      <c r="J706" s="9"/>
      <c r="K706" s="1076"/>
      <c r="L706" s="880"/>
      <c r="M706"/>
      <c r="N706"/>
      <c r="O706"/>
      <c r="P706" s="508"/>
      <c r="Q706" s="44"/>
      <c r="R706" s="508"/>
      <c r="S706" s="44"/>
      <c r="T706"/>
      <c r="U706"/>
      <c r="V706"/>
      <c r="W706"/>
      <c r="X706"/>
      <c r="Y706"/>
      <c r="Z706"/>
      <c r="AA706"/>
      <c r="AB706"/>
      <c r="AC706"/>
      <c r="AD706"/>
      <c r="AE706"/>
      <c r="AF706"/>
      <c r="AG706"/>
      <c r="AH706"/>
      <c r="AI706"/>
      <c r="AJ706"/>
      <c r="AK706"/>
      <c r="AL706"/>
      <c r="AM706"/>
      <c r="AN706"/>
      <c r="AO706"/>
      <c r="AP706"/>
      <c r="AQ706"/>
      <c r="AR706"/>
      <c r="AS706"/>
      <c r="AT706"/>
      <c r="AU706"/>
      <c r="AV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row>
    <row r="707" ht="20.1" customHeight="1">
      <c r="A707" s="44"/>
      <c r="B707" s="511" t="s">
        <v>1484</v>
      </c>
      <c r="C707" s="511"/>
      <c r="D707" s="29" t="n">
        <v>0</v>
      </c>
      <c r="E707" s="512" t="n">
        <v>4</v>
      </c>
      <c r="F707" s="44"/>
      <c r="G707" s="430"/>
      <c r="H707" s="431"/>
      <c r="I707" s="44"/>
      <c r="J707" s="9"/>
      <c r="K707" s="1076"/>
      <c r="L707" s="880"/>
      <c r="M707"/>
      <c r="N707"/>
      <c r="O707"/>
      <c r="P707" s="508"/>
      <c r="Q707" s="44"/>
      <c r="R707" s="508"/>
      <c r="S707" s="44"/>
      <c r="T707"/>
      <c r="U707"/>
      <c r="V707"/>
      <c r="W707"/>
      <c r="X707"/>
      <c r="Y707"/>
      <c r="Z707"/>
      <c r="AA707"/>
      <c r="AB707"/>
      <c r="AC707"/>
      <c r="AD707"/>
      <c r="AE707"/>
      <c r="AF707"/>
      <c r="AG707"/>
      <c r="AH707"/>
      <c r="AI707"/>
      <c r="AJ707"/>
      <c r="AK707"/>
      <c r="AL707"/>
      <c r="AM707"/>
      <c r="AN707"/>
      <c r="AO707"/>
      <c r="AP707"/>
      <c r="AQ707"/>
      <c r="AR707"/>
      <c r="AS707"/>
      <c r="AT707"/>
      <c r="AU707"/>
      <c r="AV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row>
    <row r="708" ht="20.1" customHeight="1">
      <c r="A708" s="12"/>
      <c r="B708" s="510" t="s">
        <v>1485</v>
      </c>
      <c r="C708" s="510"/>
      <c r="D708" s="29"/>
      <c r="E708" s="29" t="n">
        <v>2</v>
      </c>
      <c r="F708" s="44"/>
      <c r="G708" s="430" t="s">
        <v>1401</v>
      </c>
      <c r="H708" s="431"/>
      <c r="I708" s="44"/>
      <c r="J708" s="9"/>
      <c r="K708" s="1076"/>
      <c r="L708" s="880"/>
      <c r="M708"/>
      <c r="N708"/>
      <c r="O708"/>
      <c r="P708" s="508"/>
      <c r="Q708" s="44"/>
      <c r="R708" s="508"/>
      <c r="S708" s="44"/>
      <c r="T708"/>
      <c r="U708"/>
      <c r="V708"/>
      <c r="W708"/>
      <c r="X708"/>
      <c r="Y708"/>
      <c r="Z708"/>
      <c r="AA708"/>
      <c r="AB708"/>
      <c r="AC708"/>
      <c r="AD708"/>
      <c r="AE708"/>
      <c r="AF708"/>
      <c r="AG708"/>
      <c r="AH708"/>
      <c r="AI708"/>
      <c r="AJ708"/>
      <c r="AK708"/>
      <c r="AL708"/>
      <c r="AM708"/>
      <c r="AN708"/>
      <c r="AO708"/>
      <c r="AP708"/>
      <c r="AQ708"/>
      <c r="AR708"/>
      <c r="AS708"/>
      <c r="AT708"/>
      <c r="AU708"/>
      <c r="AV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row>
    <row r="709" ht="20.1" customHeight="1">
      <c r="A709" s="513"/>
      <c r="B709" s="513"/>
      <c r="C709" s="513"/>
      <c r="D709" s="513"/>
      <c r="E709" s="513"/>
      <c r="F709" s="44"/>
      <c r="G709" s="44"/>
      <c r="H709" s="44"/>
      <c r="I709" s="44"/>
      <c r="J709" s="1067"/>
      <c r="K709" s="1076"/>
      <c r="L709" s="880"/>
      <c r="N709"/>
      <c r="O709"/>
      <c r="P709" s="508"/>
      <c r="Q709" s="44"/>
      <c r="R709" s="44"/>
      <c r="S709" s="44"/>
      <c r="T709"/>
      <c r="U709"/>
      <c r="V709"/>
      <c r="W709"/>
      <c r="X709"/>
      <c r="Y709"/>
      <c r="Z709"/>
      <c r="AA709"/>
      <c r="AB709"/>
      <c r="AC709"/>
      <c r="AD709"/>
      <c r="AE709"/>
      <c r="AF709"/>
      <c r="AG709"/>
      <c r="AH709"/>
      <c r="AI709"/>
      <c r="AJ709"/>
      <c r="AK709"/>
      <c r="AL709"/>
      <c r="AM709"/>
      <c r="AN709"/>
      <c r="AO709"/>
      <c r="AP709"/>
      <c r="AQ709"/>
      <c r="AR709"/>
      <c r="AS709"/>
      <c r="AT709"/>
      <c r="AU709"/>
      <c r="AV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row>
    <row r="710" ht="20.1" customHeight="1">
      <c r="A710"/>
      <c r="B710"/>
      <c r="C710"/>
      <c r="D710"/>
      <c r="E710"/>
      <c r="F710"/>
      <c r="G710"/>
      <c r="H710"/>
      <c r="I710"/>
      <c r="J710" s="9"/>
      <c r="K710"/>
      <c r="L710"/>
      <c r="M710"/>
      <c r="N710"/>
      <c r="O710"/>
      <c r="P710" s="508"/>
      <c r="Q710" s="44"/>
      <c r="R710" s="44"/>
      <c r="S710" s="44"/>
      <c r="T710"/>
      <c r="U710"/>
      <c r="V710"/>
      <c r="W710"/>
      <c r="X710"/>
      <c r="Y710"/>
      <c r="Z710"/>
      <c r="AA710"/>
      <c r="AB710"/>
      <c r="AC710"/>
      <c r="AD710"/>
      <c r="AE710"/>
      <c r="AF710"/>
      <c r="AG710"/>
      <c r="AH710"/>
      <c r="AI710"/>
      <c r="AJ710"/>
      <c r="AK710"/>
      <c r="AL710"/>
      <c r="AM710"/>
      <c r="AN710"/>
      <c r="AO710"/>
      <c r="AP710"/>
      <c r="AQ710"/>
      <c r="AR710"/>
      <c r="AS710"/>
      <c r="AT710"/>
      <c r="AU710"/>
      <c r="AV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row>
    <row r="711" ht="20.1" customHeight="1">
      <c r="A711" s="1071" t="s">
        <v>1486</v>
      </c>
      <c r="B711" s="1071"/>
      <c r="C711" s="1071"/>
      <c r="D711" s="1071"/>
      <c r="E711" s="1071"/>
      <c r="F711" s="1071"/>
      <c r="G711" s="1071"/>
      <c r="H711" s="42"/>
      <c r="I711" s="42"/>
      <c r="J711" s="42"/>
      <c r="K711" s="1072"/>
      <c r="L711" s="1073" t="s">
        <v>1487</v>
      </c>
      <c r="M711"/>
      <c r="N711"/>
      <c r="O711"/>
      <c r="P711" s="508"/>
      <c r="Q711" s="44"/>
      <c r="R711" s="44"/>
      <c r="S711" s="44"/>
      <c r="T711"/>
      <c r="U711"/>
      <c r="V711"/>
      <c r="W711"/>
      <c r="X711"/>
      <c r="Y711"/>
      <c r="Z711"/>
      <c r="AA711"/>
      <c r="AB711"/>
      <c r="AC711"/>
      <c r="AD711"/>
      <c r="AE711"/>
      <c r="AF711"/>
      <c r="AG711"/>
      <c r="AH711"/>
      <c r="AI711"/>
      <c r="AJ711"/>
      <c r="AK711"/>
      <c r="AL711"/>
      <c r="AM711"/>
      <c r="AN711"/>
      <c r="AO711"/>
      <c r="AP711"/>
      <c r="AQ711"/>
      <c r="AR711"/>
      <c r="AS711"/>
      <c r="AT711"/>
      <c r="AU711"/>
      <c r="AV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row>
    <row r="712" ht="20.1" customHeight="1">
      <c r="A712" s="378"/>
      <c r="B712" s="378"/>
      <c r="C712" s="378"/>
      <c r="D712" s="378"/>
      <c r="E712" s="378"/>
      <c r="F712" s="378"/>
      <c r="G712" s="817"/>
      <c r="H712" s="817"/>
      <c r="I712" s="817"/>
      <c r="J712" s="375"/>
      <c r="K712" s="1076"/>
      <c r="L712" s="880"/>
      <c r="M712"/>
      <c r="N712"/>
      <c r="O712"/>
      <c r="P712" s="508"/>
      <c r="Q712" s="44"/>
      <c r="R712" s="44"/>
      <c r="S712" s="44"/>
      <c r="T712"/>
      <c r="U712"/>
      <c r="V712"/>
      <c r="W712"/>
      <c r="X712"/>
      <c r="Y712"/>
      <c r="Z712"/>
      <c r="AA712"/>
      <c r="AB712"/>
      <c r="AC712"/>
      <c r="AD712"/>
      <c r="AE712"/>
      <c r="AF712"/>
      <c r="AG712"/>
      <c r="AH712"/>
      <c r="AI712"/>
      <c r="AJ712"/>
      <c r="AK712"/>
      <c r="AL712"/>
      <c r="AM712"/>
      <c r="AN712"/>
      <c r="AO712"/>
      <c r="AP712"/>
      <c r="AQ712"/>
      <c r="AR712"/>
      <c r="AS712"/>
      <c r="AT712"/>
      <c r="AU712"/>
      <c r="AV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row>
    <row r="713" ht="20.1" customHeight="1">
      <c r="A713" s="514" t="s">
        <v>643</v>
      </c>
      <c r="B713" s="514"/>
      <c r="C713" s="514"/>
      <c r="D713" s="514"/>
      <c r="E713" s="514"/>
      <c r="F713" s="386" t="s">
        <v>645</v>
      </c>
      <c r="G713" s="44"/>
      <c r="J713" s="12"/>
      <c r="K713" s="12"/>
      <c r="L713" s="880" t="s">
        <v>1348</v>
      </c>
      <c r="N713"/>
      <c r="O713"/>
      <c r="P713" s="508"/>
      <c r="Q713" s="44"/>
      <c r="R713" s="44"/>
      <c r="S713" s="44"/>
      <c r="T713"/>
      <c r="U713"/>
      <c r="V713"/>
      <c r="W713"/>
      <c r="X713"/>
      <c r="Y713"/>
      <c r="Z713"/>
      <c r="AA713"/>
      <c r="AB713"/>
      <c r="AC713"/>
      <c r="AD713"/>
      <c r="AE713"/>
      <c r="AF713"/>
      <c r="AG713"/>
      <c r="AH713"/>
      <c r="AI713"/>
      <c r="AJ713"/>
      <c r="AK713"/>
      <c r="AL713"/>
      <c r="AM713"/>
      <c r="AN713"/>
      <c r="AO713"/>
      <c r="AP713"/>
      <c r="AQ713"/>
      <c r="AR713"/>
      <c r="AS713"/>
      <c r="AT713"/>
      <c r="AU713"/>
      <c r="AV713"/>
      <c r="BF713" s="10"/>
      <c r="BG713" s="1076"/>
      <c r="BH713" s="880"/>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row>
    <row r="714" ht="20.1" customHeight="1">
      <c r="A714" s="515" t="s">
        <v>1488</v>
      </c>
      <c r="B714" s="515"/>
      <c r="C714" s="515"/>
      <c r="D714" s="515"/>
      <c r="F714" s="516" t="s">
        <v>645</v>
      </c>
      <c r="G714" s="517" t="s">
        <v>646</v>
      </c>
      <c r="H714" s="517"/>
      <c r="I714" s="517"/>
      <c r="J714" s="517"/>
      <c r="K714" s="517"/>
      <c r="L714" s="517"/>
      <c r="N714"/>
      <c r="O714"/>
      <c r="P714" s="508"/>
      <c r="Q714" s="44"/>
      <c r="R714" s="44"/>
      <c r="S714" s="4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row>
    <row r="715" ht="20.1" customHeight="1">
      <c r="A715" s="12"/>
      <c r="B715" s="518"/>
      <c r="C715" s="518"/>
      <c r="D715"/>
      <c r="F715" s="516" t="s">
        <v>647</v>
      </c>
      <c r="G715" s="517" t="s">
        <v>1489</v>
      </c>
      <c r="H715" s="517"/>
      <c r="I715" s="517"/>
      <c r="J715" s="517"/>
      <c r="K715" s="517"/>
      <c r="L715" s="517"/>
      <c r="N715"/>
      <c r="O715"/>
      <c r="P715" s="508"/>
      <c r="Q715" s="44"/>
      <c r="R715" s="44"/>
      <c r="S715" s="44"/>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row>
    <row r="716" ht="20.1" customHeight="1">
      <c r="A716" s="12"/>
      <c r="B716" s="518"/>
      <c r="C716" s="518"/>
      <c r="D716"/>
      <c r="F716" s="516" t="s">
        <v>649</v>
      </c>
      <c r="G716" s="517" t="s">
        <v>650</v>
      </c>
      <c r="H716" s="517"/>
      <c r="I716" s="517"/>
      <c r="J716" s="517"/>
      <c r="K716" s="517"/>
      <c r="L716" s="517"/>
      <c r="N716"/>
      <c r="O716"/>
      <c r="P716" s="508"/>
      <c r="Q716" s="44"/>
      <c r="R716" s="44"/>
      <c r="S716" s="44"/>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row>
    <row r="717" ht="20.1" customHeight="1">
      <c r="A717" s="12"/>
      <c r="B717" s="817"/>
      <c r="C717"/>
      <c r="D717" s="1067"/>
      <c r="F717" s="516" t="s">
        <v>651</v>
      </c>
      <c r="G717" s="517" t="s">
        <v>652</v>
      </c>
      <c r="H717" s="517"/>
      <c r="I717" s="517"/>
      <c r="J717" s="517"/>
      <c r="K717" s="517"/>
      <c r="L717" s="517"/>
      <c r="N717"/>
      <c r="O717"/>
      <c r="P717" s="508"/>
      <c r="Q717" s="44"/>
      <c r="R717" s="44"/>
      <c r="S717" s="44"/>
      <c r="T717"/>
      <c r="U717"/>
      <c r="V717"/>
      <c r="W717"/>
      <c r="X717"/>
      <c r="Y717"/>
      <c r="Z717"/>
      <c r="AA717"/>
      <c r="AB717"/>
      <c r="AC717"/>
      <c r="AD717"/>
      <c r="AE717"/>
      <c r="AF717"/>
      <c r="AG717"/>
      <c r="AH717"/>
      <c r="AI717"/>
      <c r="AJ717"/>
      <c r="AK717"/>
      <c r="AL717"/>
      <c r="AM717"/>
      <c r="AN717"/>
      <c r="AO717"/>
      <c r="AP717"/>
      <c r="AQ717"/>
      <c r="AR717"/>
      <c r="AS717"/>
      <c r="AT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row>
    <row r="718" ht="20.1" customHeight="1">
      <c r="J718" s="9"/>
      <c r="K718" s="44"/>
      <c r="L718" s="44"/>
      <c r="N718"/>
      <c r="O718"/>
      <c r="P718" s="508"/>
      <c r="Q718" s="44"/>
      <c r="R718" s="44"/>
      <c r="S718" s="44"/>
      <c r="T718"/>
      <c r="U718"/>
      <c r="V718"/>
      <c r="W718"/>
      <c r="X718"/>
      <c r="Y718"/>
      <c r="Z718"/>
      <c r="AA718"/>
      <c r="AB718"/>
      <c r="AC718"/>
      <c r="AD718"/>
      <c r="AE718"/>
      <c r="AF718"/>
      <c r="AG718"/>
      <c r="AH718"/>
      <c r="AI718"/>
      <c r="AJ718"/>
      <c r="AK718"/>
      <c r="AL718"/>
      <c r="AM718"/>
      <c r="AN718"/>
      <c r="AO718"/>
      <c r="AP718"/>
      <c r="AQ718"/>
      <c r="AR718"/>
      <c r="AS718"/>
      <c r="AT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row>
    <row r="719" ht="34.5" customHeight="1">
      <c r="J719" s="9"/>
      <c r="N719"/>
      <c r="O719"/>
      <c r="P719" s="508"/>
      <c r="Q719" s="44"/>
      <c r="R719" s="44"/>
      <c r="S719" s="44"/>
      <c r="T719"/>
      <c r="U719"/>
      <c r="V719"/>
      <c r="W719"/>
      <c r="X719"/>
      <c r="Y719"/>
      <c r="Z719"/>
      <c r="AA719"/>
      <c r="AB719"/>
      <c r="AC719"/>
      <c r="AD719"/>
      <c r="AE719"/>
      <c r="AF719"/>
      <c r="AG719"/>
      <c r="AH719"/>
      <c r="AI719"/>
      <c r="AJ719"/>
      <c r="AK719"/>
      <c r="AL719"/>
      <c r="AM719"/>
      <c r="AN719"/>
      <c r="AO719"/>
      <c r="AP719"/>
      <c r="AQ719"/>
      <c r="AR719"/>
      <c r="AS719"/>
      <c r="AT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row>
    <row r="720" ht="20.1" customHeight="1">
      <c r="A720" s="514" t="s">
        <v>653</v>
      </c>
      <c r="B720" s="514"/>
      <c r="C720" s="514"/>
      <c r="D720" s="514"/>
      <c r="E720" s="514"/>
      <c r="F720" s="386" t="s">
        <v>645</v>
      </c>
      <c r="J720" s="9"/>
      <c r="L720" s="880" t="s">
        <v>1348</v>
      </c>
      <c r="N720"/>
      <c r="O720"/>
      <c r="P720" s="508"/>
      <c r="Q720" s="44"/>
      <c r="R720" s="44"/>
      <c r="S720" s="44"/>
      <c r="T720"/>
      <c r="U720"/>
      <c r="V720"/>
      <c r="W720"/>
      <c r="X720"/>
      <c r="Y720"/>
      <c r="Z720"/>
      <c r="AA720"/>
      <c r="AB720"/>
      <c r="AC720"/>
      <c r="AD720"/>
      <c r="AE720"/>
      <c r="AF720"/>
      <c r="AG720"/>
      <c r="AH720"/>
      <c r="AI720"/>
      <c r="AJ720"/>
      <c r="AK720"/>
      <c r="AL720"/>
      <c r="AM720"/>
      <c r="AN720"/>
      <c r="AO720"/>
      <c r="AP720"/>
      <c r="AQ720"/>
      <c r="AR720"/>
      <c r="AS720"/>
      <c r="AT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row>
    <row r="721" ht="20.1" customHeight="1">
      <c r="A721" s="517" t="s">
        <v>1490</v>
      </c>
      <c r="B721" s="517"/>
      <c r="C721" s="517"/>
      <c r="D721" s="517"/>
      <c r="F721" s="516" t="s">
        <v>645</v>
      </c>
      <c r="G721" s="517" t="s">
        <v>1491</v>
      </c>
      <c r="H721" s="517"/>
      <c r="I721" s="517"/>
      <c r="J721" s="517"/>
      <c r="K721" s="517"/>
      <c r="L721" s="517"/>
      <c r="N721"/>
      <c r="O721"/>
      <c r="P721" s="508"/>
      <c r="Q721" s="44"/>
      <c r="R721" s="44"/>
      <c r="S721" s="44"/>
      <c r="T721"/>
      <c r="U721"/>
      <c r="V721"/>
      <c r="W721"/>
      <c r="X721"/>
      <c r="Y721"/>
      <c r="Z721"/>
      <c r="AA721"/>
      <c r="AB721"/>
      <c r="AC721"/>
      <c r="AD721"/>
      <c r="AE721"/>
      <c r="AF721"/>
      <c r="AG721"/>
      <c r="AH721"/>
      <c r="AI721"/>
      <c r="AJ721"/>
      <c r="AK721"/>
      <c r="AL721"/>
      <c r="AM721"/>
      <c r="AN721"/>
      <c r="AO721"/>
      <c r="AP721"/>
      <c r="AQ721"/>
      <c r="AR721"/>
      <c r="AS721"/>
      <c r="AT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row>
    <row r="722" ht="20.1" customHeight="1">
      <c r="F722" s="516" t="s">
        <v>647</v>
      </c>
      <c r="G722" s="517" t="s">
        <v>1492</v>
      </c>
      <c r="H722" s="517"/>
      <c r="I722" s="517"/>
      <c r="J722" s="517"/>
      <c r="K722" s="517"/>
      <c r="L722" s="517"/>
      <c r="N722"/>
      <c r="O722"/>
      <c r="P722" s="508"/>
      <c r="Q722" s="44"/>
      <c r="R722" s="44"/>
      <c r="S722" s="44"/>
      <c r="T722"/>
      <c r="U722"/>
      <c r="V722"/>
      <c r="W722"/>
      <c r="X722"/>
      <c r="Y722"/>
      <c r="Z722"/>
      <c r="AA722"/>
      <c r="AB722"/>
      <c r="AC722"/>
      <c r="AD722"/>
      <c r="AE722"/>
      <c r="AF722"/>
      <c r="AG722"/>
      <c r="AH722"/>
      <c r="AI722"/>
      <c r="AJ722"/>
      <c r="AK722"/>
      <c r="AL722"/>
      <c r="AM722"/>
      <c r="AN722"/>
      <c r="AO722"/>
      <c r="AP722"/>
      <c r="AQ722"/>
      <c r="AR722"/>
      <c r="AS722"/>
      <c r="AT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row>
    <row r="723" ht="20.1" customHeight="1">
      <c r="F723" s="516" t="s">
        <v>649</v>
      </c>
      <c r="G723" s="517" t="s">
        <v>657</v>
      </c>
      <c r="H723" s="517"/>
      <c r="I723" s="517"/>
      <c r="J723" s="517"/>
      <c r="K723" s="517"/>
      <c r="L723" s="517"/>
      <c r="N723"/>
      <c r="O723"/>
      <c r="P723" s="508"/>
      <c r="Q723" s="44"/>
      <c r="R723" s="44"/>
      <c r="S723" s="44"/>
      <c r="T723"/>
      <c r="U723"/>
      <c r="V723"/>
      <c r="W723"/>
      <c r="X723"/>
      <c r="Y723"/>
      <c r="Z723"/>
      <c r="AA723"/>
      <c r="AB723"/>
      <c r="AC723"/>
      <c r="AD723"/>
      <c r="AE723"/>
      <c r="AF723"/>
      <c r="AG723"/>
      <c r="AH723"/>
      <c r="AI723"/>
      <c r="AJ723"/>
      <c r="AK723"/>
      <c r="AL723"/>
      <c r="AM723"/>
      <c r="AN723"/>
      <c r="AO723"/>
      <c r="AP723"/>
      <c r="AQ723"/>
      <c r="AR723"/>
      <c r="AS723"/>
      <c r="AT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row>
    <row r="724" ht="20.1" customHeight="1">
      <c r="F724" s="516" t="s">
        <v>651</v>
      </c>
      <c r="G724" s="517" t="s">
        <v>1493</v>
      </c>
      <c r="H724" s="517"/>
      <c r="I724" s="517"/>
      <c r="J724" s="517"/>
      <c r="K724" s="517"/>
      <c r="L724" s="517"/>
      <c r="N724"/>
      <c r="O724"/>
      <c r="P724"/>
      <c r="Q724" s="44"/>
      <c r="R724" s="44"/>
      <c r="S724" s="44"/>
      <c r="T724"/>
      <c r="U724"/>
      <c r="V724"/>
      <c r="W724"/>
      <c r="X724"/>
      <c r="Y724"/>
      <c r="Z724"/>
      <c r="AA724"/>
      <c r="AB724"/>
      <c r="AC724"/>
      <c r="AD724"/>
      <c r="AE724"/>
      <c r="AF724"/>
      <c r="AG724"/>
      <c r="AH724"/>
      <c r="AI724"/>
      <c r="AJ724"/>
      <c r="AK724"/>
      <c r="AL724"/>
      <c r="AM724"/>
      <c r="AN724"/>
      <c r="AO724"/>
      <c r="AP724"/>
      <c r="AQ724"/>
      <c r="AR724"/>
      <c r="AS724"/>
      <c r="AT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row>
    <row r="725" ht="20.1" customHeight="1">
      <c r="J725" s="9"/>
      <c r="N725"/>
      <c r="O725"/>
      <c r="P725"/>
      <c r="Q725" s="44"/>
      <c r="R725" s="44"/>
      <c r="S725" s="44"/>
      <c r="T725"/>
      <c r="U725"/>
      <c r="V725"/>
      <c r="W725"/>
      <c r="X725"/>
      <c r="Y725"/>
      <c r="Z725"/>
      <c r="AA725"/>
      <c r="AB725"/>
      <c r="AC725"/>
      <c r="AD725"/>
      <c r="AE725"/>
      <c r="AF725"/>
      <c r="AG725"/>
      <c r="AH725"/>
      <c r="AI725"/>
      <c r="AJ725"/>
      <c r="AK725"/>
      <c r="AL725"/>
      <c r="AM725"/>
      <c r="AN725"/>
      <c r="AO725"/>
      <c r="AP725"/>
      <c r="AQ725"/>
      <c r="AR725"/>
      <c r="AS725"/>
      <c r="AT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row>
    <row r="726" ht="20.1" customHeight="1">
      <c r="J726" s="9"/>
      <c r="K726" s="1076"/>
      <c r="L726" s="880"/>
      <c r="N726"/>
      <c r="O726"/>
      <c r="P726"/>
      <c r="Q726" s="44"/>
      <c r="R726" s="44"/>
      <c r="S726" s="44"/>
      <c r="T726"/>
      <c r="U726"/>
      <c r="V726"/>
      <c r="W726"/>
      <c r="X726"/>
      <c r="Y726"/>
      <c r="Z726"/>
      <c r="AA726"/>
      <c r="AB726"/>
      <c r="AC726"/>
      <c r="AD726"/>
      <c r="AE726"/>
      <c r="AF726"/>
      <c r="AG726"/>
      <c r="AH726"/>
      <c r="AI726"/>
      <c r="AJ726"/>
      <c r="AK726"/>
      <c r="AL726"/>
      <c r="AM726"/>
      <c r="AN726"/>
      <c r="AO726"/>
      <c r="AP726"/>
      <c r="AQ726"/>
      <c r="AR726"/>
      <c r="AS726"/>
      <c r="AT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row>
    <row r="727" ht="20.1" customHeight="1">
      <c r="A727" s="12" t="s">
        <v>1494</v>
      </c>
      <c r="B727" s="44"/>
      <c r="C727" s="44"/>
      <c r="D727" s="387"/>
      <c r="E727" s="44"/>
      <c r="F727" s="44"/>
      <c r="G727" s="44"/>
      <c r="H727" s="44"/>
      <c r="I727" s="44"/>
      <c r="J727" s="44"/>
      <c r="K727" s="1076"/>
      <c r="L727" s="880" t="s">
        <v>1087</v>
      </c>
      <c r="N727"/>
      <c r="O727"/>
      <c r="P727"/>
      <c r="Q727" s="44"/>
      <c r="R727" s="44"/>
      <c r="S727" s="44"/>
      <c r="T727"/>
      <c r="U727"/>
      <c r="V727"/>
      <c r="W727"/>
      <c r="X727"/>
      <c r="Y727"/>
      <c r="Z727"/>
      <c r="AA727"/>
      <c r="AB727"/>
      <c r="AC727"/>
      <c r="AD727"/>
      <c r="AE727"/>
      <c r="AF727"/>
      <c r="AG727"/>
      <c r="AH727"/>
      <c r="AI727"/>
      <c r="AJ727"/>
      <c r="AK727"/>
      <c r="AL727"/>
      <c r="AM727"/>
      <c r="AN727"/>
      <c r="AO727"/>
      <c r="AP727"/>
      <c r="AQ727"/>
      <c r="AR727"/>
      <c r="AS727"/>
      <c r="AT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row>
    <row r="728" ht="20.1" customHeight="1">
      <c r="A728" s="37" t="s">
        <v>1495</v>
      </c>
      <c r="B728" s="37"/>
      <c r="D728" s="387"/>
      <c r="E728" s="43" t="s">
        <v>1496</v>
      </c>
      <c r="F728" s="9" t="s">
        <v>1497</v>
      </c>
      <c r="G728" s="519" t="n">
        <f aca="false">I98*0.42</f>
        <v>0</v>
      </c>
      <c r="H728" s="12" t="s">
        <v>1498</v>
      </c>
      <c r="I728" s="1099" t="s">
        <v>1499</v>
      </c>
      <c r="J728" s="520" t="str">
        <f aca="false">IF(D727="Non concerné","NC",IF(G728&gt;0,D728/G728,"NC"))</f>
        <v>NC</v>
      </c>
      <c r="K728" s="1076"/>
      <c r="L728" s="880"/>
      <c r="N728"/>
      <c r="O728"/>
      <c r="P728"/>
      <c r="Q728" s="44"/>
      <c r="R728" s="44"/>
      <c r="S728" s="44"/>
      <c r="T728"/>
      <c r="U728"/>
      <c r="V728"/>
      <c r="W728"/>
      <c r="X728"/>
      <c r="Y728"/>
      <c r="Z728"/>
      <c r="AA728"/>
      <c r="AB728"/>
      <c r="AC728"/>
      <c r="AD728"/>
      <c r="AE728"/>
      <c r="AF728"/>
      <c r="AG728"/>
      <c r="AH728"/>
      <c r="AI728"/>
      <c r="AJ728"/>
      <c r="AK728"/>
      <c r="AL728"/>
      <c r="AM728"/>
      <c r="AN728"/>
      <c r="AO728"/>
      <c r="AP728"/>
      <c r="AQ728"/>
      <c r="AR728"/>
      <c r="AS728"/>
      <c r="AT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row>
    <row r="729" ht="20.1" customHeight="1">
      <c r="A729" s="37"/>
      <c r="B729" s="37"/>
      <c r="I729" s="1099"/>
      <c r="J729" s="520"/>
      <c r="K729" s="1076"/>
      <c r="L729" s="880"/>
      <c r="N729"/>
      <c r="O729"/>
      <c r="P729"/>
      <c r="Q729" s="44"/>
      <c r="R729" s="44"/>
      <c r="S729" s="44"/>
      <c r="T729"/>
      <c r="U729"/>
      <c r="V729"/>
      <c r="W729"/>
      <c r="X729"/>
      <c r="Y729"/>
      <c r="Z729"/>
      <c r="AA729"/>
      <c r="AB729"/>
      <c r="AC729"/>
      <c r="AD729"/>
      <c r="AE729"/>
      <c r="AF729"/>
      <c r="AG729"/>
      <c r="AH729"/>
      <c r="AI729"/>
      <c r="AJ729"/>
      <c r="AK729"/>
      <c r="AL729"/>
      <c r="AM729"/>
      <c r="AN729"/>
      <c r="AO729"/>
      <c r="AP729"/>
      <c r="AQ729"/>
      <c r="AR729"/>
      <c r="AS729"/>
      <c r="AT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row>
    <row r="730" ht="20.1" customHeight="1">
      <c r="A730" s="806"/>
      <c r="B730" s="44"/>
      <c r="C730" s="834"/>
      <c r="D730" s="44"/>
      <c r="E730" s="521"/>
      <c r="F730" s="522"/>
      <c r="G730" s="522"/>
      <c r="H730" s="401"/>
      <c r="I730" s="1099"/>
      <c r="J730" s="520"/>
      <c r="K730" s="1076"/>
      <c r="L730" s="880"/>
      <c r="N730"/>
      <c r="O730"/>
      <c r="P730"/>
      <c r="Q730" s="44"/>
      <c r="R730" s="44"/>
      <c r="S730" s="44"/>
      <c r="T730"/>
      <c r="U730"/>
      <c r="V730"/>
      <c r="W730"/>
      <c r="X730"/>
      <c r="Y730"/>
      <c r="Z730"/>
      <c r="AA730"/>
      <c r="AB730"/>
      <c r="AC730"/>
      <c r="AD730"/>
      <c r="AE730"/>
      <c r="AF730"/>
      <c r="AG730"/>
      <c r="AH730"/>
      <c r="AI730"/>
      <c r="AJ730"/>
      <c r="AK730"/>
      <c r="AL730"/>
      <c r="AM730"/>
      <c r="AN730"/>
      <c r="AO730"/>
      <c r="AP730"/>
      <c r="AQ730"/>
      <c r="AR730"/>
      <c r="AS730"/>
      <c r="AT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row>
    <row r="731" ht="20.1" customHeight="1">
      <c r="A731" s="44"/>
      <c r="B731" s="44"/>
      <c r="C731" s="44"/>
      <c r="D731" s="44"/>
      <c r="E731" s="44"/>
      <c r="F731" s="44"/>
      <c r="G731" s="44"/>
      <c r="H731" s="44"/>
      <c r="I731" s="44"/>
      <c r="J731" s="44"/>
      <c r="K731" s="44"/>
      <c r="L731" s="44"/>
      <c r="N731"/>
      <c r="O731"/>
      <c r="P731"/>
      <c r="Q731" s="44"/>
      <c r="R731" s="44"/>
      <c r="S731" s="44"/>
      <c r="T731"/>
      <c r="U731"/>
      <c r="V731"/>
      <c r="W731"/>
      <c r="X731"/>
      <c r="Y731"/>
      <c r="Z731"/>
      <c r="AA731"/>
      <c r="AB731"/>
      <c r="AC731"/>
      <c r="AD731"/>
      <c r="AE731"/>
      <c r="AF731"/>
      <c r="AG731"/>
      <c r="AH731"/>
      <c r="AI731"/>
      <c r="AJ731"/>
      <c r="AK731"/>
      <c r="AL731"/>
      <c r="AM731"/>
      <c r="AN731"/>
      <c r="AO731"/>
      <c r="AP731"/>
      <c r="AQ731"/>
      <c r="AR731"/>
      <c r="AS731"/>
      <c r="AT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row>
    <row r="732" ht="20.1" customHeight="1">
      <c r="A732" s="44"/>
      <c r="B732" s="44"/>
      <c r="C732" s="44"/>
      <c r="D732" s="44"/>
      <c r="E732" s="44"/>
      <c r="F732" s="44"/>
      <c r="G732" s="44"/>
      <c r="H732" s="44"/>
      <c r="I732" s="44"/>
      <c r="J732" s="44"/>
      <c r="K732" s="44"/>
      <c r="L732" s="44"/>
      <c r="N732"/>
      <c r="O732"/>
      <c r="P732"/>
      <c r="Q732" s="44"/>
      <c r="R732" s="44"/>
      <c r="S732" s="44"/>
      <c r="T732"/>
      <c r="U732"/>
      <c r="V732"/>
      <c r="W732"/>
      <c r="X732"/>
      <c r="Y732"/>
      <c r="Z732"/>
      <c r="AA732"/>
      <c r="AB732"/>
      <c r="AC732"/>
      <c r="AD732"/>
      <c r="AE732"/>
      <c r="AF732"/>
      <c r="AG732"/>
      <c r="AH732"/>
      <c r="AI732"/>
      <c r="AJ732"/>
      <c r="AK732"/>
      <c r="AL732"/>
      <c r="AM732"/>
      <c r="AN732"/>
      <c r="AO732"/>
      <c r="AP732"/>
      <c r="AQ732"/>
      <c r="AR732"/>
      <c r="AS732"/>
      <c r="AT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row>
    <row r="733" ht="20.1" customHeight="1">
      <c r="A733" s="1071" t="s">
        <v>1500</v>
      </c>
      <c r="B733" s="1071"/>
      <c r="C733" s="1071"/>
      <c r="D733" s="1071"/>
      <c r="E733" s="1071"/>
      <c r="F733" s="1071"/>
      <c r="G733" s="1071"/>
      <c r="H733" s="42"/>
      <c r="I733" s="42"/>
      <c r="J733" s="42"/>
      <c r="K733" s="1072"/>
      <c r="L733" s="1073" t="s">
        <v>1501</v>
      </c>
      <c r="M733" s="44"/>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row>
    <row r="734" ht="20.1" customHeight="1">
      <c r="A734" s="378"/>
      <c r="B734" s="378"/>
      <c r="C734" s="378"/>
      <c r="D734" s="378"/>
      <c r="E734" s="378"/>
      <c r="F734" s="378"/>
      <c r="G734" s="378"/>
      <c r="H734"/>
      <c r="I734"/>
      <c r="J734"/>
      <c r="K734" s="1076"/>
      <c r="L734" s="880"/>
      <c r="M734" s="4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row>
    <row r="735" ht="19.5" customHeight="1">
      <c r="A735" s="379" t="s">
        <v>1502</v>
      </c>
      <c r="B735" s="379"/>
      <c r="C735" s="379"/>
      <c r="D735" s="523" t="n">
        <f aca="false">'Bilan apparent'!D483</f>
        <v>53.4684374380027</v>
      </c>
      <c r="E735"/>
      <c r="F735"/>
      <c r="G735"/>
      <c r="H735"/>
      <c r="I735"/>
      <c r="J735" s="44"/>
      <c r="K735" s="44"/>
      <c r="L735" s="44"/>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row>
    <row r="736" ht="20.1" customHeight="1">
      <c r="A736"/>
      <c r="B736" s="44"/>
      <c r="C736" s="44"/>
      <c r="D736" s="44"/>
      <c r="E736" s="44"/>
      <c r="F736" s="44"/>
      <c r="G736" s="29"/>
      <c r="H736" s="43"/>
      <c r="I736" s="821"/>
      <c r="J736" s="44"/>
      <c r="K736" s="44"/>
      <c r="L736" s="44"/>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row>
    <row r="737" ht="20.1" customHeight="1">
      <c r="A737" s="1095" t="s">
        <v>1503</v>
      </c>
      <c r="B737" s="1095"/>
      <c r="C737" s="1095"/>
      <c r="D737" s="524" t="n">
        <f aca="false">I97/B24</f>
        <v>0.779220779220779</v>
      </c>
      <c r="F737" s="44"/>
      <c r="G737" s="29"/>
      <c r="H737" s="43"/>
      <c r="I737" s="821"/>
      <c r="J737" s="44"/>
      <c r="K737" s="44"/>
      <c r="L737" s="44"/>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row>
    <row r="738" ht="20.1" customHeight="1">
      <c r="A738" s="1095" t="s">
        <v>595</v>
      </c>
      <c r="B738" s="1095"/>
      <c r="C738" s="1095"/>
      <c r="D738" s="416" t="s">
        <v>254</v>
      </c>
      <c r="F738" s="44"/>
      <c r="G738" s="29"/>
      <c r="H738" s="43"/>
      <c r="I738" s="821"/>
      <c r="J738" s="44"/>
      <c r="K738" s="44"/>
      <c r="L738" s="44"/>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row>
    <row r="739" ht="20.1" customHeight="1">
      <c r="A739"/>
      <c r="B739" s="44"/>
      <c r="C739" s="44"/>
      <c r="D739" s="44"/>
      <c r="E739" s="44"/>
      <c r="F739" s="44"/>
      <c r="G739" s="29"/>
      <c r="H739" s="43"/>
      <c r="I739" s="821"/>
      <c r="J739" s="44"/>
      <c r="K739" s="44"/>
      <c r="L739" s="44"/>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row>
    <row r="740" ht="20.1" customHeight="1">
      <c r="J740" s="9"/>
      <c r="K740" s="44"/>
      <c r="L740" s="44"/>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row>
    <row r="741" ht="20.1" customHeight="1">
      <c r="A741" s="1095" t="s">
        <v>1504</v>
      </c>
      <c r="B741" s="1095"/>
      <c r="C741" s="1095"/>
      <c r="D741" s="524" t="n">
        <f aca="false">H817</f>
        <v>1.33</v>
      </c>
      <c r="J741" s="9"/>
      <c r="K741"/>
      <c r="L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row>
    <row r="742" ht="20.1" customHeight="1">
      <c r="A742" s="12"/>
      <c r="B742" s="44"/>
      <c r="C742" s="44"/>
      <c r="D742" s="44"/>
      <c r="E742" s="44"/>
      <c r="F742" s="44"/>
      <c r="G742" s="37"/>
      <c r="H742" s="9"/>
      <c r="I742" s="9"/>
      <c r="J742" s="10"/>
      <c r="K742" s="44"/>
      <c r="L742" s="44"/>
      <c r="M742" s="44"/>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row>
    <row r="743" ht="20.1" customHeight="1">
      <c r="A743" s="379" t="s">
        <v>1505</v>
      </c>
      <c r="B743" s="379"/>
      <c r="C743" s="379"/>
      <c r="D743" s="416" t="s">
        <v>254</v>
      </c>
      <c r="F743" s="13"/>
      <c r="G743"/>
      <c r="J743" s="9"/>
      <c r="K743" s="44"/>
      <c r="L743" s="44"/>
      <c r="M743" s="44"/>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row>
    <row r="744" ht="19.5" customHeight="1">
      <c r="A744" s="826" t="s">
        <v>1506</v>
      </c>
      <c r="B744" s="525"/>
      <c r="C744" s="525"/>
      <c r="D744" s="525"/>
      <c r="E744" s="525"/>
      <c r="F744"/>
      <c r="G744"/>
      <c r="J744" s="9"/>
      <c r="K744" s="44"/>
      <c r="L744" s="44"/>
      <c r="M744" s="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row>
    <row r="745" ht="20.1" customHeight="1">
      <c r="A745" s="12"/>
      <c r="B745" s="44"/>
      <c r="C745"/>
      <c r="D745" s="44"/>
      <c r="E745"/>
      <c r="F745" s="44"/>
      <c r="G745" s="37"/>
      <c r="H745" s="9"/>
      <c r="I745" s="9"/>
      <c r="J745" s="10"/>
      <c r="K745" s="44"/>
      <c r="L745" s="44"/>
      <c r="M745" s="44"/>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row>
    <row r="746" ht="20.1" customHeight="1">
      <c r="J746" s="9"/>
      <c r="K746" s="1076"/>
      <c r="L746" s="880"/>
      <c r="N746"/>
      <c r="O746"/>
      <c r="P746"/>
      <c r="Q746"/>
      <c r="R746"/>
      <c r="S746"/>
      <c r="T746"/>
      <c r="U746"/>
      <c r="V746"/>
      <c r="W746"/>
      <c r="X746"/>
    </row>
    <row r="747" ht="20.1" customHeight="1">
      <c r="A747" s="526" t="s">
        <v>1507</v>
      </c>
      <c r="B747" s="526"/>
      <c r="C747" s="526"/>
      <c r="D747" s="526"/>
      <c r="E747" s="950" t="n">
        <v>19</v>
      </c>
      <c r="F747" s="9" t="s">
        <v>303</v>
      </c>
      <c r="H747" s="381" t="s">
        <v>1508</v>
      </c>
      <c r="I747" s="381"/>
      <c r="J747" s="527" t="n">
        <f aca="false">E747/B24</f>
        <v>0.246753246753247</v>
      </c>
      <c r="K747" s="1076"/>
      <c r="L747" s="880"/>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row>
    <row r="748" ht="18.75" customHeight="1">
      <c r="A748" s="525" t="s">
        <v>1509</v>
      </c>
      <c r="B748" s="525"/>
      <c r="C748" s="525"/>
      <c r="D748" s="525"/>
      <c r="E748" s="525"/>
      <c r="F748" s="44"/>
      <c r="G748" s="37"/>
      <c r="H748" s="9"/>
      <c r="I748" s="9"/>
      <c r="J748" s="10"/>
      <c r="K748" s="1076"/>
      <c r="L748" s="880"/>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row>
    <row r="749" ht="18.75" customHeight="1">
      <c r="A749" s="503" t="s">
        <v>1510</v>
      </c>
      <c r="B749" s="503"/>
      <c r="C749" s="503"/>
      <c r="D749" s="503"/>
      <c r="E749" s="503"/>
      <c r="F749" s="44"/>
      <c r="G749" s="37"/>
      <c r="H749" s="9"/>
      <c r="I749" s="9"/>
      <c r="J749" s="10"/>
      <c r="K749" s="1076"/>
      <c r="L749" s="880"/>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row>
    <row r="750" ht="18.75" customHeight="1">
      <c r="A750" s="503" t="s">
        <v>1511</v>
      </c>
      <c r="B750" s="503"/>
      <c r="C750" s="503"/>
      <c r="D750" s="503"/>
      <c r="E750" s="503"/>
      <c r="F750" s="44"/>
      <c r="G750" s="37"/>
      <c r="H750" s="9"/>
      <c r="I750" s="9"/>
      <c r="J750" s="10"/>
      <c r="K750" s="1076"/>
      <c r="L750" s="88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row>
    <row r="751" ht="18.75" customHeight="1">
      <c r="A751" s="503" t="s">
        <v>1512</v>
      </c>
      <c r="B751" s="503"/>
      <c r="C751" s="503"/>
      <c r="D751" s="503"/>
      <c r="E751" s="503"/>
      <c r="F751" s="44"/>
      <c r="G751" s="37"/>
      <c r="H751" s="9"/>
      <c r="I751" s="9"/>
      <c r="J751" s="10"/>
      <c r="K751" s="1076"/>
      <c r="L751" s="880"/>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row>
    <row r="752" ht="18.75" customHeight="1">
      <c r="A752" s="503" t="s">
        <v>1513</v>
      </c>
      <c r="B752" s="503"/>
      <c r="C752" s="503"/>
      <c r="D752" s="503"/>
      <c r="E752" s="503"/>
      <c r="F752" s="44"/>
      <c r="G752" s="37"/>
      <c r="H752" s="9"/>
      <c r="I752" s="9"/>
      <c r="J752" s="10"/>
      <c r="K752" s="1076"/>
      <c r="L752" s="880"/>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row>
    <row r="753" ht="18.75" customHeight="1">
      <c r="A753" s="503" t="s">
        <v>1514</v>
      </c>
      <c r="B753" s="503"/>
      <c r="C753" s="503"/>
      <c r="D753" s="503"/>
      <c r="E753" s="503"/>
      <c r="F753" s="44"/>
      <c r="G753" s="37"/>
      <c r="H753" s="9"/>
      <c r="I753" s="9"/>
      <c r="J753" s="10"/>
      <c r="K753" s="1076"/>
      <c r="L753" s="880"/>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row>
    <row r="754" ht="18.75" customHeight="1">
      <c r="A754" s="503" t="s">
        <v>1515</v>
      </c>
      <c r="B754" s="503"/>
      <c r="C754" s="503"/>
      <c r="D754" s="503"/>
      <c r="E754" s="503"/>
      <c r="F754" s="44"/>
      <c r="G754" s="37"/>
      <c r="H754" s="9"/>
      <c r="I754" s="9"/>
      <c r="J754" s="10"/>
      <c r="K754" s="1076"/>
      <c r="L754" s="880"/>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row>
    <row r="755" ht="15.75" customHeight="1">
      <c r="J755" s="9"/>
      <c r="N755"/>
      <c r="O755"/>
      <c r="P755"/>
      <c r="Q755"/>
      <c r="R755"/>
      <c r="S755"/>
      <c r="T755"/>
      <c r="U755"/>
      <c r="V755"/>
      <c r="W755"/>
      <c r="X755"/>
    </row>
    <row r="756" ht="15.75" customHeight="1">
      <c r="J756" s="9"/>
      <c r="N756"/>
      <c r="O756"/>
      <c r="P756"/>
      <c r="Q756"/>
      <c r="R756"/>
      <c r="S756"/>
      <c r="T756"/>
      <c r="U756"/>
      <c r="V756"/>
      <c r="W756"/>
      <c r="X756"/>
    </row>
    <row r="757" ht="20.1" customHeight="1">
      <c r="A757" s="1071" t="s">
        <v>1516</v>
      </c>
      <c r="B757" s="1071"/>
      <c r="C757" s="1071"/>
      <c r="D757" s="1071"/>
      <c r="E757" s="1071"/>
      <c r="F757" s="1071"/>
      <c r="G757" s="1071"/>
      <c r="H757" s="42"/>
      <c r="I757" s="42"/>
      <c r="J757" s="42"/>
      <c r="K757" s="1072"/>
      <c r="L757" s="1073" t="s">
        <v>1517</v>
      </c>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row>
    <row r="758" ht="19.5" customHeight="1">
      <c r="A758" s="820"/>
      <c r="B758" s="9"/>
      <c r="C758" s="9"/>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row>
    <row r="759" ht="36.75" customHeight="1">
      <c r="A759" s="384" t="s">
        <v>1518</v>
      </c>
      <c r="B759" s="384"/>
      <c r="C759" s="384"/>
      <c r="D759" s="384"/>
      <c r="E759" s="416" t="n">
        <v>3</v>
      </c>
      <c r="F759"/>
      <c r="G759" s="44"/>
      <c r="H759" s="44"/>
      <c r="I759" s="12"/>
      <c r="J759" s="29"/>
      <c r="K759" s="1076"/>
      <c r="L759" s="880" t="s">
        <v>1519</v>
      </c>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row>
    <row r="760" ht="20.1" customHeight="1">
      <c r="A760" s="503" t="s">
        <v>1520</v>
      </c>
      <c r="B760" s="503"/>
      <c r="C760" s="503"/>
      <c r="D760" s="503"/>
      <c r="E760" s="503"/>
      <c r="F760" s="44"/>
      <c r="G760" s="44"/>
      <c r="H760" s="44"/>
      <c r="I760" s="12"/>
      <c r="J760" s="29"/>
      <c r="K760" s="1076"/>
      <c r="L760" s="88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row>
    <row r="761" ht="15.75" customHeight="1">
      <c r="A761" s="503"/>
      <c r="B761" s="503"/>
      <c r="C761" s="503"/>
      <c r="D761" s="503"/>
      <c r="E761" s="503"/>
      <c r="I761" s="12"/>
      <c r="J761" s="29"/>
      <c r="K761" s="1076"/>
      <c r="L761" s="880"/>
      <c r="M761"/>
      <c r="N761"/>
      <c r="O761"/>
      <c r="P761"/>
      <c r="Q761"/>
      <c r="R761"/>
      <c r="S761"/>
      <c r="T761"/>
      <c r="U761"/>
      <c r="V761"/>
      <c r="W761"/>
      <c r="X761"/>
    </row>
    <row r="762" ht="15" customHeight="1">
      <c r="A762" s="798"/>
      <c r="B762"/>
      <c r="C762"/>
      <c r="D762" s="528"/>
      <c r="E762" s="811"/>
      <c r="I762" s="12"/>
      <c r="J762" s="29"/>
      <c r="K762" s="1076"/>
      <c r="L762" s="880"/>
      <c r="M762"/>
      <c r="N762"/>
      <c r="O762"/>
      <c r="P762"/>
      <c r="Q762"/>
      <c r="R762"/>
      <c r="S762"/>
      <c r="T762"/>
      <c r="U762"/>
      <c r="V762"/>
      <c r="W762"/>
      <c r="X762"/>
    </row>
    <row r="763" ht="33" customHeight="1">
      <c r="A763" s="384" t="s">
        <v>1521</v>
      </c>
      <c r="B763" s="384"/>
      <c r="C763" s="384"/>
      <c r="D763" s="384"/>
      <c r="E763" s="416" t="n">
        <v>1</v>
      </c>
      <c r="F763"/>
      <c r="G763" s="529"/>
      <c r="H763" s="530"/>
      <c r="I763"/>
      <c r="J763"/>
      <c r="K763" s="1076"/>
      <c r="L763" s="880" t="s">
        <v>1519</v>
      </c>
      <c r="M763"/>
      <c r="N763"/>
      <c r="O763"/>
      <c r="P763"/>
      <c r="Q763"/>
      <c r="R763"/>
      <c r="S763"/>
      <c r="T763"/>
      <c r="U763"/>
      <c r="V763"/>
      <c r="W763"/>
      <c r="X763"/>
    </row>
    <row r="764" ht="19.5" customHeight="1">
      <c r="A764" s="503" t="s">
        <v>1522</v>
      </c>
      <c r="B764" s="503"/>
      <c r="C764" s="503"/>
      <c r="D764" s="503"/>
      <c r="E764" s="503"/>
      <c r="F764"/>
      <c r="G764"/>
      <c r="H764" s="530"/>
      <c r="I764"/>
      <c r="J764"/>
      <c r="K764" s="1076"/>
      <c r="L764" s="880"/>
      <c r="M764"/>
      <c r="N764"/>
      <c r="O764"/>
      <c r="P764"/>
      <c r="Q764"/>
      <c r="R764"/>
      <c r="S764"/>
      <c r="T764"/>
      <c r="U764"/>
      <c r="V764"/>
      <c r="W764"/>
      <c r="X764"/>
      <c r="Y764" s="9"/>
      <c r="Z764"/>
      <c r="AA764"/>
      <c r="AB764"/>
      <c r="AC764"/>
      <c r="AD764"/>
      <c r="AE764"/>
      <c r="AF764"/>
      <c r="AG764"/>
      <c r="AH764"/>
      <c r="AI764"/>
      <c r="AJ764"/>
      <c r="AK764"/>
      <c r="AL764"/>
      <c r="AM764"/>
      <c r="AN764"/>
      <c r="AO764"/>
      <c r="AP764"/>
      <c r="AQ764"/>
      <c r="AR764"/>
      <c r="AS764"/>
      <c r="AT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row>
    <row r="765" ht="20.1" customHeight="1">
      <c r="A765" s="503" t="s">
        <v>1523</v>
      </c>
      <c r="B765" s="503"/>
      <c r="C765" s="503"/>
      <c r="D765" s="503"/>
      <c r="E765" s="503"/>
      <c r="F765"/>
      <c r="G765"/>
      <c r="H765" s="530"/>
      <c r="I765"/>
      <c r="J765"/>
      <c r="K765" s="1076"/>
      <c r="L765" s="880"/>
      <c r="M765"/>
      <c r="N765"/>
      <c r="O765"/>
      <c r="P765"/>
      <c r="Q765"/>
      <c r="R765"/>
      <c r="S765"/>
      <c r="T765"/>
      <c r="U765"/>
      <c r="V765"/>
      <c r="W765"/>
      <c r="X765"/>
      <c r="Y765" s="9"/>
      <c r="Z765"/>
      <c r="AA765"/>
      <c r="AB765"/>
      <c r="AC765"/>
      <c r="AD765"/>
      <c r="AE765"/>
      <c r="AF765"/>
      <c r="AG765"/>
      <c r="AH765"/>
      <c r="AI765"/>
      <c r="AJ765"/>
      <c r="AK765"/>
      <c r="AL765"/>
      <c r="AM765"/>
      <c r="AN765"/>
      <c r="AO765"/>
      <c r="AP765"/>
      <c r="AQ765"/>
      <c r="AR765"/>
      <c r="AS765"/>
      <c r="AT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row>
    <row r="766" ht="20.1" customHeight="1">
      <c r="A766" s="503" t="s">
        <v>1524</v>
      </c>
      <c r="B766" s="503"/>
      <c r="C766"/>
      <c r="D766"/>
      <c r="H766"/>
      <c r="I766" s="12"/>
      <c r="J766" s="29"/>
      <c r="K766" s="1076"/>
      <c r="L766" s="880"/>
      <c r="M766"/>
      <c r="N766"/>
      <c r="O766"/>
      <c r="P766"/>
      <c r="Q766"/>
      <c r="R766"/>
      <c r="S766"/>
      <c r="T766"/>
      <c r="U766"/>
      <c r="V766"/>
      <c r="W766"/>
      <c r="X766"/>
      <c r="Y766" s="9"/>
      <c r="Z766"/>
      <c r="AA766"/>
      <c r="AB766"/>
      <c r="AC766"/>
      <c r="AD766"/>
      <c r="AE766"/>
      <c r="AF766"/>
      <c r="AG766"/>
      <c r="AH766"/>
      <c r="AI766"/>
      <c r="AJ766"/>
      <c r="AK766"/>
      <c r="AL766"/>
      <c r="AM766"/>
      <c r="AN766"/>
      <c r="AO766"/>
      <c r="AP766"/>
      <c r="AQ766"/>
      <c r="AR766"/>
      <c r="AS766"/>
      <c r="AT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row>
    <row r="767" ht="20.1" customHeight="1">
      <c r="C767"/>
      <c r="D767" s="531" t="s">
        <v>1525</v>
      </c>
      <c r="E767" s="531"/>
      <c r="F767" s="589" t="n">
        <f aca="false">D817</f>
        <v>4.17</v>
      </c>
      <c r="G767" s="532"/>
      <c r="H767" s="532"/>
      <c r="I767" s="12"/>
      <c r="J767" s="29"/>
      <c r="K767" s="1076"/>
      <c r="L767" s="880"/>
      <c r="M767"/>
      <c r="N767"/>
      <c r="O767"/>
      <c r="P767"/>
      <c r="Q767"/>
      <c r="R767"/>
      <c r="S767"/>
      <c r="T767"/>
      <c r="U767"/>
      <c r="V767"/>
      <c r="W767"/>
      <c r="X767"/>
      <c r="Y767" s="9"/>
      <c r="Z767"/>
      <c r="AA767"/>
      <c r="AB767"/>
      <c r="AC767"/>
      <c r="AD767"/>
      <c r="AE767"/>
      <c r="AF767"/>
      <c r="AG767"/>
      <c r="AH767"/>
      <c r="AI767"/>
      <c r="AJ767"/>
      <c r="AK767"/>
      <c r="AL767"/>
      <c r="AM767"/>
      <c r="AN767"/>
      <c r="AO767"/>
      <c r="AP767"/>
      <c r="AQ767"/>
      <c r="AR767"/>
      <c r="AS767"/>
      <c r="AT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row>
    <row r="768" ht="22.5" customHeight="1">
      <c r="A768" s="9"/>
      <c r="B768"/>
      <c r="C768"/>
      <c r="D768" s="533"/>
      <c r="E768" s="428" t="s">
        <v>1526</v>
      </c>
      <c r="F768" s="428"/>
      <c r="G768" s="428"/>
      <c r="H768" s="9"/>
      <c r="I768" s="12"/>
      <c r="J768" s="29"/>
      <c r="K768" s="1076"/>
      <c r="L768" s="880"/>
      <c r="M768"/>
      <c r="Y768" s="9"/>
      <c r="Z768"/>
      <c r="AA768"/>
      <c r="AB768"/>
      <c r="AC768"/>
      <c r="AD768"/>
      <c r="AE768"/>
      <c r="AF768"/>
      <c r="AG768"/>
      <c r="AH768"/>
      <c r="AI768"/>
      <c r="AJ768"/>
      <c r="AK768"/>
      <c r="AL768"/>
      <c r="AM768"/>
      <c r="AN768"/>
      <c r="AO768"/>
      <c r="AP768"/>
      <c r="AQ768"/>
      <c r="AR768"/>
      <c r="AS768"/>
      <c r="AT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row>
    <row r="769" ht="20.1" customHeight="1">
      <c r="A769"/>
      <c r="B769"/>
      <c r="C769"/>
      <c r="D769" s="533"/>
      <c r="E769" s="534" t="s">
        <v>1527</v>
      </c>
      <c r="F769" s="534" t="s">
        <v>1528</v>
      </c>
      <c r="G769" s="534" t="s">
        <v>1529</v>
      </c>
      <c r="H769" s="44"/>
      <c r="I769" s="12"/>
      <c r="J769" s="29"/>
      <c r="K769" s="1076"/>
      <c r="L769" s="880"/>
      <c r="M769"/>
      <c r="N769"/>
      <c r="O769"/>
      <c r="P769"/>
      <c r="Q769"/>
      <c r="R769"/>
      <c r="S769"/>
      <c r="T769"/>
      <c r="U769"/>
      <c r="V769"/>
      <c r="W769"/>
      <c r="X769"/>
      <c r="Y769" s="9"/>
      <c r="Z769"/>
      <c r="AA769"/>
      <c r="AB769"/>
      <c r="AC769"/>
      <c r="AD769"/>
      <c r="AE769"/>
      <c r="AF769"/>
      <c r="AG769"/>
      <c r="AH769"/>
      <c r="AI769"/>
      <c r="AJ769"/>
      <c r="AK769"/>
      <c r="AL769"/>
      <c r="AM769"/>
      <c r="AN769"/>
      <c r="AO769"/>
      <c r="AP769"/>
      <c r="AQ769"/>
      <c r="AR769"/>
      <c r="AS769"/>
      <c r="AT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row>
    <row r="770" ht="20.1" customHeight="1">
      <c r="A770" s="9" t="s">
        <v>494</v>
      </c>
      <c r="B770" s="1041" t="s">
        <v>253</v>
      </c>
      <c r="C770" s="428" t="s">
        <v>1530</v>
      </c>
      <c r="D770" s="534" t="s">
        <v>1347</v>
      </c>
      <c r="E770" s="535" t="n">
        <v>3</v>
      </c>
      <c r="F770" s="535" t="n">
        <v>2</v>
      </c>
      <c r="G770" s="535" t="n">
        <v>1</v>
      </c>
      <c r="H770" s="44"/>
      <c r="I770" s="430" t="s">
        <v>1401</v>
      </c>
      <c r="J770" s="431" t="n">
        <v>1</v>
      </c>
      <c r="K770" s="1076"/>
      <c r="L770" s="880" t="s">
        <v>1319</v>
      </c>
      <c r="M770"/>
      <c r="N770"/>
      <c r="O770"/>
      <c r="P770"/>
      <c r="Q770"/>
      <c r="R770"/>
      <c r="S770"/>
      <c r="T770"/>
      <c r="U770"/>
      <c r="V770"/>
      <c r="W770"/>
      <c r="X770"/>
      <c r="Y770" s="9"/>
      <c r="Z770"/>
      <c r="AA770"/>
      <c r="AB770"/>
      <c r="AC770"/>
      <c r="AD770"/>
      <c r="AE770"/>
      <c r="AF770"/>
      <c r="AG770"/>
      <c r="AH770"/>
      <c r="AI770"/>
      <c r="AJ770"/>
      <c r="AK770"/>
      <c r="AL770"/>
      <c r="AM770"/>
      <c r="AN770"/>
      <c r="AO770"/>
      <c r="AP770"/>
      <c r="AQ770"/>
      <c r="AR770"/>
      <c r="AS770"/>
      <c r="AT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row>
    <row r="771" ht="20.1" customHeight="1">
      <c r="A771"/>
      <c r="B771"/>
      <c r="C771" s="428"/>
      <c r="D771" s="534" t="s">
        <v>1346</v>
      </c>
      <c r="E771" s="536" t="n">
        <v>2</v>
      </c>
      <c r="F771" s="536" t="n">
        <v>1</v>
      </c>
      <c r="G771" s="536" t="n">
        <v>0</v>
      </c>
      <c r="H771"/>
      <c r="I771" s="430"/>
      <c r="J771" s="431"/>
      <c r="K771" s="1076"/>
      <c r="L771" s="880"/>
      <c r="M771"/>
      <c r="N771"/>
      <c r="O771"/>
      <c r="P771"/>
      <c r="Q771"/>
      <c r="R771"/>
      <c r="S771"/>
      <c r="T771"/>
      <c r="U771"/>
      <c r="V771"/>
      <c r="W771"/>
      <c r="X771"/>
      <c r="Y771" s="9"/>
      <c r="Z771"/>
      <c r="AA771"/>
      <c r="AB771"/>
      <c r="AC771"/>
      <c r="AD771"/>
      <c r="AE771"/>
      <c r="AF771"/>
      <c r="AG771"/>
      <c r="AH771"/>
      <c r="AI771"/>
      <c r="AJ771"/>
      <c r="AK771"/>
      <c r="AL771"/>
      <c r="AM771"/>
      <c r="AN771"/>
      <c r="AO771"/>
      <c r="AP771"/>
      <c r="AQ771"/>
      <c r="AR771"/>
      <c r="AS771"/>
      <c r="AT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row>
    <row r="772" ht="20.1" customHeight="1">
      <c r="A772"/>
      <c r="B772"/>
      <c r="C772" s="537" t="s">
        <v>1531</v>
      </c>
      <c r="D772" s="537"/>
      <c r="E772" s="536" t="n">
        <v>3</v>
      </c>
      <c r="F772" s="536"/>
      <c r="G772" s="536"/>
      <c r="H772" s="44"/>
      <c r="I772" s="430" t="s">
        <v>1401</v>
      </c>
      <c r="J772" s="431"/>
      <c r="K772" s="29"/>
      <c r="L772" s="29"/>
      <c r="M772"/>
      <c r="Y772" s="9"/>
      <c r="Z772"/>
      <c r="AA772"/>
      <c r="AB772"/>
      <c r="AC772"/>
      <c r="AD772"/>
      <c r="AE772"/>
      <c r="AF772"/>
      <c r="AG772"/>
      <c r="AH772"/>
      <c r="AI772"/>
      <c r="AJ772"/>
      <c r="AK772"/>
      <c r="AL772"/>
      <c r="AM772"/>
      <c r="AN772"/>
      <c r="AO772"/>
      <c r="AP772"/>
      <c r="AQ772"/>
      <c r="AR772"/>
      <c r="AS772"/>
      <c r="AT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row>
    <row r="773" ht="20.1" customHeight="1">
      <c r="A773" s="9"/>
      <c r="B773"/>
      <c r="C773"/>
      <c r="D773" s="528"/>
      <c r="E773" s="811"/>
      <c r="F773" s="44"/>
      <c r="G773" s="44"/>
      <c r="H773" s="44"/>
      <c r="I773" s="29"/>
      <c r="J773" s="29"/>
      <c r="K773" s="29"/>
      <c r="L773" s="29"/>
      <c r="M773"/>
      <c r="N773"/>
      <c r="O773"/>
      <c r="P773"/>
      <c r="Q773"/>
      <c r="R773"/>
      <c r="S773"/>
      <c r="T773"/>
      <c r="U773"/>
      <c r="V773"/>
      <c r="W773"/>
      <c r="X773"/>
      <c r="Y773" s="9"/>
      <c r="Z773"/>
      <c r="AA773"/>
      <c r="AB773"/>
      <c r="AC773"/>
      <c r="AD773"/>
      <c r="AE773"/>
      <c r="AF773"/>
      <c r="AG773"/>
      <c r="AH773"/>
      <c r="AI773"/>
      <c r="AJ773"/>
      <c r="AK773"/>
      <c r="AL773"/>
      <c r="AM773"/>
      <c r="AN773"/>
      <c r="AO773"/>
      <c r="AP773"/>
      <c r="AQ773"/>
      <c r="AR773"/>
      <c r="AS773"/>
      <c r="AT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row>
    <row r="774" ht="20.1" customHeight="1">
      <c r="A774" s="9"/>
      <c r="B774"/>
      <c r="C774"/>
      <c r="D774" s="528"/>
      <c r="E774" s="811"/>
      <c r="F774" s="44"/>
      <c r="G774" s="44"/>
      <c r="H774" s="44"/>
      <c r="I774" s="12"/>
      <c r="J774" s="29"/>
      <c r="K774" s="1076"/>
      <c r="L774" s="880"/>
      <c r="M774"/>
      <c r="N774"/>
      <c r="O774"/>
      <c r="P774"/>
      <c r="Q774"/>
      <c r="R774"/>
      <c r="S774"/>
      <c r="T774"/>
      <c r="U774"/>
      <c r="V774"/>
      <c r="W774"/>
      <c r="X774"/>
      <c r="Y774" s="9"/>
      <c r="Z774"/>
      <c r="AA774"/>
      <c r="AB774"/>
      <c r="AC774"/>
      <c r="AD774"/>
      <c r="AE774"/>
      <c r="AF774"/>
      <c r="AG774"/>
      <c r="AH774"/>
      <c r="AI774"/>
      <c r="AJ774"/>
      <c r="AK774"/>
      <c r="AL774"/>
      <c r="AM774"/>
      <c r="AN774"/>
      <c r="AO774"/>
      <c r="AP774"/>
      <c r="AQ774"/>
      <c r="AR774"/>
      <c r="AS774"/>
      <c r="AT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row>
    <row r="775" ht="20.1" customHeight="1">
      <c r="A775" s="1071" t="s">
        <v>1532</v>
      </c>
      <c r="B775" s="1071"/>
      <c r="C775" s="1071"/>
      <c r="D775" s="1071"/>
      <c r="E775" s="1071"/>
      <c r="F775" s="1071"/>
      <c r="G775" s="1071"/>
      <c r="H775" s="42"/>
      <c r="I775" s="42"/>
      <c r="J775" s="42"/>
      <c r="K775" s="1072"/>
      <c r="L775" s="1073" t="s">
        <v>1533</v>
      </c>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row>
    <row r="776" ht="20.1" customHeight="1">
      <c r="A776" s="378"/>
      <c r="B776" s="378"/>
      <c r="C776" s="378"/>
      <c r="D776" s="378"/>
      <c r="E776" s="378"/>
      <c r="F776" s="378"/>
      <c r="G776" s="378"/>
      <c r="I776" s="12"/>
      <c r="J776" s="29"/>
      <c r="K776" s="1076"/>
      <c r="L776" s="880"/>
      <c r="M776"/>
      <c r="N776"/>
      <c r="O776"/>
      <c r="P776"/>
      <c r="Q776"/>
      <c r="R776"/>
      <c r="S776"/>
      <c r="T776"/>
      <c r="U776"/>
      <c r="V776"/>
      <c r="W776"/>
      <c r="X776"/>
    </row>
    <row r="777" ht="29.25" customHeight="1">
      <c r="A777" s="428"/>
      <c r="B777" s="538" t="s">
        <v>1534</v>
      </c>
      <c r="C777" s="538" t="s">
        <v>1535</v>
      </c>
      <c r="D777" s="538" t="s">
        <v>1536</v>
      </c>
      <c r="E777" s="538" t="s">
        <v>1537</v>
      </c>
      <c r="F777" s="539"/>
      <c r="G777" s="539"/>
      <c r="H777" s="540" t="s">
        <v>1538</v>
      </c>
      <c r="I777"/>
      <c r="J777" s="541"/>
      <c r="K777" s="1076"/>
      <c r="L777" s="880"/>
      <c r="M777"/>
    </row>
    <row r="778" ht="20.1" customHeight="1">
      <c r="A778" s="542" t="s">
        <v>1539</v>
      </c>
      <c r="B778" s="434" t="s">
        <v>1540</v>
      </c>
      <c r="C778" s="543" t="n">
        <f aca="false">D619</f>
        <v>5000</v>
      </c>
      <c r="D778" s="544" t="s">
        <v>1043</v>
      </c>
      <c r="E778" s="545" t="n">
        <v>3</v>
      </c>
      <c r="F778" s="546"/>
      <c r="G778" s="546"/>
      <c r="H778" s="547" t="n">
        <f aca="false">C778*E778</f>
        <v>15000</v>
      </c>
      <c r="I778"/>
      <c r="J778" s="548"/>
      <c r="K778" s="1076"/>
      <c r="L778" s="880"/>
      <c r="M778"/>
      <c r="N778" s="44"/>
      <c r="O778" s="44"/>
      <c r="P778" s="44"/>
      <c r="Q778" s="44"/>
      <c r="R778" s="44"/>
      <c r="S778" s="44"/>
      <c r="T778" s="44"/>
      <c r="U778" s="44"/>
      <c r="V778" s="44"/>
      <c r="W778" s="44"/>
      <c r="X778" s="44"/>
      <c r="Y778"/>
      <c r="Z778"/>
      <c r="AA778"/>
      <c r="AB778"/>
      <c r="AC778"/>
      <c r="AD778"/>
      <c r="AE778"/>
      <c r="AF778"/>
      <c r="AG778"/>
      <c r="AH778"/>
      <c r="AI778"/>
      <c r="AJ778"/>
      <c r="AK778"/>
      <c r="AL778"/>
      <c r="AM778"/>
      <c r="AN778"/>
      <c r="AO778"/>
      <c r="AP778"/>
      <c r="AQ778"/>
      <c r="AR778"/>
      <c r="AS778"/>
      <c r="AT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row>
    <row r="779" ht="20.1" customHeight="1">
      <c r="A779" s="542"/>
      <c r="B779" s="434" t="s">
        <v>1541</v>
      </c>
      <c r="C779" s="543" t="n">
        <f aca="false">D618</f>
        <v>32800</v>
      </c>
      <c r="D779" s="544" t="s">
        <v>1542</v>
      </c>
      <c r="E779" s="545" t="n">
        <v>0.8</v>
      </c>
      <c r="F779" s="549"/>
      <c r="G779" s="550"/>
      <c r="H779" s="551" t="n">
        <f aca="false">C779*E779</f>
        <v>26240</v>
      </c>
      <c r="I779"/>
      <c r="J779" s="548"/>
      <c r="K779" s="1076"/>
      <c r="L779" s="880"/>
      <c r="M779"/>
      <c r="N779" s="44"/>
      <c r="O779" s="44"/>
      <c r="P779" s="44"/>
      <c r="Q779" s="44"/>
      <c r="R779" s="44"/>
      <c r="S779" s="44"/>
      <c r="T779" s="44"/>
      <c r="U779" s="44"/>
      <c r="V779" s="44"/>
      <c r="W779" s="44"/>
      <c r="X779" s="44"/>
      <c r="Y779"/>
      <c r="Z779"/>
      <c r="AA779"/>
      <c r="AB779"/>
      <c r="AC779"/>
      <c r="AD779"/>
      <c r="AE779"/>
      <c r="AF779"/>
      <c r="AG779"/>
      <c r="AH779"/>
      <c r="AI779"/>
      <c r="AJ779"/>
      <c r="AK779"/>
      <c r="AL779"/>
      <c r="AM779"/>
      <c r="AN779"/>
      <c r="AO779"/>
      <c r="AP779"/>
      <c r="AQ779"/>
      <c r="AR779"/>
      <c r="AS779"/>
      <c r="AT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row>
    <row r="780" ht="20.1" customHeight="1">
      <c r="A780" s="542"/>
      <c r="B780" s="434" t="s">
        <v>1543</v>
      </c>
      <c r="C780" s="543" t="n">
        <f aca="false">D621+D622</f>
        <v>0</v>
      </c>
      <c r="D780" s="544" t="s">
        <v>1544</v>
      </c>
      <c r="E780" s="545" t="n">
        <v>3.4</v>
      </c>
      <c r="F780" s="549"/>
      <c r="G780" s="550"/>
      <c r="H780" s="551" t="n">
        <f aca="false">C780*E780</f>
        <v>0</v>
      </c>
      <c r="I780"/>
      <c r="J780" s="541"/>
      <c r="K780" s="1076"/>
      <c r="L780" s="8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row>
    <row r="781" ht="30" customHeight="1">
      <c r="A781" s="542"/>
      <c r="B781" s="434" t="s">
        <v>1545</v>
      </c>
      <c r="C781" s="543" t="n">
        <f aca="false">'Bilan apparent'!F46</f>
        <v>12319.2</v>
      </c>
      <c r="D781" s="544" t="s">
        <v>1546</v>
      </c>
      <c r="E781" s="545" t="n">
        <v>6.2</v>
      </c>
      <c r="F781" s="549"/>
      <c r="G781" s="550"/>
      <c r="H781" s="551" t="n">
        <f aca="false">C781*E781</f>
        <v>76379.04</v>
      </c>
      <c r="I781"/>
      <c r="J781"/>
      <c r="K781" s="552"/>
      <c r="L781" s="1076"/>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row>
    <row r="782" ht="20.1" customHeight="1">
      <c r="A782" s="542"/>
      <c r="B782" s="434" t="s">
        <v>1547</v>
      </c>
      <c r="C782" s="553" t="n">
        <f aca="false">B570*1000</f>
        <v>75630</v>
      </c>
      <c r="D782" s="544" t="s">
        <v>551</v>
      </c>
      <c r="E782" s="545" t="n">
        <v>1.2</v>
      </c>
      <c r="F782" s="549"/>
      <c r="G782" s="550"/>
      <c r="H782" s="551" t="n">
        <f aca="false">C782*E782</f>
        <v>90756</v>
      </c>
      <c r="I782"/>
      <c r="J782" s="541"/>
      <c r="K782" s="1076"/>
      <c r="L782" s="880"/>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row>
    <row r="783" ht="20.1" customHeight="1">
      <c r="A783" s="554" t="s">
        <v>1548</v>
      </c>
      <c r="B783" s="434" t="s">
        <v>1549</v>
      </c>
      <c r="C783" s="555" t="n">
        <f aca="false">I98</f>
        <v>0</v>
      </c>
      <c r="D783" s="544" t="s">
        <v>1550</v>
      </c>
      <c r="E783" s="545" t="n">
        <v>2500</v>
      </c>
      <c r="F783" s="556"/>
      <c r="G783" s="557"/>
      <c r="H783" s="551" t="n">
        <f aca="false">C783*E783</f>
        <v>0</v>
      </c>
      <c r="I783"/>
      <c r="J783" s="541"/>
      <c r="K783" s="1076"/>
      <c r="L783" s="880"/>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row>
    <row r="784" ht="30" customHeight="1">
      <c r="A784" s="554"/>
      <c r="B784" s="434" t="s">
        <v>1551</v>
      </c>
      <c r="C784" s="555" t="n">
        <f aca="false">I97</f>
        <v>60</v>
      </c>
      <c r="D784" s="544" t="s">
        <v>1552</v>
      </c>
      <c r="E784" s="545" t="n">
        <v>81</v>
      </c>
      <c r="F784" s="558" t="s">
        <v>1553</v>
      </c>
      <c r="G784" s="559" t="n">
        <v>6</v>
      </c>
      <c r="H784" s="551" t="n">
        <f aca="false">C784*G784*E784</f>
        <v>29160</v>
      </c>
      <c r="I784"/>
      <c r="J784" s="541"/>
      <c r="K784" s="1076"/>
      <c r="L784" s="880" t="s">
        <v>996</v>
      </c>
      <c r="M784"/>
      <c r="N784"/>
      <c r="O784"/>
      <c r="P784"/>
      <c r="Q784"/>
      <c r="R784"/>
      <c r="S784"/>
      <c r="T784"/>
      <c r="U784"/>
      <c r="V784"/>
      <c r="W784"/>
      <c r="X784"/>
      <c r="Y784"/>
      <c r="Z784"/>
      <c r="AA784"/>
      <c r="AB784"/>
      <c r="AC784"/>
      <c r="AD784"/>
      <c r="AE784"/>
      <c r="AF784" s="44"/>
      <c r="AG784"/>
      <c r="AH784"/>
      <c r="AI784"/>
      <c r="AJ784"/>
      <c r="AK784"/>
      <c r="AL784"/>
      <c r="AM784"/>
      <c r="AN784"/>
      <c r="AO784"/>
      <c r="AP784"/>
      <c r="AQ784"/>
      <c r="AR784"/>
      <c r="AS784"/>
      <c r="AT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row>
    <row r="785" ht="30" customHeight="1">
      <c r="A785" s="554"/>
      <c r="B785" s="434" t="s">
        <v>1554</v>
      </c>
      <c r="C785" s="555"/>
      <c r="D785" s="544"/>
      <c r="E785" s="545" t="n">
        <v>0.6</v>
      </c>
      <c r="F785" s="544" t="s">
        <v>1555</v>
      </c>
      <c r="G785" s="560"/>
      <c r="H785" s="551" t="n">
        <f aca="false">C784*G785*E785</f>
        <v>0</v>
      </c>
      <c r="I785"/>
      <c r="J785"/>
      <c r="K785" s="541"/>
      <c r="L785" s="1076"/>
      <c r="M785"/>
      <c r="N785"/>
      <c r="O785"/>
      <c r="P785"/>
      <c r="Q785"/>
      <c r="R785"/>
      <c r="S785"/>
      <c r="T785"/>
      <c r="U785"/>
      <c r="V785"/>
      <c r="W785"/>
      <c r="X785"/>
    </row>
    <row r="786" ht="30" customHeight="1">
      <c r="A786" s="554" t="s">
        <v>1556</v>
      </c>
      <c r="B786" s="434" t="s">
        <v>1557</v>
      </c>
      <c r="C786" s="555" t="n">
        <f aca="false">I97</f>
        <v>60</v>
      </c>
      <c r="D786" s="544" t="s">
        <v>1552</v>
      </c>
      <c r="E786" s="545" t="n">
        <v>47</v>
      </c>
      <c r="F786" s="544" t="s">
        <v>1553</v>
      </c>
      <c r="G786" s="560" t="n">
        <v>6</v>
      </c>
      <c r="H786" s="551" t="n">
        <f aca="false">C786*G786*E786</f>
        <v>16920</v>
      </c>
      <c r="I786"/>
      <c r="J786" s="541"/>
      <c r="K786" s="1076"/>
      <c r="L786" s="880"/>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row>
    <row r="787" ht="30" customHeight="1">
      <c r="A787" s="554"/>
      <c r="B787" s="434" t="s">
        <v>1554</v>
      </c>
      <c r="C787" s="555"/>
      <c r="D787" s="544"/>
      <c r="E787" s="545" t="n">
        <v>53</v>
      </c>
      <c r="F787" s="544" t="s">
        <v>1555</v>
      </c>
      <c r="G787" s="560"/>
      <c r="H787" s="551" t="n">
        <f aca="false">C786*G787*E787</f>
        <v>0</v>
      </c>
      <c r="I787"/>
      <c r="J787" s="541"/>
      <c r="K787" s="1076"/>
      <c r="L787" s="880"/>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row>
    <row r="788" ht="20.1" customHeight="1">
      <c r="A788" s="554"/>
      <c r="B788" s="434" t="s">
        <v>1545</v>
      </c>
      <c r="C788" s="543" t="n">
        <f aca="false">C781</f>
        <v>12319.2</v>
      </c>
      <c r="D788" s="544" t="s">
        <v>1558</v>
      </c>
      <c r="E788" s="545" t="n">
        <v>5</v>
      </c>
      <c r="F788" s="550"/>
      <c r="G788" s="550"/>
      <c r="H788" s="551" t="n">
        <f aca="false">E788*C788</f>
        <v>61596</v>
      </c>
      <c r="I788"/>
      <c r="J788" s="541"/>
      <c r="K788" s="1076"/>
      <c r="L788" s="880"/>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row>
    <row r="789" ht="19.5" customHeight="1">
      <c r="A789" s="561" t="s">
        <v>1559</v>
      </c>
      <c r="B789" s="561"/>
      <c r="C789" s="561"/>
      <c r="D789" s="561"/>
      <c r="E789" s="561"/>
      <c r="F789" s="561"/>
      <c r="G789" s="561"/>
      <c r="H789" s="562" t="n">
        <f aca="false">SUM(H778:H788)</f>
        <v>316051.04</v>
      </c>
      <c r="I789"/>
      <c r="J789" s="541"/>
      <c r="K789" s="1076"/>
      <c r="L789" s="880"/>
      <c r="M789"/>
      <c r="N789"/>
      <c r="O789"/>
      <c r="P789"/>
      <c r="Q789"/>
      <c r="R789"/>
      <c r="S789"/>
      <c r="T789"/>
      <c r="U789"/>
      <c r="V789"/>
      <c r="W789"/>
      <c r="X789"/>
      <c r="AF789" s="44"/>
    </row>
    <row r="790" ht="25.5" customHeight="1">
      <c r="A790" s="542" t="s">
        <v>1560</v>
      </c>
      <c r="B790" s="434" t="s">
        <v>1561</v>
      </c>
      <c r="C790" s="563" t="n">
        <f aca="false">B27</f>
        <v>1</v>
      </c>
      <c r="D790" s="544" t="s">
        <v>94</v>
      </c>
      <c r="E790" s="545" t="n">
        <v>1833</v>
      </c>
      <c r="F790" s="546"/>
      <c r="G790" s="546"/>
      <c r="H790" s="547" t="n">
        <f aca="false">C790*E790</f>
        <v>1833</v>
      </c>
      <c r="I790"/>
      <c r="J790" s="541"/>
      <c r="K790" s="1076"/>
      <c r="L790" s="880"/>
      <c r="M790"/>
      <c r="N790"/>
      <c r="O790"/>
      <c r="P790"/>
      <c r="Q790"/>
      <c r="R790"/>
      <c r="S790"/>
      <c r="T790"/>
      <c r="U790"/>
      <c r="V790"/>
      <c r="W790"/>
      <c r="X790"/>
      <c r="AF790" s="44"/>
    </row>
    <row r="791" ht="15" customHeight="1">
      <c r="A791" s="542"/>
      <c r="B791" s="434" t="s">
        <v>984</v>
      </c>
      <c r="C791" s="543" t="n">
        <f aca="false">B26</f>
        <v>0</v>
      </c>
      <c r="D791" s="544" t="s">
        <v>94</v>
      </c>
      <c r="E791" s="545" t="n">
        <v>262</v>
      </c>
      <c r="F791" s="549"/>
      <c r="G791" s="550"/>
      <c r="H791" s="551" t="n">
        <f aca="false">C791*E791</f>
        <v>0</v>
      </c>
      <c r="I791"/>
      <c r="J791" s="541"/>
      <c r="K791" s="1076"/>
      <c r="L791" s="880"/>
      <c r="M791"/>
      <c r="N791"/>
      <c r="O791"/>
      <c r="P791"/>
      <c r="Q791"/>
      <c r="R791"/>
      <c r="S791"/>
      <c r="T791"/>
      <c r="U791"/>
      <c r="V791"/>
      <c r="W791"/>
      <c r="X791"/>
      <c r="Y791"/>
      <c r="Z791"/>
      <c r="AA791"/>
      <c r="AB791"/>
      <c r="AC791"/>
      <c r="AD791"/>
      <c r="AE791"/>
      <c r="AF791" s="44"/>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row>
    <row r="792" ht="20.1" customHeight="1">
      <c r="A792" s="542"/>
      <c r="B792" s="434" t="s">
        <v>1562</v>
      </c>
      <c r="C792" s="543" t="n">
        <f aca="false">D519</f>
        <v>500</v>
      </c>
      <c r="D792" s="544" t="s">
        <v>1563</v>
      </c>
      <c r="E792" s="545" t="n">
        <v>4.6</v>
      </c>
      <c r="F792" s="549"/>
      <c r="G792" s="550"/>
      <c r="H792" s="551" t="n">
        <f aca="false">C792*E792</f>
        <v>2300</v>
      </c>
      <c r="I792"/>
      <c r="J792" s="541"/>
      <c r="K792" s="1076"/>
      <c r="L792" s="880"/>
      <c r="M792"/>
      <c r="N792" s="44"/>
      <c r="O792" s="44"/>
      <c r="P792" s="44"/>
      <c r="Q792" s="44"/>
      <c r="R792" s="44"/>
      <c r="S792" s="44"/>
      <c r="T792" s="44"/>
      <c r="U792" s="44"/>
      <c r="V792" s="44"/>
      <c r="W792" s="44"/>
      <c r="X792" s="44"/>
      <c r="Y792"/>
      <c r="Z792"/>
      <c r="AA792"/>
      <c r="AB792"/>
      <c r="AC792"/>
      <c r="AD792"/>
      <c r="AE792"/>
      <c r="AF792" s="44"/>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row>
    <row r="793" ht="15" customHeight="1">
      <c r="A793" s="542"/>
      <c r="B793" s="434" t="s">
        <v>1564</v>
      </c>
      <c r="C793" s="564"/>
      <c r="D793" s="544" t="s">
        <v>1565</v>
      </c>
      <c r="E793" s="545" t="n">
        <v>500</v>
      </c>
      <c r="F793" s="549"/>
      <c r="G793" s="550"/>
      <c r="H793" s="551" t="n">
        <f aca="false">C793*E793</f>
        <v>0</v>
      </c>
      <c r="I793"/>
      <c r="J793" s="548"/>
      <c r="K793" s="1076"/>
      <c r="L793" s="880" t="s">
        <v>1382</v>
      </c>
      <c r="M793"/>
      <c r="N793" s="44"/>
      <c r="O793" s="44"/>
      <c r="P793" s="44"/>
      <c r="Q793" s="44"/>
      <c r="R793" s="44"/>
      <c r="S793" s="44"/>
      <c r="T793" s="44"/>
      <c r="U793" s="44"/>
      <c r="V793" s="44"/>
      <c r="W793" s="44"/>
      <c r="X793" s="44"/>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row>
    <row r="794" ht="20.1" customHeight="1">
      <c r="A794" s="561" t="s">
        <v>1566</v>
      </c>
      <c r="B794" s="561"/>
      <c r="C794" s="561"/>
      <c r="D794" s="561"/>
      <c r="E794" s="561"/>
      <c r="F794" s="561"/>
      <c r="G794" s="561"/>
      <c r="H794" s="562" t="n">
        <f aca="false">SUM(H790:H793)</f>
        <v>4133</v>
      </c>
      <c r="I794"/>
      <c r="J794" s="541"/>
      <c r="K794" s="1076"/>
      <c r="L794" s="880"/>
      <c r="M794"/>
      <c r="N794"/>
      <c r="O794"/>
      <c r="P794"/>
      <c r="Q794"/>
      <c r="R794"/>
      <c r="S794"/>
      <c r="T794"/>
      <c r="U794"/>
      <c r="V794"/>
      <c r="W794"/>
      <c r="X794"/>
    </row>
    <row r="795" ht="20.1" customHeight="1">
      <c r="A795"/>
      <c r="B795"/>
      <c r="C795" s="565"/>
      <c r="D795" s="565"/>
      <c r="E795" s="565"/>
      <c r="F795"/>
      <c r="G795" s="565"/>
      <c r="H795" s="565"/>
      <c r="I795"/>
      <c r="J795" s="541"/>
      <c r="K795" s="880"/>
      <c r="L795" s="880"/>
      <c r="M795"/>
      <c r="N795"/>
      <c r="O795"/>
      <c r="P795"/>
      <c r="Q795"/>
      <c r="R795"/>
      <c r="S795"/>
      <c r="T795"/>
      <c r="U795"/>
      <c r="V795"/>
      <c r="W795"/>
      <c r="X795"/>
    </row>
    <row r="796" ht="20.1" customHeight="1">
      <c r="A796"/>
      <c r="C796"/>
      <c r="D796"/>
      <c r="E796"/>
      <c r="F796"/>
      <c r="G796" s="834" t="s">
        <v>1567</v>
      </c>
      <c r="H796" s="566" t="n">
        <f aca="false">(H789-H794)/1000</f>
        <v>311.91804</v>
      </c>
      <c r="I796" s="380" t="s">
        <v>1568</v>
      </c>
      <c r="J796"/>
      <c r="K796" s="44"/>
      <c r="L796" s="44"/>
      <c r="M796"/>
      <c r="N796"/>
      <c r="O796"/>
      <c r="P796"/>
      <c r="Q796"/>
      <c r="R796"/>
      <c r="S796"/>
      <c r="T796"/>
      <c r="U796"/>
      <c r="V796"/>
      <c r="W796"/>
      <c r="X796"/>
    </row>
    <row r="797" ht="15.75" customHeight="1">
      <c r="A797"/>
      <c r="B797"/>
      <c r="C797"/>
      <c r="D797"/>
      <c r="E797"/>
      <c r="F797" s="12"/>
      <c r="G797" s="46"/>
      <c r="H797" s="46"/>
      <c r="I797" s="46"/>
      <c r="J797" s="541"/>
      <c r="K797" s="1076"/>
      <c r="L797" s="880"/>
      <c r="M797"/>
      <c r="N797" s="44"/>
      <c r="O797" s="44"/>
      <c r="P797" s="44"/>
      <c r="Q797" s="44"/>
      <c r="R797" s="44"/>
      <c r="S797" s="44"/>
      <c r="T797" s="44"/>
      <c r="U797" s="44"/>
      <c r="V797" s="44"/>
      <c r="W797" s="44"/>
      <c r="X797" s="44"/>
    </row>
    <row r="798" ht="15.75" customHeight="1">
      <c r="A798"/>
      <c r="B798"/>
      <c r="C798"/>
      <c r="D798"/>
      <c r="E798"/>
      <c r="F798" s="12"/>
      <c r="G798" s="46"/>
      <c r="H798" s="46"/>
      <c r="I798" s="46"/>
      <c r="J798" s="541"/>
      <c r="K798" s="1076"/>
      <c r="L798" s="880"/>
      <c r="M798"/>
      <c r="N798"/>
      <c r="O798"/>
      <c r="P798"/>
      <c r="Q798"/>
      <c r="R798"/>
      <c r="S798"/>
      <c r="T798"/>
      <c r="U798"/>
      <c r="V798"/>
      <c r="W798"/>
      <c r="X798"/>
    </row>
    <row r="799" ht="15.75" customHeight="1">
      <c r="A799" s="1071" t="s">
        <v>1569</v>
      </c>
      <c r="B799" s="1071"/>
      <c r="C799" s="1071"/>
      <c r="D799" s="1071"/>
      <c r="E799" s="1071"/>
      <c r="F799" s="1071"/>
      <c r="G799" s="1071"/>
      <c r="H799" s="42"/>
      <c r="I799" s="42"/>
      <c r="J799" s="42"/>
      <c r="K799" s="1073"/>
      <c r="L799" s="1073" t="s">
        <v>1570</v>
      </c>
      <c r="M799"/>
      <c r="Q799" s="44"/>
      <c r="R799" s="44"/>
      <c r="S799" s="44"/>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row>
    <row r="800" ht="16.5" customHeight="1">
      <c r="A800" s="567"/>
      <c r="B800"/>
      <c r="C800"/>
      <c r="D800"/>
      <c r="E800"/>
      <c r="F800" s="568"/>
      <c r="G800"/>
      <c r="H800"/>
      <c r="I800"/>
      <c r="K800" s="1076"/>
      <c r="L800" s="880"/>
      <c r="M800"/>
      <c r="Q800" s="44"/>
      <c r="R800" s="44"/>
      <c r="S800" s="44"/>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row>
    <row r="801" ht="36" customHeight="1">
      <c r="A801" s="569" t="s">
        <v>1571</v>
      </c>
      <c r="B801" s="569"/>
      <c r="C801" s="569"/>
      <c r="D801" s="569"/>
      <c r="E801" s="569"/>
      <c r="F801" s="569"/>
      <c r="G801" s="569"/>
      <c r="H801"/>
      <c r="I801"/>
      <c r="K801" s="1076"/>
      <c r="L801" s="880" t="s">
        <v>1572</v>
      </c>
      <c r="M801"/>
      <c r="Q801" s="44"/>
      <c r="R801" s="44"/>
      <c r="S801" s="44"/>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row>
    <row r="802" ht="36" customHeight="1">
      <c r="A802" s="570"/>
      <c r="B802" s="570"/>
      <c r="C802" s="570"/>
      <c r="D802" s="570"/>
      <c r="F802" s="821"/>
      <c r="G802" s="12"/>
      <c r="H802"/>
      <c r="I802"/>
      <c r="K802" s="1076"/>
      <c r="L802" s="880"/>
      <c r="M802"/>
      <c r="Q802" s="44"/>
      <c r="R802" s="44"/>
      <c r="S802" s="44"/>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row>
    <row r="803" ht="29.25" customHeight="1">
      <c r="A803" s="428" t="s">
        <v>503</v>
      </c>
      <c r="B803" s="538" t="s">
        <v>505</v>
      </c>
      <c r="C803" s="539" t="s">
        <v>1573</v>
      </c>
      <c r="D803" s="538" t="s">
        <v>507</v>
      </c>
      <c r="E803" s="538" t="s">
        <v>508</v>
      </c>
      <c r="F803" s="539" t="s">
        <v>1574</v>
      </c>
      <c r="G803" s="539" t="s">
        <v>1575</v>
      </c>
      <c r="H803"/>
      <c r="I803"/>
      <c r="K803" s="1076"/>
      <c r="L803" s="880"/>
      <c r="M803"/>
      <c r="Q803" s="44"/>
      <c r="R803" s="44"/>
      <c r="S803" s="44"/>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row>
    <row r="804" ht="16.5" customHeight="1">
      <c r="A804" s="571"/>
      <c r="B804" s="571"/>
      <c r="C804" s="571" t="s">
        <v>534</v>
      </c>
      <c r="D804" s="571" t="s">
        <v>534</v>
      </c>
      <c r="E804" s="571" t="s">
        <v>534</v>
      </c>
      <c r="F804" s="571" t="s">
        <v>534</v>
      </c>
      <c r="G804" s="572" t="e">
        <f aca="false">(C804/D804)*(E804/F804)</f>
        <v>#VALUE!</v>
      </c>
      <c r="H804" s="573" t="e">
        <f aca="false">IF(F804="",0,G804*E804)</f>
        <v>#VALUE!</v>
      </c>
      <c r="I804"/>
      <c r="K804" s="1076"/>
      <c r="L804" s="880"/>
      <c r="M804"/>
      <c r="Q804" s="44"/>
      <c r="R804" s="44"/>
      <c r="S804" s="4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row>
    <row r="805" ht="20.1" customHeight="1">
      <c r="A805" s="574"/>
      <c r="B805" s="574"/>
      <c r="C805" s="574"/>
      <c r="D805" s="574"/>
      <c r="E805" s="574"/>
      <c r="F805" s="574"/>
      <c r="G805" s="543" t="e">
        <f aca="false">(C805/D805)*(E805/F805)</f>
        <v>#DIV/0!</v>
      </c>
      <c r="H805" s="573" t="n">
        <f aca="false">IF(F805="",0,G805*E805)</f>
        <v>0</v>
      </c>
      <c r="I805" s="880"/>
      <c r="J805" s="880"/>
      <c r="K805" s="880"/>
      <c r="L805" s="880"/>
      <c r="M805" s="880"/>
      <c r="Q805" s="44"/>
      <c r="R805" s="44"/>
      <c r="S805" s="44"/>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row>
    <row r="806" ht="20.1" customHeight="1">
      <c r="A806" s="574"/>
      <c r="B806" s="574"/>
      <c r="C806" s="574"/>
      <c r="D806" s="574"/>
      <c r="E806" s="574"/>
      <c r="F806" s="574"/>
      <c r="G806" s="543" t="e">
        <f aca="false">(C806/D806)*(E806/F806)</f>
        <v>#DIV/0!</v>
      </c>
      <c r="H806" s="573" t="n">
        <f aca="false">IF(F806="",0,G806*E806)</f>
        <v>0</v>
      </c>
      <c r="I806" s="880"/>
      <c r="J806" s="880"/>
      <c r="K806" s="880"/>
      <c r="L806" s="880"/>
      <c r="M806" s="880"/>
      <c r="Q806" s="44"/>
      <c r="R806" s="44"/>
      <c r="S806" s="44"/>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row>
    <row r="807" ht="16.5" customHeight="1">
      <c r="A807" s="574"/>
      <c r="B807" s="574"/>
      <c r="C807" s="574"/>
      <c r="D807" s="574"/>
      <c r="E807" s="574"/>
      <c r="F807" s="574"/>
      <c r="G807" s="543" t="e">
        <f aca="false">(C807/D807)*(E807/F807)</f>
        <v>#DIV/0!</v>
      </c>
      <c r="H807" s="573" t="n">
        <f aca="false">IF(F807="",0,G807*E807)</f>
        <v>0</v>
      </c>
      <c r="I807" s="880"/>
      <c r="J807" s="880"/>
      <c r="K807" s="880"/>
      <c r="L807" s="880"/>
      <c r="M807" s="880"/>
      <c r="Q807" s="44"/>
      <c r="R807" s="44"/>
      <c r="S807" s="44"/>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row>
    <row r="808" ht="20.1" customHeight="1">
      <c r="A808" s="574"/>
      <c r="B808" s="574"/>
      <c r="C808" s="574"/>
      <c r="D808" s="574"/>
      <c r="E808" s="574"/>
      <c r="F808" s="574"/>
      <c r="G808" s="543" t="e">
        <f aca="false">(C808/D808)*(E808/F808)</f>
        <v>#DIV/0!</v>
      </c>
      <c r="H808" s="573" t="n">
        <f aca="false">IF(F808="",0,G808*E808)</f>
        <v>0</v>
      </c>
      <c r="I808" s="880"/>
      <c r="J808" s="880"/>
      <c r="K808" s="880"/>
      <c r="L808" s="880"/>
      <c r="M808" s="880"/>
      <c r="Q808" s="44"/>
      <c r="R808" s="44"/>
      <c r="S808" s="44"/>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row>
    <row r="809" ht="20.1" customHeight="1">
      <c r="A809" s="574"/>
      <c r="B809" s="574"/>
      <c r="C809" s="574"/>
      <c r="D809" s="574"/>
      <c r="E809" s="574"/>
      <c r="F809" s="574"/>
      <c r="G809" s="543" t="e">
        <f aca="false">(C809/D809)*(E809/F809)</f>
        <v>#DIV/0!</v>
      </c>
      <c r="H809" s="573" t="n">
        <f aca="false">IF(F809="",0,G809*E809)</f>
        <v>0</v>
      </c>
      <c r="I809" s="880"/>
      <c r="J809" s="880"/>
      <c r="K809" s="880"/>
      <c r="L809" s="880"/>
      <c r="M809" s="880"/>
      <c r="Q809" s="44"/>
      <c r="R809" s="44"/>
      <c r="S809" s="44"/>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row>
    <row r="810" ht="20.1" customHeight="1">
      <c r="A810" s="574"/>
      <c r="B810" s="574"/>
      <c r="C810" s="574"/>
      <c r="D810" s="574"/>
      <c r="E810" s="574"/>
      <c r="F810" s="574"/>
      <c r="G810" s="543" t="e">
        <f aca="false">(C810/D810)*(E810/F810)</f>
        <v>#DIV/0!</v>
      </c>
      <c r="H810" s="573" t="n">
        <f aca="false">IF(F810="",0,G810*E810)</f>
        <v>0</v>
      </c>
      <c r="I810" s="880"/>
      <c r="J810" s="880"/>
      <c r="K810" s="880"/>
      <c r="L810" s="880"/>
      <c r="M810" s="880"/>
      <c r="Q810" s="44"/>
      <c r="R810" s="44"/>
      <c r="S810" s="44"/>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row>
    <row r="811" ht="20.1" customHeight="1">
      <c r="A811" s="574"/>
      <c r="B811" s="574"/>
      <c r="C811" s="574"/>
      <c r="D811" s="574"/>
      <c r="E811" s="574"/>
      <c r="F811" s="574"/>
      <c r="G811" s="543" t="e">
        <f aca="false">(C811/D811)*(E811/F811)</f>
        <v>#DIV/0!</v>
      </c>
      <c r="H811" s="573" t="n">
        <f aca="false">IF(F811="",0,G811*E811)</f>
        <v>0</v>
      </c>
      <c r="I811" s="880"/>
      <c r="J811" s="880"/>
      <c r="K811" s="880"/>
      <c r="L811" s="880"/>
      <c r="M811" s="880"/>
      <c r="Q811" s="44"/>
      <c r="R811" s="44"/>
      <c r="S811" s="44"/>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row>
    <row r="812" ht="15" customHeight="1">
      <c r="A812" s="574"/>
      <c r="B812" s="574"/>
      <c r="C812" s="574"/>
      <c r="D812" s="574"/>
      <c r="E812" s="574"/>
      <c r="F812" s="574"/>
      <c r="G812" s="543" t="e">
        <f aca="false">(C812/D812)*(E812/F812)</f>
        <v>#DIV/0!</v>
      </c>
      <c r="H812" s="573" t="n">
        <f aca="false">IF(F812="",0,G812*E812)</f>
        <v>0</v>
      </c>
      <c r="I812" s="880"/>
      <c r="J812" s="880"/>
      <c r="K812" s="880"/>
      <c r="L812" s="880"/>
      <c r="M812" s="880"/>
      <c r="Q812" s="44"/>
      <c r="R812" s="44"/>
      <c r="S812" s="44"/>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row>
    <row r="813" ht="15" customHeight="1">
      <c r="A813" s="574"/>
      <c r="B813" s="574"/>
      <c r="C813" s="574"/>
      <c r="D813" s="574"/>
      <c r="E813" s="574"/>
      <c r="F813" s="574"/>
      <c r="G813" s="543" t="e">
        <f aca="false">(C813/D813)*(E813/F813)</f>
        <v>#DIV/0!</v>
      </c>
      <c r="H813" s="573" t="n">
        <f aca="false">IF(F813="",0,G813*E813)</f>
        <v>0</v>
      </c>
      <c r="I813" s="880"/>
      <c r="J813" s="575"/>
      <c r="K813" s="880"/>
      <c r="L813" s="880"/>
      <c r="M813" s="880"/>
      <c r="Q813" s="44"/>
      <c r="R813" s="44"/>
      <c r="S813" s="44"/>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row>
    <row r="814" ht="15" customHeight="1">
      <c r="A814" s="574"/>
      <c r="B814" s="574"/>
      <c r="C814" s="574"/>
      <c r="D814" s="574"/>
      <c r="E814" s="574"/>
      <c r="F814" s="574"/>
      <c r="G814" s="543" t="e">
        <f aca="false">(C814/D814)*(E814/F814)</f>
        <v>#DIV/0!</v>
      </c>
      <c r="H814" s="573" t="n">
        <f aca="false">IF(F814="",0,G814*E814)</f>
        <v>0</v>
      </c>
      <c r="I814" s="880"/>
      <c r="J814" s="575"/>
      <c r="K814" s="880"/>
      <c r="L814" s="880"/>
      <c r="M814" s="880"/>
      <c r="Q814" s="44"/>
      <c r="R814" s="44"/>
      <c r="S814" s="4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row>
    <row r="815" ht="15" customHeight="1">
      <c r="A815" s="574"/>
      <c r="B815" s="574"/>
      <c r="C815" s="574"/>
      <c r="D815" s="574"/>
      <c r="E815" s="574"/>
      <c r="F815" s="574"/>
      <c r="G815" s="543" t="e">
        <f aca="false">(C815/D815)*(E815/F815)</f>
        <v>#DIV/0!</v>
      </c>
      <c r="H815" s="573" t="n">
        <f aca="false">IF(F815="",0,G815*E815)</f>
        <v>0</v>
      </c>
      <c r="I815" s="880"/>
      <c r="J815" s="880"/>
      <c r="K815" s="880"/>
      <c r="L815" s="880"/>
      <c r="M815" s="880"/>
      <c r="Q815" s="44"/>
      <c r="R815" s="44"/>
      <c r="S815" s="44"/>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row>
    <row r="816" ht="28.5" customHeight="1">
      <c r="A816"/>
      <c r="B816"/>
      <c r="C816"/>
      <c r="D816"/>
      <c r="E816"/>
      <c r="F816"/>
      <c r="G816"/>
      <c r="H816"/>
      <c r="I816"/>
      <c r="J816" s="9"/>
      <c r="K816" s="1076"/>
      <c r="L816" s="880"/>
      <c r="M816"/>
      <c r="Q816" s="44"/>
      <c r="R816" s="44"/>
      <c r="S816" s="44"/>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row>
    <row r="817" ht="19.5" customHeight="1">
      <c r="A817" s="821" t="s">
        <v>1576</v>
      </c>
      <c r="B817"/>
      <c r="C817"/>
      <c r="D817" s="576" t="n">
        <v>4.17</v>
      </c>
      <c r="F817" s="821" t="s">
        <v>1577</v>
      </c>
      <c r="H817" s="577" t="n">
        <v>1.33</v>
      </c>
      <c r="I817"/>
      <c r="J817" s="9"/>
      <c r="K817" s="1076"/>
      <c r="L817" s="880"/>
      <c r="M817"/>
      <c r="Q817" s="44"/>
      <c r="R817" s="44"/>
      <c r="S817" s="44"/>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row>
    <row r="818" ht="20.1" customHeight="1">
      <c r="A818" s="570"/>
      <c r="B818" s="570"/>
      <c r="C818" s="570"/>
      <c r="D818" s="570"/>
      <c r="F818" s="821"/>
      <c r="G818" s="12"/>
      <c r="H818" s="578"/>
      <c r="J818" s="9"/>
      <c r="K818" s="1076"/>
      <c r="L818" s="880"/>
      <c r="Q818" s="44"/>
      <c r="R818" s="44"/>
      <c r="S818" s="44"/>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row>
    <row r="819" ht="20.1" customHeight="1">
      <c r="A819" s="821" t="s">
        <v>1578</v>
      </c>
      <c r="D819" s="44"/>
      <c r="E819" s="44"/>
      <c r="F819" s="1096" t="s">
        <v>253</v>
      </c>
      <c r="G819" s="12"/>
      <c r="H819" s="12"/>
      <c r="I819" s="12"/>
      <c r="J819" s="12"/>
      <c r="K819" s="12"/>
      <c r="L819" s="12"/>
      <c r="M819" s="12"/>
      <c r="N819" s="12"/>
      <c r="Q819" s="44"/>
      <c r="R819" s="44"/>
      <c r="S819" s="44"/>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row>
    <row r="820" ht="19.5" customHeight="1">
      <c r="A820" s="579" t="s">
        <v>1579</v>
      </c>
      <c r="B820" s="579"/>
      <c r="C820" s="579"/>
      <c r="D820" s="44"/>
      <c r="E820" s="12"/>
      <c r="F820" s="12"/>
      <c r="G820" s="12"/>
      <c r="H820" s="12"/>
      <c r="I820" s="12"/>
      <c r="J820" s="12"/>
      <c r="K820" s="12"/>
      <c r="L820" s="12"/>
      <c r="M820" s="12"/>
      <c r="N820" s="12"/>
      <c r="Q820" s="44"/>
      <c r="R820" s="44"/>
      <c r="S820" s="44"/>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row>
    <row r="821" ht="19.5" customHeight="1">
      <c r="A821" s="12"/>
      <c r="B821" s="383"/>
      <c r="C821" s="12"/>
      <c r="D821" s="12"/>
      <c r="E821" s="12"/>
      <c r="F821" s="12"/>
      <c r="G821" s="12"/>
      <c r="H821" s="12"/>
      <c r="I821" s="12"/>
      <c r="J821" s="12"/>
      <c r="K821" s="12"/>
      <c r="L821" s="12"/>
      <c r="M821" s="12"/>
      <c r="N821" s="12"/>
      <c r="Q821" s="44"/>
      <c r="R821" s="44"/>
      <c r="S821" s="44"/>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row>
    <row r="822" ht="19.5" customHeight="1">
      <c r="A822" s="821" t="s">
        <v>1580</v>
      </c>
      <c r="B822" s="383"/>
      <c r="C822" s="12"/>
      <c r="D822" s="12"/>
      <c r="E822" s="12"/>
      <c r="F822" s="12"/>
      <c r="G822" s="12"/>
      <c r="H822" s="12"/>
      <c r="I822" s="12"/>
      <c r="J822" s="12"/>
      <c r="K822" s="12"/>
      <c r="L822" s="12"/>
      <c r="M822" s="12"/>
      <c r="N822" s="12"/>
      <c r="Q822" s="44"/>
      <c r="R822" s="44"/>
      <c r="S822" s="44"/>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row>
    <row r="823" ht="19.5" customHeight="1">
      <c r="A823" s="1061" t="s">
        <v>1261</v>
      </c>
      <c r="B823" s="580" t="s">
        <v>497</v>
      </c>
      <c r="C823" s="580"/>
      <c r="D823" s="580"/>
      <c r="E823" s="483" t="s">
        <v>253</v>
      </c>
      <c r="F823" s="484"/>
      <c r="L823" s="12"/>
      <c r="M823" s="12"/>
      <c r="N823" s="12"/>
      <c r="Q823" s="44"/>
      <c r="R823" s="44"/>
      <c r="S823" s="44"/>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row>
    <row r="824" ht="19.5" customHeight="1">
      <c r="B824" s="580" t="s">
        <v>498</v>
      </c>
      <c r="C824" s="580"/>
      <c r="D824" s="580"/>
      <c r="E824" s="483" t="s">
        <v>253</v>
      </c>
      <c r="F824" s="484"/>
      <c r="L824" s="12"/>
      <c r="M824" s="12"/>
      <c r="N824" s="12"/>
      <c r="Q824" s="44"/>
      <c r="R824" s="44"/>
      <c r="S824" s="4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row>
    <row r="825" ht="19.5" customHeight="1">
      <c r="B825" s="580" t="s">
        <v>499</v>
      </c>
      <c r="C825" s="580"/>
      <c r="D825" s="580"/>
      <c r="E825" s="483" t="s">
        <v>253</v>
      </c>
      <c r="F825" s="484"/>
      <c r="L825" s="12"/>
      <c r="M825" s="12"/>
      <c r="N825" s="12"/>
      <c r="Q825" s="44"/>
      <c r="R825" s="44"/>
      <c r="S825" s="44"/>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row>
    <row r="826" ht="19.5" customHeight="1">
      <c r="B826" s="580" t="s">
        <v>500</v>
      </c>
      <c r="C826" s="580"/>
      <c r="D826" s="580"/>
      <c r="E826" s="483" t="s">
        <v>253</v>
      </c>
      <c r="F826" s="484"/>
      <c r="L826" s="12"/>
      <c r="M826" s="12"/>
      <c r="N826" s="12"/>
      <c r="Q826" s="44"/>
      <c r="R826" s="44"/>
      <c r="S826" s="44"/>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row>
    <row r="827" ht="19.5" customHeight="1">
      <c r="A827" s="12"/>
      <c r="B827" s="383"/>
      <c r="C827" s="12"/>
      <c r="D827" s="12"/>
      <c r="E827" s="12"/>
      <c r="F827" s="12"/>
      <c r="G827" s="12"/>
      <c r="H827" s="12"/>
      <c r="I827" s="12"/>
      <c r="J827" s="12"/>
      <c r="K827" s="12"/>
      <c r="L827" s="12"/>
      <c r="M827" s="12"/>
      <c r="N827" s="12"/>
      <c r="Q827" s="44"/>
      <c r="R827" s="44"/>
      <c r="S827" s="44"/>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row>
    <row r="828" ht="19.5" customHeight="1">
      <c r="A828" s="12"/>
      <c r="B828" s="383"/>
      <c r="C828" s="12"/>
      <c r="D828" s="12"/>
      <c r="E828" s="12"/>
      <c r="F828" s="12"/>
      <c r="G828" s="12"/>
      <c r="H828" s="12"/>
      <c r="I828" s="12"/>
      <c r="J828" s="12"/>
      <c r="K828" s="12"/>
      <c r="L828" s="12"/>
      <c r="M828" s="12"/>
      <c r="N828" s="12"/>
      <c r="Q828" s="44"/>
      <c r="R828" s="44"/>
      <c r="S828" s="44"/>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row>
    <row r="829" ht="20.1" customHeight="1">
      <c r="A829" s="581" t="s">
        <v>1581</v>
      </c>
      <c r="B829" s="581"/>
      <c r="C829" s="581"/>
      <c r="D829" s="581"/>
      <c r="E829" s="581"/>
      <c r="F829" s="581"/>
      <c r="G829" s="581"/>
      <c r="H829"/>
      <c r="I829"/>
      <c r="J829"/>
      <c r="K829" s="1076"/>
      <c r="L829" s="880" t="s">
        <v>1475</v>
      </c>
      <c r="M829"/>
      <c r="Q829" s="44"/>
      <c r="R829" s="44"/>
      <c r="S829" s="44"/>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row>
    <row r="830" ht="20.1" customHeight="1">
      <c r="A830" s="579" t="s">
        <v>1582</v>
      </c>
      <c r="B830" s="579"/>
      <c r="C830" s="579"/>
      <c r="D830" s="378"/>
      <c r="E830" s="378"/>
      <c r="F830" s="378"/>
      <c r="G830" s="378"/>
      <c r="H830"/>
      <c r="I830"/>
      <c r="J830"/>
      <c r="K830" s="1076"/>
      <c r="L830" s="880"/>
      <c r="M830"/>
      <c r="Q830" s="44"/>
      <c r="R830" s="44"/>
      <c r="S830" s="44"/>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row>
    <row r="831" ht="20.1" customHeight="1">
      <c r="A831" s="1111" t="s">
        <v>1583</v>
      </c>
      <c r="B831" s="1111"/>
      <c r="C831" s="582" t="n">
        <v>1000</v>
      </c>
      <c r="D831"/>
      <c r="E831" s="583" t="s">
        <v>1584</v>
      </c>
      <c r="F831" s="583"/>
      <c r="G831" s="524" t="n">
        <f aca="false">IF(B19="0 - pas d'élevage","Pas d'UGB",C831/D98)</f>
        <v>0.166666666666667</v>
      </c>
      <c r="H831"/>
      <c r="I831"/>
      <c r="J831"/>
      <c r="K831" s="37"/>
      <c r="L831"/>
      <c r="M831"/>
      <c r="Q831" s="44"/>
      <c r="R831" s="44"/>
      <c r="S831" s="44"/>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row>
    <row r="832" ht="20.1" customHeight="1">
      <c r="A832"/>
      <c r="B832"/>
      <c r="C832"/>
      <c r="D832"/>
      <c r="E832"/>
      <c r="F832"/>
      <c r="G832"/>
      <c r="H832"/>
      <c r="I832"/>
      <c r="J832" s="1067"/>
      <c r="K832" s="1076"/>
      <c r="L832" s="880"/>
      <c r="M832"/>
      <c r="Q832" s="44"/>
      <c r="R832" s="44"/>
      <c r="S832" s="44"/>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row>
    <row r="833" ht="20.1" customHeight="1">
      <c r="A833" s="1095" t="s">
        <v>1585</v>
      </c>
      <c r="B833" s="1095"/>
      <c r="C833" s="1095"/>
      <c r="D833" s="1095"/>
      <c r="E833" s="1095"/>
      <c r="F833" s="1096" t="s">
        <v>254</v>
      </c>
      <c r="G833"/>
      <c r="H833"/>
      <c r="I833"/>
      <c r="J833"/>
      <c r="K833"/>
      <c r="L833"/>
      <c r="M833"/>
      <c r="N833"/>
      <c r="O833"/>
      <c r="P833"/>
      <c r="Q833" s="44"/>
      <c r="R833" s="44"/>
      <c r="S833" s="44"/>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row>
    <row r="834" ht="20.1" customHeight="1">
      <c r="A834" s="1095" t="s">
        <v>263</v>
      </c>
      <c r="B834" s="1095"/>
      <c r="C834" s="1095"/>
      <c r="D834" s="1095"/>
      <c r="E834" s="1095"/>
      <c r="F834" s="1096" t="s">
        <v>253</v>
      </c>
      <c r="G834"/>
      <c r="H834"/>
      <c r="I834"/>
      <c r="J834"/>
      <c r="K834" s="1076"/>
      <c r="L834" s="880"/>
      <c r="M834"/>
      <c r="N834"/>
      <c r="O834"/>
      <c r="P834"/>
      <c r="Q834" s="44"/>
      <c r="R834" s="44"/>
      <c r="S834" s="4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row>
    <row r="835" ht="20.1" customHeight="1">
      <c r="A835" s="834"/>
      <c r="B835" s="834"/>
      <c r="C835" s="834"/>
      <c r="D835" s="834"/>
      <c r="E835" s="834"/>
      <c r="F835"/>
      <c r="G835"/>
      <c r="H835"/>
      <c r="I835"/>
      <c r="J835"/>
      <c r="K835" s="1076"/>
      <c r="L835" s="880"/>
      <c r="M835"/>
      <c r="N835"/>
      <c r="O835"/>
      <c r="P835"/>
      <c r="Q835" s="44"/>
      <c r="R835" s="44"/>
      <c r="S835" s="44"/>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row>
    <row r="836" ht="20.1" customHeight="1">
      <c r="A836" s="1095" t="s">
        <v>1586</v>
      </c>
      <c r="B836" s="1095"/>
      <c r="C836" s="1095"/>
      <c r="D836" s="1095"/>
      <c r="E836" s="1095"/>
      <c r="F836" s="1096" t="s">
        <v>254</v>
      </c>
      <c r="G836"/>
      <c r="H836"/>
      <c r="I836"/>
      <c r="J836"/>
      <c r="K836" s="1076"/>
      <c r="L836" s="880"/>
      <c r="M836"/>
      <c r="N836"/>
      <c r="O836"/>
      <c r="P836"/>
      <c r="Q836" s="44"/>
      <c r="R836" s="44"/>
      <c r="S836" s="44"/>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row>
    <row r="837" ht="20.1" customHeight="1">
      <c r="A837" s="1095" t="s">
        <v>1587</v>
      </c>
      <c r="B837" s="1095"/>
      <c r="C837" s="1095"/>
      <c r="D837" s="1095"/>
      <c r="E837" s="1095"/>
      <c r="F837" s="1096" t="s">
        <v>254</v>
      </c>
      <c r="G837"/>
      <c r="H837"/>
      <c r="I837"/>
      <c r="J837"/>
      <c r="K837" s="1076"/>
      <c r="L837" s="880"/>
      <c r="M837"/>
      <c r="N837"/>
      <c r="O837"/>
      <c r="P837"/>
      <c r="Q837" s="44"/>
      <c r="R837" s="44"/>
      <c r="S837" s="44"/>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row>
    <row r="838" ht="20.1" customHeight="1">
      <c r="A838"/>
      <c r="B838"/>
      <c r="C838"/>
      <c r="D838"/>
      <c r="E838"/>
      <c r="F838"/>
      <c r="G838"/>
      <c r="H838"/>
      <c r="I838"/>
      <c r="J838" s="9"/>
      <c r="K838"/>
      <c r="L838"/>
      <c r="M838"/>
      <c r="N838"/>
      <c r="O838"/>
      <c r="P838"/>
      <c r="Q838" s="44"/>
      <c r="R838" s="44"/>
      <c r="S838" s="44"/>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row>
    <row r="839" ht="20.1" customHeight="1">
      <c r="A839" s="12"/>
      <c r="B839" s="383"/>
      <c r="C839" s="12"/>
      <c r="D839" s="12"/>
      <c r="E839" s="394"/>
      <c r="F839" s="394"/>
      <c r="G839"/>
      <c r="H839"/>
      <c r="I839" s="12"/>
      <c r="K839" s="1076"/>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row>
    <row r="840" ht="23.25" customHeight="1">
      <c r="A840" s="11" t="s">
        <v>1588</v>
      </c>
      <c r="B840" s="11"/>
      <c r="C840" s="11"/>
      <c r="D840" s="11"/>
      <c r="E840" s="11"/>
      <c r="F840" s="11"/>
      <c r="G840" s="11"/>
      <c r="H840" s="11"/>
      <c r="I840" s="11"/>
      <c r="J840" s="11"/>
      <c r="K840" s="11"/>
      <c r="L840" s="11"/>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row>
    <row r="841" ht="15" customHeight="1">
      <c r="A841"/>
      <c r="B841"/>
      <c r="C841"/>
      <c r="D841"/>
      <c r="E841"/>
      <c r="F841"/>
      <c r="G841"/>
      <c r="H841"/>
      <c r="I841"/>
      <c r="J841" s="584"/>
      <c r="L841" s="880"/>
    </row>
    <row r="842" ht="15" customHeight="1">
      <c r="A842"/>
      <c r="B842"/>
      <c r="C842"/>
      <c r="D842"/>
      <c r="E842"/>
      <c r="F842"/>
      <c r="G842"/>
      <c r="H842"/>
      <c r="I842"/>
      <c r="J842" s="584"/>
      <c r="L842" s="880"/>
    </row>
    <row r="843" ht="20.1" customHeight="1">
      <c r="A843" s="1071" t="s">
        <v>1589</v>
      </c>
      <c r="B843" s="1071"/>
      <c r="C843" s="1071"/>
      <c r="D843" s="1071"/>
      <c r="E843" s="1071"/>
      <c r="F843" s="1071"/>
      <c r="G843" s="1071"/>
      <c r="H843" s="42"/>
      <c r="I843" s="42"/>
      <c r="J843" s="42"/>
      <c r="K843" s="1072"/>
      <c r="L843" s="1073" t="s">
        <v>1240</v>
      </c>
    </row>
    <row r="844" ht="20.1" customHeight="1">
      <c r="A844" s="378"/>
      <c r="B844" s="378"/>
      <c r="C844" s="378"/>
      <c r="D844" s="378"/>
      <c r="E844" s="378"/>
      <c r="F844" s="378"/>
      <c r="G844" s="378"/>
      <c r="H844"/>
      <c r="I844"/>
      <c r="J844"/>
      <c r="K844" s="1076"/>
      <c r="L844" s="880"/>
    </row>
    <row r="845" ht="20.1" customHeight="1">
      <c r="A845" s="834" t="s">
        <v>1590</v>
      </c>
      <c r="B845" s="834"/>
      <c r="C845" s="834"/>
      <c r="D845" s="585" t="n">
        <v>73</v>
      </c>
      <c r="E845" s="9" t="s">
        <v>94</v>
      </c>
      <c r="G845" s="586" t="s">
        <v>1591</v>
      </c>
      <c r="H845" s="587"/>
      <c r="I845" s="587"/>
      <c r="J845" s="1100" t="n">
        <f aca="false">D845/B24</f>
        <v>0.948051948051948</v>
      </c>
      <c r="K845" s="1076"/>
      <c r="L845" s="880"/>
    </row>
    <row r="846" ht="20.1" customHeight="1">
      <c r="A846" s="12"/>
      <c r="B846"/>
      <c r="C846"/>
      <c r="D846" s="9"/>
      <c r="E846" s="44"/>
      <c r="F846" s="44"/>
      <c r="G846" s="820"/>
      <c r="H846" s="9"/>
      <c r="I846" s="9"/>
      <c r="J846" s="1076"/>
      <c r="K846" s="1076"/>
      <c r="L846" s="880"/>
    </row>
    <row r="847" ht="20.1" customHeight="1">
      <c r="E847" s="1095" t="s">
        <v>1592</v>
      </c>
      <c r="F847" s="1095"/>
      <c r="G847" s="1095"/>
      <c r="H847" s="1095"/>
      <c r="I847" s="1095"/>
      <c r="J847" s="1130" t="s">
        <v>254</v>
      </c>
      <c r="K847" s="1076"/>
      <c r="L847" s="880"/>
    </row>
    <row r="848" ht="20.1" customHeight="1">
      <c r="A848"/>
      <c r="B848" s="810"/>
      <c r="C848"/>
      <c r="D848"/>
      <c r="E848" s="811"/>
      <c r="F848" s="811"/>
      <c r="G848" s="29"/>
      <c r="H848" s="811"/>
      <c r="I848" s="811"/>
      <c r="J848"/>
      <c r="K848" s="1076"/>
      <c r="L848" s="880"/>
    </row>
    <row r="849" ht="20.1" customHeight="1">
      <c r="G849" s="1095" t="s">
        <v>1593</v>
      </c>
      <c r="H849" s="1095"/>
      <c r="I849" s="1095"/>
      <c r="J849" s="1096" t="s">
        <v>253</v>
      </c>
      <c r="K849" s="1076"/>
      <c r="L849" s="880"/>
    </row>
    <row r="850" ht="20.1" customHeight="1">
      <c r="A850"/>
      <c r="B850" s="810"/>
      <c r="C850"/>
      <c r="D850"/>
      <c r="E850" s="811"/>
      <c r="F850" s="811"/>
      <c r="G850" s="811"/>
      <c r="H850" s="811"/>
      <c r="I850" s="811"/>
      <c r="J850" s="29"/>
      <c r="K850" s="1076"/>
      <c r="L850" s="880"/>
    </row>
    <row r="851" ht="20.1" customHeight="1">
      <c r="A851"/>
      <c r="B851"/>
      <c r="C851"/>
      <c r="D851"/>
      <c r="E851"/>
      <c r="F851"/>
      <c r="G851"/>
      <c r="H851"/>
      <c r="I851"/>
      <c r="J851"/>
      <c r="K851" s="44"/>
      <c r="L851" s="880"/>
    </row>
    <row r="852" ht="20.1" customHeight="1">
      <c r="A852" s="1071" t="s">
        <v>1594</v>
      </c>
      <c r="B852" s="1071"/>
      <c r="C852" s="1071"/>
      <c r="D852" s="1071"/>
      <c r="E852" s="1071"/>
      <c r="F852" s="1071"/>
      <c r="G852" s="1071"/>
      <c r="H852" s="42"/>
      <c r="I852" s="42"/>
      <c r="J852" s="42"/>
      <c r="K852" s="1072"/>
      <c r="L852" s="1073" t="s">
        <v>1595</v>
      </c>
    </row>
    <row r="853" ht="20.1" customHeight="1">
      <c r="A853" s="378"/>
      <c r="B853" s="378"/>
      <c r="C853" s="378"/>
      <c r="D853" s="378"/>
      <c r="E853" s="378"/>
      <c r="F853" s="378"/>
      <c r="G853" s="378"/>
      <c r="H853"/>
      <c r="I853"/>
      <c r="J853"/>
      <c r="K853" s="1076"/>
      <c r="L853" s="880"/>
    </row>
    <row r="854" ht="20.1" customHeight="1">
      <c r="A854" s="12" t="s">
        <v>1596</v>
      </c>
      <c r="B854" s="1000" t="str">
        <f aca="false">B19</f>
        <v>1 - monogastrique</v>
      </c>
      <c r="C854" s="378"/>
      <c r="D854" s="378"/>
      <c r="E854" s="378"/>
      <c r="F854" s="378"/>
      <c r="G854" s="378"/>
      <c r="H854"/>
      <c r="I854"/>
      <c r="J854"/>
      <c r="K854" s="1076"/>
      <c r="L854" s="880"/>
    </row>
    <row r="855" ht="20.1" customHeight="1">
      <c r="A855" s="567" t="s">
        <v>1597</v>
      </c>
      <c r="B855" s="9"/>
      <c r="C855" s="9"/>
      <c r="D855" s="9"/>
      <c r="E855" s="9"/>
      <c r="F855" s="9"/>
      <c r="G855" s="9"/>
      <c r="H855"/>
      <c r="I855"/>
      <c r="J855"/>
      <c r="K855"/>
      <c r="L855" s="880" t="s">
        <v>1087</v>
      </c>
    </row>
    <row r="856" ht="20.1" customHeight="1">
      <c r="A856" s="834" t="s">
        <v>1598</v>
      </c>
      <c r="B856" s="834"/>
      <c r="C856" s="834"/>
      <c r="D856" s="1000" t="n">
        <f aca="false">C200-E202-E205</f>
        <v>0</v>
      </c>
      <c r="E856" s="9" t="s">
        <v>383</v>
      </c>
      <c r="H856" s="588" t="s">
        <v>1599</v>
      </c>
      <c r="I856" s="588"/>
      <c r="J856" s="1100" t="n">
        <f aca="false">D857/B24</f>
        <v>0</v>
      </c>
      <c r="K856" s="107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row>
    <row r="857" ht="20.1" customHeight="1">
      <c r="A857" s="12"/>
      <c r="B857" s="811"/>
      <c r="C857" s="13" t="s">
        <v>1600</v>
      </c>
      <c r="D857" s="589" t="n">
        <f aca="false">D856/4</f>
        <v>0</v>
      </c>
      <c r="E857" s="9" t="s">
        <v>94</v>
      </c>
      <c r="H857" s="811"/>
      <c r="I857" s="811"/>
      <c r="J857" s="29"/>
      <c r="K857" s="1076"/>
      <c r="L857" s="880"/>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row>
    <row r="858" ht="20.1" customHeight="1">
      <c r="A858"/>
      <c r="B858"/>
      <c r="C858"/>
      <c r="D858"/>
      <c r="E858" s="811"/>
      <c r="F858" s="811"/>
      <c r="G858" s="811"/>
      <c r="H858" s="811"/>
      <c r="I858" s="811"/>
      <c r="J858" s="29"/>
      <c r="K858" s="1076"/>
      <c r="L858" s="880"/>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row>
    <row r="859" ht="20.1" customHeight="1">
      <c r="A859" s="567" t="s">
        <v>1601</v>
      </c>
      <c r="B859" s="810"/>
      <c r="C859"/>
      <c r="D859"/>
      <c r="E859" s="811"/>
      <c r="F859" s="811"/>
      <c r="G859" s="811"/>
      <c r="H859" s="811"/>
      <c r="I859" s="811"/>
      <c r="J859" s="29"/>
      <c r="K859" s="1076"/>
      <c r="L859" s="880" t="s">
        <v>1240</v>
      </c>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row>
    <row r="860" ht="19.5" customHeight="1">
      <c r="A860" s="381" t="s">
        <v>1602</v>
      </c>
      <c r="B860" s="381"/>
      <c r="C860" s="381"/>
      <c r="D860" s="585" t="n">
        <v>0</v>
      </c>
      <c r="E860" s="12" t="s">
        <v>94</v>
      </c>
      <c r="F860"/>
      <c r="G860" s="1099" t="s">
        <v>1603</v>
      </c>
      <c r="H860" s="1099"/>
      <c r="I860" s="1099"/>
      <c r="J860" s="1100" t="n">
        <f aca="false">D860/B24</f>
        <v>0</v>
      </c>
      <c r="K860" s="1076"/>
      <c r="L860" s="88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row>
    <row r="861" ht="20.1" customHeight="1">
      <c r="A861" s="9" t="s">
        <v>1604</v>
      </c>
      <c r="B861" s="810"/>
      <c r="C861"/>
      <c r="D861"/>
      <c r="E861" s="811"/>
      <c r="F861" s="811"/>
      <c r="G861" s="811"/>
      <c r="H861" s="811"/>
      <c r="I861" s="811"/>
      <c r="J861" s="29"/>
      <c r="K861" s="1076"/>
      <c r="L861" s="880"/>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row>
    <row r="862" ht="20.1" customHeight="1">
      <c r="B862" s="810"/>
      <c r="C862"/>
      <c r="D862"/>
      <c r="E862" s="811"/>
      <c r="F862" s="811"/>
      <c r="G862" s="811"/>
      <c r="H862" s="811"/>
      <c r="I862" s="811"/>
      <c r="J862" s="29"/>
      <c r="K862" s="1076"/>
      <c r="L862" s="880"/>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row>
    <row r="863" ht="20.1" customHeight="1">
      <c r="B863" s="810"/>
      <c r="C863"/>
      <c r="D863"/>
      <c r="E863" s="811"/>
      <c r="F863" s="811"/>
      <c r="G863" s="811"/>
      <c r="H863" s="811"/>
      <c r="I863" s="811"/>
      <c r="J863" s="29"/>
      <c r="K863" s="1076"/>
      <c r="L863" s="880"/>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row>
    <row r="864" ht="20.1" customHeight="1">
      <c r="A864" s="1071" t="s">
        <v>1605</v>
      </c>
      <c r="B864" s="1071"/>
      <c r="C864" s="1071"/>
      <c r="D864" s="1071"/>
      <c r="E864" s="1071"/>
      <c r="F864" s="1071"/>
      <c r="G864" s="1071"/>
      <c r="H864" s="42"/>
      <c r="I864" s="42"/>
      <c r="J864" s="42"/>
      <c r="K864" s="1072"/>
      <c r="L864" s="1073" t="s">
        <v>1348</v>
      </c>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row>
    <row r="865" ht="20.1" customHeight="1">
      <c r="A865"/>
      <c r="B865" s="810"/>
      <c r="C865"/>
      <c r="D865"/>
      <c r="E865" s="811"/>
      <c r="F865" s="811"/>
      <c r="G865" s="811"/>
      <c r="H865" s="811"/>
      <c r="I865" s="811"/>
      <c r="J865" s="29"/>
      <c r="K865" s="1076"/>
      <c r="L865" s="880"/>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row>
    <row r="866" ht="20.1" customHeight="1">
      <c r="A866" s="12" t="s">
        <v>1606</v>
      </c>
      <c r="B866" s="810"/>
      <c r="C866"/>
      <c r="D866"/>
      <c r="E866" s="811"/>
      <c r="F866" s="811"/>
      <c r="G866" s="811"/>
      <c r="H866" s="811"/>
      <c r="I866" s="811"/>
      <c r="J866" s="29"/>
      <c r="K866" s="1076"/>
      <c r="L866" s="880"/>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row>
    <row r="867" ht="15.75" customHeight="1">
      <c r="A867" s="1095" t="s">
        <v>1607</v>
      </c>
      <c r="B867" s="1095"/>
      <c r="C867" s="1095"/>
      <c r="D867" s="590" t="s">
        <v>254</v>
      </c>
      <c r="E867" s="13" t="s">
        <v>1608</v>
      </c>
      <c r="F867" s="591"/>
      <c r="G867" s="591"/>
      <c r="H867" s="591"/>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row>
    <row r="868" ht="15.75" customHeight="1">
      <c r="A868" s="834"/>
      <c r="B868" s="834"/>
      <c r="C868" s="1095" t="s">
        <v>1609</v>
      </c>
      <c r="D868" s="590" t="s">
        <v>254</v>
      </c>
      <c r="E868" s="13" t="s">
        <v>1608</v>
      </c>
      <c r="F868" s="591"/>
      <c r="G868" s="591"/>
      <c r="H868" s="591"/>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row>
    <row r="869" ht="15.75" customHeight="1">
      <c r="A869" s="1095" t="s">
        <v>1610</v>
      </c>
      <c r="B869" s="1095"/>
      <c r="C869" s="1095"/>
      <c r="D869" s="590" t="s">
        <v>254</v>
      </c>
      <c r="E869" s="13" t="s">
        <v>1608</v>
      </c>
      <c r="F869" s="591"/>
      <c r="G869" s="591"/>
      <c r="H869" s="591"/>
      <c r="K869" s="1076"/>
      <c r="L869" s="880"/>
    </row>
    <row r="870" ht="15.75" customHeight="1">
      <c r="A870" s="1095" t="s">
        <v>1611</v>
      </c>
      <c r="B870" s="1095"/>
      <c r="C870" s="1095"/>
      <c r="D870" s="590" t="s">
        <v>254</v>
      </c>
      <c r="E870" s="13" t="s">
        <v>1608</v>
      </c>
      <c r="F870" s="591"/>
      <c r="G870" s="591"/>
      <c r="H870" s="591"/>
      <c r="K870" s="1076"/>
      <c r="L870" s="880"/>
    </row>
    <row r="871" ht="15.75" customHeight="1">
      <c r="A871" s="1095" t="s">
        <v>679</v>
      </c>
      <c r="B871" s="1095"/>
      <c r="C871" s="1095"/>
      <c r="D871" s="590" t="s">
        <v>254</v>
      </c>
      <c r="G871" s="12"/>
      <c r="H871" s="9"/>
      <c r="I871" s="12"/>
      <c r="J871" s="10"/>
      <c r="K871" s="1076"/>
      <c r="L871" s="880"/>
      <c r="M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row>
    <row r="872" ht="15" customHeight="1">
      <c r="A872" s="12"/>
      <c r="F872" s="9"/>
      <c r="G872" s="12"/>
      <c r="K872" s="1076"/>
      <c r="L872" s="880"/>
    </row>
    <row r="873" ht="15" customHeight="1">
      <c r="A873" s="12"/>
      <c r="F873" s="9"/>
      <c r="G873" s="12"/>
      <c r="K873" s="1076"/>
      <c r="L873" s="880"/>
    </row>
    <row r="874" ht="15.75" customHeight="1">
      <c r="A874" s="1071" t="s">
        <v>1612</v>
      </c>
      <c r="B874" s="1071"/>
      <c r="C874" s="1071"/>
      <c r="D874" s="1071"/>
      <c r="E874" s="1071"/>
      <c r="F874" s="1071"/>
      <c r="G874" s="1071"/>
      <c r="H874" s="42"/>
      <c r="I874" s="42"/>
      <c r="J874" s="42"/>
      <c r="K874" s="1072"/>
      <c r="L874" s="1073" t="s">
        <v>1613</v>
      </c>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row>
    <row r="875" ht="15.75" customHeight="1">
      <c r="A875" s="378"/>
      <c r="B875" s="378"/>
      <c r="C875" s="378"/>
      <c r="D875" s="378"/>
      <c r="K875" s="1076"/>
      <c r="L875" s="880"/>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row>
    <row r="876" ht="15" customHeight="1">
      <c r="A876" s="12" t="s">
        <v>689</v>
      </c>
      <c r="B876" s="37"/>
      <c r="C876" s="37"/>
      <c r="E876" s="37"/>
      <c r="F876" s="37"/>
      <c r="G876" s="37"/>
      <c r="H876" s="37"/>
      <c r="I876" s="9"/>
      <c r="J876" s="10"/>
      <c r="K876" s="1076"/>
      <c r="L876" s="880"/>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row>
    <row r="877" ht="15" customHeight="1">
      <c r="A877" s="592" t="s">
        <v>1614</v>
      </c>
      <c r="B877" s="593"/>
      <c r="C877" s="593"/>
      <c r="D877" s="593"/>
      <c r="E877" s="593"/>
      <c r="F877" s="950" t="s">
        <v>254</v>
      </c>
      <c r="G877" s="594" t="n">
        <f aca="false">IF(F877="oui",2,0)</f>
        <v>0</v>
      </c>
      <c r="J877" s="9"/>
      <c r="K877" s="1076"/>
      <c r="L877" s="880"/>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row>
    <row r="878" ht="18.75" customHeight="1">
      <c r="A878" s="593" t="s">
        <v>1615</v>
      </c>
      <c r="B878" s="593"/>
      <c r="C878" s="593"/>
      <c r="D878" s="593"/>
      <c r="E878" s="593"/>
      <c r="F878" s="950" t="s">
        <v>253</v>
      </c>
      <c r="G878" s="594" t="n">
        <f aca="false">IF(F878="oui",2,0)</f>
        <v>2</v>
      </c>
      <c r="J878" s="9"/>
      <c r="K878" s="1076"/>
      <c r="L878" s="880"/>
      <c r="M878" s="246"/>
    </row>
    <row r="879" ht="15" customHeight="1">
      <c r="A879" s="593" t="s">
        <v>1616</v>
      </c>
      <c r="B879" s="595"/>
      <c r="C879" s="9"/>
      <c r="D879" s="9"/>
      <c r="E879" s="9"/>
      <c r="F879" s="950" t="s">
        <v>254</v>
      </c>
      <c r="G879" s="594" t="n">
        <f aca="false">IF(F879="oui",2,0)</f>
        <v>0</v>
      </c>
      <c r="J879" s="9"/>
      <c r="K879" s="1076"/>
      <c r="L879" s="880"/>
      <c r="M879" s="44"/>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row>
    <row r="880" ht="18.75" customHeight="1">
      <c r="A880" s="592" t="s">
        <v>1617</v>
      </c>
      <c r="B880" s="595"/>
      <c r="C880" s="9"/>
      <c r="D880" s="9"/>
      <c r="E880" s="9"/>
      <c r="F880" s="950" t="s">
        <v>254</v>
      </c>
      <c r="G880" s="594" t="n">
        <f aca="false">IF(F880="oui",2,0)</f>
        <v>0</v>
      </c>
      <c r="J880" s="9"/>
      <c r="K880" s="1076"/>
      <c r="L880" s="880"/>
      <c r="M880" s="246"/>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row>
    <row r="881" ht="15" customHeight="1">
      <c r="A881" s="14" t="s">
        <v>1618</v>
      </c>
      <c r="F881" s="950" t="s">
        <v>254</v>
      </c>
      <c r="G881" s="596" t="n">
        <f aca="false">IF(F881="oui",2,0)</f>
        <v>0</v>
      </c>
      <c r="J881" s="9"/>
      <c r="K881" s="1076"/>
      <c r="L881" s="880"/>
      <c r="M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row>
    <row r="882" ht="29.25" customHeight="1">
      <c r="A882" s="597" t="s">
        <v>1619</v>
      </c>
      <c r="B882" s="597"/>
      <c r="C882" s="597"/>
      <c r="D882" s="597"/>
      <c r="E882" s="597"/>
      <c r="F882" s="950" t="s">
        <v>254</v>
      </c>
      <c r="G882" s="594" t="n">
        <f aca="false">IF(F882="oui",2,0)</f>
        <v>0</v>
      </c>
      <c r="J882" s="9"/>
      <c r="K882" s="1076"/>
      <c r="L882" s="880"/>
      <c r="M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row>
    <row r="883" ht="15" customHeight="1">
      <c r="A883" s="37" t="s">
        <v>1620</v>
      </c>
      <c r="B883" s="598"/>
      <c r="C883" s="9"/>
      <c r="D883" s="9"/>
      <c r="E883" s="9"/>
      <c r="F883" s="950" t="s">
        <v>254</v>
      </c>
      <c r="G883" s="594" t="n">
        <f aca="false">IF(F883="oui",2,0)</f>
        <v>0</v>
      </c>
      <c r="J883" s="9"/>
      <c r="K883" s="1076"/>
      <c r="L883" s="880"/>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row>
    <row r="884" ht="15.75" customHeight="1">
      <c r="A884" s="9" t="s">
        <v>1621</v>
      </c>
      <c r="B884" s="591"/>
      <c r="C884" s="591"/>
      <c r="D884" s="591"/>
      <c r="E884" s="591"/>
      <c r="F884" s="950"/>
      <c r="G884" s="594" t="n">
        <f aca="false">IF(F884="oui",2,0)</f>
        <v>0</v>
      </c>
      <c r="J884" s="9"/>
      <c r="K884" s="1076"/>
      <c r="L884" s="880"/>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row>
    <row r="885" ht="15.75" customHeight="1">
      <c r="A885" s="246"/>
      <c r="B885" s="599"/>
      <c r="C885" s="246"/>
      <c r="D885" s="246"/>
      <c r="E885" s="246"/>
      <c r="F885" s="481" t="n">
        <f aca="false">MIN(6,SUM(G877:G884))</f>
        <v>2</v>
      </c>
      <c r="G885" s="246"/>
      <c r="J885" s="10"/>
      <c r="K885" s="1076"/>
      <c r="L885" s="880"/>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row>
    <row r="886" ht="15" customHeight="1">
      <c r="J886" s="9"/>
      <c r="K886" s="1076"/>
      <c r="L886" s="880"/>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row>
    <row r="887" ht="15" customHeight="1">
      <c r="A887" s="246"/>
      <c r="B887" s="599"/>
      <c r="C887" s="246"/>
      <c r="D887" s="246"/>
      <c r="E887" s="246"/>
      <c r="F887" s="246"/>
      <c r="G887" s="246"/>
      <c r="H887" s="246"/>
      <c r="I887" s="1067"/>
      <c r="J887" s="10"/>
      <c r="K887" s="1076"/>
      <c r="L887" s="880"/>
    </row>
    <row r="888" ht="15" customHeight="1">
      <c r="A888" s="1071" t="s">
        <v>1622</v>
      </c>
      <c r="B888" s="1071"/>
      <c r="C888" s="1071"/>
      <c r="D888" s="1071"/>
      <c r="E888" s="1071"/>
      <c r="F888" s="1071"/>
      <c r="G888" s="1071"/>
      <c r="H888" s="42"/>
      <c r="I888" s="42"/>
      <c r="J888" s="42"/>
      <c r="K888" s="1072"/>
      <c r="L888" s="1073" t="s">
        <v>1623</v>
      </c>
    </row>
    <row r="889" ht="15" customHeight="1">
      <c r="J889" s="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row>
    <row r="890" ht="15" customHeight="1">
      <c r="A890" s="820" t="s">
        <v>1624</v>
      </c>
      <c r="B890" s="820"/>
      <c r="C890" s="820"/>
      <c r="D890" s="820"/>
      <c r="E890" s="600" t="s">
        <v>254</v>
      </c>
      <c r="F890" s="12"/>
      <c r="G890" s="9"/>
      <c r="H890" s="246"/>
      <c r="I890" s="1067"/>
      <c r="J890" s="10"/>
      <c r="K890" s="1076"/>
      <c r="L890" s="88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row>
    <row r="891" ht="28.5" customHeight="1">
      <c r="A891" s="601" t="s">
        <v>1625</v>
      </c>
      <c r="B891" s="601"/>
      <c r="C891" s="601"/>
      <c r="D891" s="601"/>
      <c r="E891" s="601"/>
      <c r="F891" s="601"/>
      <c r="G891" s="14"/>
      <c r="H891" s="14"/>
      <c r="I891" s="14"/>
      <c r="J891" s="14"/>
      <c r="K891" s="1076"/>
      <c r="L891" s="880"/>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row>
    <row r="892" ht="20.1" customHeight="1">
      <c r="A892" s="14"/>
      <c r="B892" s="14"/>
      <c r="C892" s="14"/>
      <c r="D892" s="14"/>
      <c r="E892" s="14"/>
      <c r="F892" s="14"/>
      <c r="G892" s="14"/>
      <c r="H892" s="14"/>
      <c r="I892" s="14"/>
      <c r="J892" s="14"/>
      <c r="K892" s="1076"/>
      <c r="L892" s="880"/>
    </row>
    <row r="893" ht="15.75" customHeight="1">
      <c r="A893" s="820" t="s">
        <v>744</v>
      </c>
      <c r="B893" s="820"/>
      <c r="C893" s="820"/>
      <c r="D893" s="820"/>
      <c r="E893" s="600" t="s">
        <v>254</v>
      </c>
      <c r="F893" s="12"/>
      <c r="G893" s="9"/>
      <c r="H893"/>
      <c r="I893"/>
      <c r="K893" s="1076"/>
      <c r="L893" s="880"/>
      <c r="M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row>
    <row r="894" ht="27" customHeight="1">
      <c r="A894" s="601" t="s">
        <v>745</v>
      </c>
      <c r="B894" s="601"/>
      <c r="C894" s="601"/>
      <c r="D894" s="601"/>
      <c r="E894" s="601"/>
      <c r="F894" s="601"/>
      <c r="G894" s="427"/>
      <c r="H894" s="1067"/>
      <c r="I894" s="1067"/>
      <c r="J894" s="1067"/>
      <c r="K894" s="1076"/>
      <c r="L894" s="880"/>
      <c r="M894" s="40"/>
    </row>
    <row r="895" ht="15.75" customHeight="1">
      <c r="A895"/>
      <c r="B895"/>
      <c r="C895"/>
      <c r="D895"/>
      <c r="E895"/>
      <c r="F895"/>
      <c r="G895"/>
      <c r="H895" s="811"/>
      <c r="I895" s="811"/>
      <c r="J895"/>
      <c r="K895" s="1076"/>
      <c r="L895" s="880"/>
      <c r="M895" s="40"/>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row>
    <row r="896" ht="15.75" customHeight="1">
      <c r="A896" s="297" t="s">
        <v>1626</v>
      </c>
      <c r="B896" s="297"/>
      <c r="C896" s="297"/>
      <c r="D896" s="297"/>
      <c r="F896" s="12"/>
      <c r="G896" s="9"/>
      <c r="H896" s="811"/>
      <c r="I896" s="811"/>
      <c r="M896" s="40"/>
    </row>
    <row r="897" ht="15" customHeight="1">
      <c r="A897" s="297"/>
      <c r="B897" s="297"/>
      <c r="C897" s="297"/>
      <c r="D897" s="297"/>
      <c r="E897" s="600" t="s">
        <v>1627</v>
      </c>
      <c r="F897"/>
      <c r="G897"/>
      <c r="H897" s="811"/>
      <c r="I897" s="811"/>
      <c r="K897" s="1076"/>
      <c r="L897" s="880"/>
      <c r="M897" s="40"/>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row>
    <row r="898" ht="15" customHeight="1">
      <c r="A898"/>
      <c r="B898"/>
      <c r="C898"/>
      <c r="D898"/>
      <c r="E898"/>
      <c r="F898" s="22"/>
      <c r="G898"/>
      <c r="H898"/>
      <c r="I898"/>
      <c r="J898" s="602"/>
      <c r="K898" s="1076"/>
      <c r="L898" s="880"/>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row>
    <row r="899" ht="15.75" customHeight="1">
      <c r="A899" s="1071" t="s">
        <v>1628</v>
      </c>
      <c r="B899" s="1071"/>
      <c r="C899" s="1071"/>
      <c r="D899" s="1071"/>
      <c r="E899" s="1071"/>
      <c r="F899" s="1071"/>
      <c r="G899" s="1071"/>
      <c r="H899" s="42"/>
      <c r="I899" s="42"/>
      <c r="J899" s="42"/>
      <c r="K899" s="1072"/>
      <c r="L899" s="1073" t="s">
        <v>1629</v>
      </c>
      <c r="M899" s="44"/>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row>
    <row r="900" ht="15.75" customHeight="1">
      <c r="A900" s="378"/>
      <c r="B900" s="378"/>
      <c r="C900" s="9"/>
      <c r="D900" s="9"/>
      <c r="E900" s="811"/>
      <c r="F900" s="811"/>
      <c r="G900" s="811"/>
      <c r="J900"/>
      <c r="K900" s="1076"/>
      <c r="L900" s="880"/>
      <c r="M900" s="44"/>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row>
    <row r="901" ht="20.1" customHeight="1">
      <c r="A901" s="12" t="s">
        <v>683</v>
      </c>
      <c r="B901"/>
      <c r="C901"/>
      <c r="D901"/>
      <c r="E901" s="1105" t="s">
        <v>1346</v>
      </c>
      <c r="O901" s="9"/>
    </row>
    <row r="902" ht="110.25" customHeight="1">
      <c r="A902" s="603" t="s">
        <v>1630</v>
      </c>
      <c r="B902" s="603"/>
      <c r="C902" s="603"/>
      <c r="D902" s="603"/>
      <c r="E902" s="603"/>
      <c r="F902" s="603"/>
      <c r="H902" s="12"/>
      <c r="K902" s="1076"/>
      <c r="L902" s="880"/>
    </row>
    <row r="903" ht="15.75" customHeight="1">
      <c r="K903" s="1076"/>
      <c r="L903" s="880"/>
    </row>
    <row r="904" ht="15.75" customHeight="1">
      <c r="H904" s="12"/>
      <c r="K904" s="1076"/>
      <c r="L904" s="880"/>
    </row>
    <row r="905" ht="15.75" customHeight="1">
      <c r="A905" s="604" t="s">
        <v>681</v>
      </c>
      <c r="B905" s="604"/>
      <c r="C905" s="604"/>
      <c r="D905" s="604"/>
      <c r="E905" s="1105" t="s">
        <v>254</v>
      </c>
      <c r="H905" s="605"/>
      <c r="I905" s="605"/>
      <c r="K905" s="1076"/>
      <c r="L905" s="880"/>
    </row>
    <row r="906" ht="15.75" customHeight="1">
      <c r="A906" s="606" t="s">
        <v>682</v>
      </c>
      <c r="B906" s="606"/>
      <c r="C906" s="606"/>
      <c r="D906" s="606"/>
      <c r="E906" s="606"/>
      <c r="F906" s="606"/>
      <c r="H906" s="605"/>
      <c r="I906" s="607"/>
      <c r="K906" s="44"/>
      <c r="L906" s="44"/>
    </row>
    <row r="907" ht="15.75" customHeight="1">
      <c r="A907" s="12"/>
      <c r="B907"/>
      <c r="C907"/>
      <c r="D907"/>
      <c r="E907" s="811"/>
      <c r="F907" s="9"/>
      <c r="G907"/>
      <c r="H907" s="605"/>
      <c r="I907" s="607"/>
      <c r="K907" s="1076"/>
      <c r="L907" s="880"/>
    </row>
    <row r="908" ht="15.75" customHeight="1">
      <c r="H908"/>
      <c r="I908" s="607"/>
      <c r="K908" s="1076"/>
      <c r="L908" s="880"/>
    </row>
    <row r="909" ht="15.75" customHeight="1">
      <c r="A909" s="1071" t="s">
        <v>1631</v>
      </c>
      <c r="B909" s="1071"/>
      <c r="C909" s="1071"/>
      <c r="D909" s="1071"/>
      <c r="E909" s="1071"/>
      <c r="F909" s="1071"/>
      <c r="G909" s="1071"/>
      <c r="H909" s="42"/>
      <c r="I909" s="42"/>
      <c r="J909" s="42"/>
      <c r="K909" s="1072"/>
      <c r="L909" s="1073" t="s">
        <v>1613</v>
      </c>
    </row>
    <row r="910" ht="15.75" customHeight="1">
      <c r="H910"/>
      <c r="I910" s="811"/>
      <c r="J910" s="9"/>
      <c r="K910" s="1076"/>
      <c r="L910" s="880"/>
    </row>
    <row r="911" ht="15.75" customHeight="1">
      <c r="A911" s="12" t="s">
        <v>1632</v>
      </c>
      <c r="K911" s="1076"/>
      <c r="L911" s="880"/>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row>
    <row r="912" ht="15.75" customHeight="1">
      <c r="A912" s="497" t="s">
        <v>720</v>
      </c>
      <c r="B912" s="497"/>
      <c r="C912" s="1122" t="s">
        <v>254</v>
      </c>
      <c r="D912" s="13" t="s">
        <v>1633</v>
      </c>
      <c r="E912" s="591"/>
      <c r="F912" s="591"/>
      <c r="G912"/>
      <c r="H912"/>
      <c r="I912"/>
      <c r="K912" s="1076"/>
      <c r="L912" s="880"/>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row>
    <row r="913" ht="15.75" customHeight="1">
      <c r="A913" s="608" t="s">
        <v>1634</v>
      </c>
      <c r="B913" s="608"/>
      <c r="D913"/>
      <c r="E913"/>
      <c r="F913"/>
      <c r="G913"/>
      <c r="H913"/>
      <c r="I913"/>
      <c r="K913" s="1076"/>
      <c r="L913" s="880"/>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row>
    <row r="914" ht="15.75" customHeight="1">
      <c r="A914" s="497" t="s">
        <v>718</v>
      </c>
      <c r="B914" s="497"/>
      <c r="C914" s="1122" t="s">
        <v>254</v>
      </c>
      <c r="D914"/>
      <c r="E914"/>
      <c r="F914"/>
      <c r="G914"/>
      <c r="H914"/>
      <c r="I914"/>
      <c r="K914" s="1076"/>
      <c r="L914" s="880"/>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row>
    <row r="915" ht="15.75" customHeight="1">
      <c r="A915" s="497" t="s">
        <v>719</v>
      </c>
      <c r="B915" s="497"/>
      <c r="C915" s="1122" t="s">
        <v>254</v>
      </c>
      <c r="D915"/>
      <c r="E915" s="811"/>
      <c r="F915" s="811"/>
      <c r="G915" s="811"/>
      <c r="H915" s="811"/>
      <c r="I915" s="811"/>
      <c r="J915" s="29"/>
      <c r="K915" s="1076"/>
      <c r="L915" s="880"/>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row>
    <row r="916" ht="20.1" customHeight="1">
      <c r="A916"/>
      <c r="B916"/>
      <c r="C916"/>
      <c r="D916"/>
      <c r="E916" s="811"/>
      <c r="F916" s="811"/>
      <c r="G916" s="811"/>
      <c r="H916" s="811"/>
      <c r="I916" s="811"/>
      <c r="J916" s="29"/>
      <c r="K916" s="1076"/>
      <c r="L916" s="880"/>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row>
    <row r="917" ht="16.5" customHeight="1">
      <c r="A917" s="1071" t="s">
        <v>1635</v>
      </c>
      <c r="B917" s="1071"/>
      <c r="C917" s="1071"/>
      <c r="D917" s="1071"/>
      <c r="E917" s="1071"/>
      <c r="F917" s="1071"/>
      <c r="G917" s="1071"/>
      <c r="H917" s="42"/>
      <c r="I917" s="42"/>
      <c r="J917" s="42"/>
      <c r="K917" s="1072"/>
      <c r="L917" s="1073" t="s">
        <v>1636</v>
      </c>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row>
    <row r="918" ht="16.5" customHeight="1">
      <c r="A918" s="378"/>
      <c r="B918" s="378"/>
      <c r="C918" s="378"/>
      <c r="D918" s="378"/>
      <c r="E918" s="378"/>
      <c r="F918" s="378"/>
      <c r="G918" s="378"/>
      <c r="H918"/>
      <c r="I918"/>
      <c r="J918"/>
      <c r="K918" s="1076"/>
      <c r="L918" s="880"/>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row>
    <row r="919" ht="15.75" customHeight="1">
      <c r="A919" s="12" t="s">
        <v>956</v>
      </c>
      <c r="B919"/>
      <c r="C919"/>
      <c r="D919" s="609" t="n">
        <v>0</v>
      </c>
      <c r="E919" s="20" t="s">
        <v>1637</v>
      </c>
      <c r="F919"/>
      <c r="G919" s="610" t="s">
        <v>1638</v>
      </c>
      <c r="H919" s="610"/>
      <c r="I919" s="610"/>
      <c r="J919" s="1100" t="n">
        <f aca="false">IF(D919=0,0,D919/E1304)</f>
        <v>0</v>
      </c>
      <c r="K919" s="1076"/>
      <c r="L919" s="880"/>
      <c r="M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row>
    <row r="920" ht="15" customHeight="1">
      <c r="A920" s="12"/>
      <c r="D920" s="811"/>
      <c r="F920" s="811"/>
      <c r="G920" s="811"/>
      <c r="H920" s="811"/>
      <c r="I920" s="811"/>
      <c r="J920" s="29"/>
      <c r="K920" s="1076"/>
      <c r="L920" s="880"/>
    </row>
    <row r="921" ht="15.75" customHeight="1">
      <c r="B921"/>
      <c r="C921"/>
      <c r="D921" s="12"/>
      <c r="E921"/>
      <c r="F921"/>
      <c r="G921"/>
      <c r="H921"/>
      <c r="I921"/>
      <c r="J921" s="9"/>
      <c r="K921" s="1076"/>
      <c r="L921" s="880"/>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row>
    <row r="922" ht="15.75" customHeight="1">
      <c r="A922" s="12" t="s">
        <v>957</v>
      </c>
      <c r="C922" s="834" t="s">
        <v>958</v>
      </c>
      <c r="D922" s="609" t="s">
        <v>254</v>
      </c>
      <c r="E922" s="13" t="s">
        <v>1639</v>
      </c>
      <c r="F922" s="591"/>
      <c r="G922" s="591"/>
      <c r="J922" s="9"/>
    </row>
    <row r="923" ht="15.75" customHeight="1">
      <c r="C923" s="834" t="s">
        <v>959</v>
      </c>
      <c r="D923" s="609" t="s">
        <v>254</v>
      </c>
      <c r="F923" s="591"/>
      <c r="G923" s="591"/>
      <c r="J923" s="9"/>
    </row>
    <row r="924" ht="15.75" customHeight="1">
      <c r="D924"/>
      <c r="G924" s="9"/>
      <c r="H924" s="9"/>
      <c r="J924" s="9"/>
    </row>
    <row r="925" ht="30.75" customHeight="1">
      <c r="A925" s="604" t="s">
        <v>960</v>
      </c>
      <c r="B925" s="604"/>
      <c r="C925" s="604"/>
      <c r="D925" s="604"/>
      <c r="E925" s="611" t="s">
        <v>254</v>
      </c>
      <c r="F925" s="13" t="s">
        <v>1639</v>
      </c>
      <c r="G925" s="591"/>
      <c r="H925" s="591"/>
      <c r="J925" s="9"/>
    </row>
    <row r="926" ht="15" customHeight="1">
      <c r="A926"/>
      <c r="B926"/>
      <c r="C926"/>
      <c r="D926"/>
      <c r="E926"/>
      <c r="F926"/>
      <c r="G926"/>
      <c r="H926"/>
      <c r="J926" s="9"/>
    </row>
    <row r="927" ht="15" customHeight="1">
      <c r="A927"/>
      <c r="B927"/>
      <c r="C927"/>
      <c r="D927"/>
      <c r="E927"/>
      <c r="F927"/>
      <c r="G927"/>
      <c r="H927"/>
      <c r="I927"/>
      <c r="J927" s="9"/>
      <c r="K927"/>
      <c r="L927"/>
      <c r="M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row>
    <row r="928" ht="16.5" customHeight="1">
      <c r="A928" s="1071" t="s">
        <v>1640</v>
      </c>
      <c r="B928" s="1071"/>
      <c r="C928" s="1071"/>
      <c r="D928" s="1071"/>
      <c r="E928" s="1071"/>
      <c r="F928" s="1071"/>
      <c r="G928" s="1071"/>
      <c r="H928" s="42"/>
      <c r="I928" s="42"/>
      <c r="J928" s="42"/>
      <c r="K928" s="1072"/>
      <c r="L928" s="1073" t="s">
        <v>1641</v>
      </c>
      <c r="M928" s="44"/>
    </row>
    <row r="929" ht="16.5" customHeight="1">
      <c r="A929" s="378"/>
      <c r="B929" s="378"/>
      <c r="C929" s="378"/>
      <c r="D929" s="378"/>
      <c r="E929" s="378"/>
      <c r="F929" s="378"/>
      <c r="G929" s="378"/>
      <c r="J929" s="9"/>
      <c r="K929" s="1076"/>
      <c r="L929" s="880"/>
      <c r="M929" s="44"/>
    </row>
    <row r="930" ht="16.5" customHeight="1">
      <c r="A930" s="378" t="s">
        <v>1642</v>
      </c>
      <c r="B930" s="378"/>
      <c r="C930" s="378"/>
      <c r="D930" s="378"/>
      <c r="E930" s="378"/>
      <c r="F930" s="378"/>
      <c r="G930" s="378"/>
      <c r="J930" s="9"/>
      <c r="K930" s="1076"/>
      <c r="L930" s="880"/>
      <c r="M930" s="44"/>
    </row>
    <row r="931" ht="15.75" customHeight="1">
      <c r="A931" s="12" t="s">
        <v>1643</v>
      </c>
      <c r="D931" s="527" t="n">
        <f aca="false">IF(G257=-1,"erreur",IF(B19="0 - pas d'élevage","NC",((G257+I315-C200-I314-I175+I177+E202)/(G257+I315))))</f>
        <v>0</v>
      </c>
      <c r="J931"/>
      <c r="K931"/>
      <c r="L931" t="s">
        <v>1087</v>
      </c>
      <c r="M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row>
    <row r="932" ht="15.75" customHeight="1">
      <c r="A932" s="12"/>
      <c r="J932"/>
      <c r="K932"/>
      <c r="L932"/>
      <c r="M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row>
    <row r="933" ht="15.75" customHeight="1">
      <c r="A933" s="12" t="s">
        <v>1644</v>
      </c>
      <c r="D933" s="527" t="n">
        <f aca="false">IF(E370=-1,"erreur",IF(E370=0,"NC",IF(D370=0,1,((E370-D370+F373)/E370))))</f>
        <v>1</v>
      </c>
      <c r="J933" s="9"/>
      <c r="L933" s="880" t="s">
        <v>1211</v>
      </c>
      <c r="M933" s="44"/>
    </row>
    <row r="934" ht="15.75" customHeight="1">
      <c r="A934" s="12" t="s">
        <v>451</v>
      </c>
      <c r="B934" s="12"/>
      <c r="D934" s="609" t="s">
        <v>254</v>
      </c>
      <c r="I934" s="1067"/>
      <c r="J934" s="1067"/>
      <c r="K934" s="1067"/>
      <c r="L934" s="880"/>
      <c r="M934" s="44"/>
    </row>
    <row r="935" ht="15.75" customHeight="1">
      <c r="A935" s="12"/>
      <c r="B935" s="12"/>
      <c r="I935" s="1067"/>
      <c r="J935" s="1067"/>
      <c r="K935" s="1067"/>
      <c r="L935" s="880"/>
      <c r="M935" s="44"/>
    </row>
    <row r="936" ht="15.75" customHeight="1">
      <c r="A936" s="12" t="s">
        <v>1645</v>
      </c>
      <c r="D936" s="527" t="str">
        <f aca="false">IF(C150=0,"non","oui")</f>
        <v>oui</v>
      </c>
      <c r="I936"/>
      <c r="J936"/>
      <c r="K936" s="44"/>
      <c r="L936" s="880" t="s">
        <v>1041</v>
      </c>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row>
    <row r="937" ht="15.75" customHeight="1">
      <c r="A937" s="12" t="s">
        <v>485</v>
      </c>
      <c r="B937"/>
      <c r="C937"/>
      <c r="D937" s="386" t="s">
        <v>254</v>
      </c>
      <c r="E937" s="811"/>
      <c r="F937"/>
      <c r="H937"/>
      <c r="I937"/>
      <c r="J937" s="9"/>
      <c r="K937" s="1076"/>
      <c r="L937" s="880" t="s">
        <v>1319</v>
      </c>
      <c r="M937"/>
      <c r="O937" s="44"/>
      <c r="P937" s="44"/>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row>
    <row r="938" ht="15" customHeight="1">
      <c r="A938" s="427" t="s">
        <v>486</v>
      </c>
      <c r="B938" s="591"/>
      <c r="C938" s="591"/>
      <c r="D938" s="591"/>
      <c r="E938" s="591"/>
      <c r="F938" s="591"/>
      <c r="G938" s="591"/>
      <c r="J938" s="9"/>
      <c r="K938" s="1076"/>
      <c r="L938" s="880"/>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row>
    <row r="939" ht="15.75" customHeight="1">
      <c r="A939"/>
      <c r="B939"/>
      <c r="C939"/>
      <c r="J939" s="9"/>
      <c r="K939" s="1076"/>
      <c r="L939" s="880"/>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row>
    <row r="940" ht="15.75" customHeight="1">
      <c r="A940" s="12" t="s">
        <v>1646</v>
      </c>
      <c r="B940"/>
      <c r="C940"/>
      <c r="D940" s="481" t="str">
        <f aca="false">H670</f>
        <v>oui</v>
      </c>
      <c r="J940" s="9"/>
      <c r="K940" s="1076"/>
      <c r="L940" s="880" t="s">
        <v>1501</v>
      </c>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row>
    <row r="941" ht="15.75" customHeight="1">
      <c r="A941" s="12"/>
      <c r="B941"/>
      <c r="C941"/>
      <c r="J941" s="9"/>
      <c r="K941" s="1076"/>
      <c r="L941" s="880"/>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row>
    <row r="942" ht="15.75" customHeight="1">
      <c r="A942" s="12"/>
      <c r="B942"/>
      <c r="C942"/>
      <c r="J942" s="9"/>
      <c r="K942" s="1076"/>
      <c r="L942" s="880"/>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row>
    <row r="943" ht="15.75" customHeight="1">
      <c r="A943" s="378" t="s">
        <v>1647</v>
      </c>
      <c r="B943"/>
      <c r="C943"/>
      <c r="J943" s="9"/>
      <c r="K943" s="1076"/>
      <c r="L943" s="880" t="s">
        <v>1648</v>
      </c>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row>
    <row r="944" ht="15.75" customHeight="1">
      <c r="A944" s="821" t="s">
        <v>1649</v>
      </c>
      <c r="E944" s="386" t="s">
        <v>254</v>
      </c>
      <c r="F944" s="40"/>
      <c r="J944" s="9"/>
      <c r="K944" s="1076"/>
      <c r="L944" s="880"/>
    </row>
    <row r="945" ht="15.75" customHeight="1">
      <c r="A945" s="821" t="s">
        <v>1650</v>
      </c>
      <c r="B945"/>
      <c r="C945"/>
      <c r="D945"/>
      <c r="E945" s="386" t="s">
        <v>254</v>
      </c>
      <c r="F945"/>
      <c r="G945"/>
      <c r="J945" s="9"/>
      <c r="K945" s="1076"/>
      <c r="L945" s="880"/>
    </row>
    <row r="946" ht="15.75" customHeight="1">
      <c r="A946" s="612" t="s">
        <v>562</v>
      </c>
      <c r="B946"/>
      <c r="C946"/>
      <c r="D946"/>
      <c r="E946"/>
      <c r="F946"/>
      <c r="G946"/>
      <c r="J946" s="9"/>
      <c r="K946" s="1076"/>
      <c r="L946" s="880"/>
    </row>
    <row r="947" ht="15.75" customHeight="1">
      <c r="A947" s="821" t="s">
        <v>1651</v>
      </c>
      <c r="B947"/>
      <c r="C947"/>
      <c r="D947"/>
      <c r="E947" s="386" t="s">
        <v>253</v>
      </c>
      <c r="F947"/>
      <c r="G947"/>
      <c r="J947" s="9"/>
      <c r="K947" s="1076"/>
      <c r="L947" s="880"/>
    </row>
    <row r="948" ht="15.75" customHeight="1">
      <c r="A948" s="821" t="s">
        <v>1652</v>
      </c>
      <c r="B948"/>
      <c r="C948"/>
      <c r="D948"/>
      <c r="E948" s="386" t="s">
        <v>253</v>
      </c>
      <c r="F948"/>
      <c r="G948"/>
      <c r="J948" s="9"/>
      <c r="K948" s="1076"/>
      <c r="L948" s="880"/>
    </row>
    <row r="949" ht="15.75" customHeight="1">
      <c r="A949"/>
      <c r="B949"/>
      <c r="C949"/>
      <c r="D949"/>
      <c r="E949"/>
      <c r="F949"/>
      <c r="G949"/>
      <c r="J949" s="9"/>
      <c r="K949" s="1076"/>
      <c r="L949" s="880"/>
    </row>
    <row r="950" ht="15.75" customHeight="1">
      <c r="A950" s="378" t="s">
        <v>1653</v>
      </c>
      <c r="B950"/>
      <c r="C950"/>
      <c r="D950"/>
      <c r="E950"/>
      <c r="F950"/>
      <c r="G950"/>
      <c r="J950" s="9"/>
      <c r="K950" s="1076"/>
      <c r="L950" s="880" t="s">
        <v>1654</v>
      </c>
    </row>
    <row r="951" ht="15.75" customHeight="1">
      <c r="A951" s="12" t="s">
        <v>580</v>
      </c>
      <c r="B951"/>
      <c r="C951"/>
      <c r="D951" s="386" t="s">
        <v>254</v>
      </c>
      <c r="E951"/>
      <c r="F951" s="44"/>
      <c r="J951" s="9"/>
      <c r="K951" s="1076"/>
      <c r="L951" s="880"/>
    </row>
    <row r="952" ht="15.75" customHeight="1">
      <c r="A952" s="12" t="s">
        <v>713</v>
      </c>
      <c r="B952"/>
      <c r="C952"/>
      <c r="D952" s="386" t="s">
        <v>254</v>
      </c>
      <c r="E952"/>
      <c r="F952"/>
      <c r="J952" s="9"/>
      <c r="K952" s="1076"/>
      <c r="L952" s="880"/>
    </row>
    <row r="953" ht="15.75" customHeight="1">
      <c r="A953" s="12" t="s">
        <v>714</v>
      </c>
      <c r="B953"/>
      <c r="C953"/>
      <c r="D953" s="386" t="s">
        <v>254</v>
      </c>
      <c r="E953"/>
      <c r="F953"/>
      <c r="G953"/>
      <c r="K953" s="1076"/>
      <c r="L953" s="880"/>
      <c r="M953"/>
      <c r="O953" s="44"/>
      <c r="P953" s="44"/>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row>
    <row r="954" ht="15.75" customHeight="1">
      <c r="E954"/>
      <c r="F954"/>
      <c r="H954"/>
      <c r="I954"/>
      <c r="J954"/>
      <c r="K954" s="1076"/>
      <c r="L954" s="880"/>
      <c r="M954" s="44"/>
      <c r="N954"/>
      <c r="O954" s="44"/>
      <c r="P954" s="4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row>
    <row r="955" ht="15" customHeight="1">
      <c r="K955" s="44"/>
      <c r="L955" s="44"/>
      <c r="M955" s="44"/>
    </row>
    <row r="956" ht="16.5" customHeight="1">
      <c r="A956" s="1071" t="s">
        <v>1655</v>
      </c>
      <c r="B956" s="1071"/>
      <c r="C956" s="1071"/>
      <c r="D956" s="1071"/>
      <c r="E956" s="1071"/>
      <c r="F956" s="1071"/>
      <c r="G956" s="1071"/>
      <c r="H956" s="42"/>
      <c r="I956" s="42"/>
      <c r="J956" s="42"/>
      <c r="K956" s="1072"/>
      <c r="L956" s="1073" t="s">
        <v>1656</v>
      </c>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row>
    <row r="957" ht="16.5" customHeight="1">
      <c r="A957" s="378"/>
      <c r="B957" s="378"/>
      <c r="C957" s="378"/>
      <c r="D957" s="378"/>
      <c r="E957" s="378"/>
      <c r="F957" s="378"/>
      <c r="G957" s="378"/>
      <c r="H957" s="811"/>
      <c r="I957" s="811"/>
      <c r="J957"/>
      <c r="K957" s="1076"/>
      <c r="L957" s="880"/>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row>
    <row r="958" ht="15.75" customHeight="1">
      <c r="A958" s="613" t="s">
        <v>1657</v>
      </c>
      <c r="B958" s="613"/>
      <c r="C958" s="613"/>
      <c r="D958" s="576" t="n">
        <f aca="false">MIN(1,COUNTIF(D959:D960,"oui"))</f>
        <v>1</v>
      </c>
      <c r="E958"/>
      <c r="F958" s="12" t="s">
        <v>732</v>
      </c>
      <c r="G958"/>
      <c r="H958"/>
      <c r="I958"/>
      <c r="J958" s="576" t="n">
        <f aca="false">MIN(1,COUNTIF(J959:J962,"oui"))</f>
        <v>1</v>
      </c>
      <c r="K958"/>
      <c r="L958" t="s">
        <v>1623</v>
      </c>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row>
    <row r="959" ht="15.75" customHeight="1">
      <c r="A959" s="614" t="s">
        <v>730</v>
      </c>
      <c r="B959" s="614"/>
      <c r="C959" s="614"/>
      <c r="D959" s="1122" t="s">
        <v>253</v>
      </c>
      <c r="E959" s="615"/>
      <c r="F959" s="37" t="s">
        <v>1658</v>
      </c>
      <c r="G959" s="37"/>
      <c r="H959" s="37"/>
      <c r="I959" s="37"/>
      <c r="J959" s="1122" t="s">
        <v>253</v>
      </c>
      <c r="K959" s="616"/>
      <c r="L959" s="880"/>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row>
    <row r="960" ht="30" customHeight="1">
      <c r="A960" s="617" t="s">
        <v>1659</v>
      </c>
      <c r="B960" s="617"/>
      <c r="C960" s="617"/>
      <c r="D960" s="1122" t="s">
        <v>253</v>
      </c>
      <c r="E960" s="615"/>
      <c r="F960" s="38" t="s">
        <v>1660</v>
      </c>
      <c r="G960" s="38"/>
      <c r="H960" s="38"/>
      <c r="I960" s="38"/>
      <c r="J960" s="1122" t="s">
        <v>1661</v>
      </c>
      <c r="K960" s="616"/>
      <c r="L960" s="880"/>
      <c r="M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row>
    <row r="961" ht="19.5" customHeight="1">
      <c r="A961" s="618"/>
      <c r="B961" s="618"/>
      <c r="C961" s="618"/>
      <c r="D961" s="618"/>
      <c r="E961" s="618"/>
      <c r="F961" s="38" t="s">
        <v>1662</v>
      </c>
      <c r="G961" s="38"/>
      <c r="H961" s="38"/>
      <c r="I961" s="38"/>
      <c r="J961" s="1122" t="s">
        <v>253</v>
      </c>
      <c r="K961" s="616"/>
      <c r="L961" s="880"/>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row>
    <row r="962" ht="15.75" customHeight="1">
      <c r="A962" s="618"/>
      <c r="B962" s="618"/>
      <c r="C962" s="618"/>
      <c r="D962" s="618"/>
      <c r="E962" s="618"/>
      <c r="F962" s="37" t="s">
        <v>1663</v>
      </c>
      <c r="J962" s="1122" t="s">
        <v>253</v>
      </c>
      <c r="K962" s="616"/>
      <c r="L962" s="880"/>
    </row>
    <row r="963" ht="15.75" customHeight="1">
      <c r="A963" s="618"/>
      <c r="B963" s="44"/>
      <c r="E963" s="44"/>
      <c r="F963" s="44"/>
      <c r="G963" s="44"/>
      <c r="H963"/>
      <c r="I963"/>
      <c r="J963" s="880"/>
      <c r="K963" s="616"/>
      <c r="L963" s="880"/>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c r="IK963"/>
      <c r="IL963"/>
      <c r="IM963"/>
      <c r="IN963"/>
      <c r="IO963"/>
      <c r="IP963"/>
      <c r="IQ963"/>
      <c r="IR963"/>
      <c r="IS963"/>
      <c r="IT963"/>
      <c r="IU963"/>
      <c r="IV963"/>
    </row>
    <row r="964" ht="15.75" customHeight="1">
      <c r="A964" s="12" t="s">
        <v>738</v>
      </c>
      <c r="D964" s="590" t="s">
        <v>253</v>
      </c>
      <c r="F964" s="13" t="s">
        <v>1664</v>
      </c>
      <c r="G964" s="591"/>
      <c r="H964" s="591"/>
      <c r="K964" s="1076"/>
      <c r="L964" s="880"/>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row>
    <row r="965" ht="15.75" customHeight="1">
      <c r="A965"/>
      <c r="B965"/>
      <c r="C965"/>
      <c r="D965"/>
      <c r="E965" s="811"/>
      <c r="F965" s="811"/>
      <c r="G965" s="811"/>
      <c r="H965" s="811"/>
      <c r="I965" s="811"/>
      <c r="J965" s="29"/>
      <c r="K965" s="1076"/>
      <c r="L965" s="880"/>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c r="IK965"/>
      <c r="IL965"/>
      <c r="IM965"/>
      <c r="IN965"/>
      <c r="IO965"/>
      <c r="IP965"/>
      <c r="IQ965"/>
      <c r="IR965"/>
      <c r="IS965"/>
      <c r="IT965"/>
      <c r="IU965"/>
      <c r="IV965"/>
    </row>
    <row r="966" ht="15.75" customHeight="1">
      <c r="A966" s="12" t="s">
        <v>1665</v>
      </c>
      <c r="B966"/>
      <c r="C966"/>
      <c r="D966" s="576" t="n">
        <f aca="false">IF(D967="oui",1,0)</f>
        <v>0</v>
      </c>
      <c r="E966"/>
      <c r="G966"/>
      <c r="H966"/>
      <c r="I966"/>
      <c r="J966"/>
      <c r="K966" s="1076"/>
      <c r="L966" s="880" t="s">
        <v>1319</v>
      </c>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row>
    <row r="967" ht="15.75" customHeight="1">
      <c r="A967" s="37" t="s">
        <v>1666</v>
      </c>
      <c r="B967"/>
      <c r="C967"/>
      <c r="D967" s="1122"/>
      <c r="E967" s="13" t="s">
        <v>1667</v>
      </c>
      <c r="F967" s="619"/>
      <c r="G967" s="619"/>
      <c r="H967" s="619"/>
      <c r="I967" s="619"/>
      <c r="J967" s="619"/>
      <c r="K967" s="1076"/>
      <c r="L967" s="880" t="s">
        <v>1475</v>
      </c>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c r="IK967"/>
      <c r="IL967"/>
      <c r="IM967"/>
      <c r="IN967"/>
      <c r="IO967"/>
      <c r="IP967"/>
      <c r="IQ967"/>
      <c r="IR967"/>
      <c r="IS967"/>
      <c r="IT967"/>
      <c r="IU967"/>
      <c r="IV967"/>
    </row>
    <row r="968" ht="15.75" customHeight="1">
      <c r="A968"/>
      <c r="B968"/>
      <c r="C968"/>
      <c r="D968"/>
      <c r="E968" s="13" t="s">
        <v>1668</v>
      </c>
      <c r="F968" s="619"/>
      <c r="G968" s="619"/>
      <c r="H968" s="619"/>
      <c r="I968" s="619"/>
      <c r="J968" s="619"/>
      <c r="K968" s="1076"/>
      <c r="L968" s="880"/>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row>
    <row r="969" ht="15" customHeight="1">
      <c r="A969"/>
      <c r="B969"/>
      <c r="C969"/>
      <c r="D969"/>
      <c r="E969" s="811"/>
      <c r="F969" s="811"/>
      <c r="G969" s="811"/>
      <c r="H969" s="811"/>
      <c r="I969" s="811"/>
      <c r="J969" s="29"/>
      <c r="K969" s="1076"/>
      <c r="L969" s="880"/>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row>
    <row r="970" ht="20.1" customHeight="1">
      <c r="E970" s="811"/>
      <c r="F970" s="811"/>
      <c r="G970" s="811"/>
      <c r="H970" s="811"/>
      <c r="I970" s="811"/>
      <c r="J970" s="29"/>
      <c r="K970" s="1076"/>
      <c r="L970" s="880"/>
    </row>
    <row r="971" ht="16.5" customHeight="1">
      <c r="A971" s="1071" t="s">
        <v>1669</v>
      </c>
      <c r="B971" s="1071"/>
      <c r="C971" s="1071"/>
      <c r="D971" s="1071"/>
      <c r="E971" s="1071"/>
      <c r="F971" s="1071"/>
      <c r="G971" s="1071"/>
      <c r="H971" s="42"/>
      <c r="I971" s="42"/>
      <c r="J971" s="42"/>
      <c r="K971" s="1072"/>
      <c r="L971" s="1073" t="s">
        <v>1623</v>
      </c>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row>
    <row r="972" ht="16.5" customHeight="1">
      <c r="A972" s="378"/>
      <c r="B972" s="378"/>
      <c r="C972" s="378"/>
      <c r="D972" s="378"/>
      <c r="E972" s="378"/>
      <c r="F972" s="378"/>
      <c r="G972" s="378"/>
      <c r="H972"/>
      <c r="I972"/>
      <c r="J972" s="602"/>
      <c r="K972" s="1076"/>
      <c r="L972" s="880"/>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row>
    <row r="973" ht="15.75" customHeight="1">
      <c r="A973" s="834" t="s">
        <v>723</v>
      </c>
      <c r="B973" s="1096" t="s">
        <v>253</v>
      </c>
      <c r="D973" s="834" t="s">
        <v>725</v>
      </c>
      <c r="E973" s="1096" t="s">
        <v>254</v>
      </c>
      <c r="F973"/>
      <c r="I973" s="834" t="s">
        <v>727</v>
      </c>
      <c r="J973" s="1130" t="s">
        <v>253</v>
      </c>
      <c r="K973"/>
      <c r="L973"/>
      <c r="M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row>
    <row r="974" ht="15" customHeight="1">
      <c r="A974"/>
      <c r="B974"/>
      <c r="C974"/>
      <c r="D974"/>
      <c r="E974"/>
      <c r="F974" s="9"/>
      <c r="G974"/>
      <c r="H974"/>
      <c r="I974"/>
      <c r="J974"/>
      <c r="K974" s="1076"/>
      <c r="L974" s="880"/>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row>
    <row r="975" ht="15" customHeight="1">
      <c r="F975" s="9"/>
      <c r="K975" s="1076"/>
      <c r="L975" s="880"/>
    </row>
    <row r="976" ht="15.75" customHeight="1">
      <c r="A976" s="1071" t="s">
        <v>1670</v>
      </c>
      <c r="B976" s="1071"/>
      <c r="C976" s="1071"/>
      <c r="D976" s="1071"/>
      <c r="E976" s="1071"/>
      <c r="F976" s="1071"/>
      <c r="G976" s="1071"/>
      <c r="H976" s="42"/>
      <c r="I976" s="42"/>
      <c r="J976" s="42"/>
      <c r="K976" s="1072"/>
      <c r="L976" s="1073" t="s">
        <v>1613</v>
      </c>
    </row>
    <row r="977" ht="15.75" customHeight="1">
      <c r="A977"/>
      <c r="B977"/>
      <c r="C977"/>
      <c r="D977"/>
      <c r="E977"/>
      <c r="F977"/>
      <c r="G977"/>
      <c r="J977"/>
      <c r="K977"/>
      <c r="L977" s="44"/>
    </row>
    <row r="978" ht="15.75" customHeight="1">
      <c r="A978"/>
      <c r="B978"/>
      <c r="C978"/>
      <c r="D978"/>
      <c r="E978"/>
      <c r="F978" s="428" t="s">
        <v>699</v>
      </c>
      <c r="G978" s="428" t="s">
        <v>700</v>
      </c>
      <c r="J978"/>
      <c r="K978"/>
      <c r="L978" s="9"/>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row>
    <row r="979" ht="15.75" customHeight="1">
      <c r="A979"/>
      <c r="B979" s="620" t="s">
        <v>704</v>
      </c>
      <c r="C979" s="620"/>
      <c r="D979" s="620"/>
      <c r="E979" s="620"/>
      <c r="F979" s="428"/>
      <c r="G979" s="428"/>
      <c r="J979"/>
      <c r="K979"/>
      <c r="L979" s="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row>
    <row r="980" ht="15" customHeight="1">
      <c r="A980"/>
      <c r="B980" s="428" t="s">
        <v>705</v>
      </c>
      <c r="C980" s="20" t="s">
        <v>706</v>
      </c>
      <c r="D980" s="20"/>
      <c r="E980" s="20"/>
      <c r="F980" s="621" t="s">
        <v>253</v>
      </c>
      <c r="G980" s="621" t="s">
        <v>1671</v>
      </c>
      <c r="H980" s="622" t="n">
        <f aca="false">IF(F980="non",1,0)</f>
        <v>0</v>
      </c>
      <c r="I980" s="622" t="n">
        <f aca="false">IF(G980="tri ou recyclage",0.5,0)</f>
        <v>0.5</v>
      </c>
      <c r="J980"/>
      <c r="K980"/>
      <c r="L980" s="9"/>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row>
    <row r="981" ht="15" customHeight="1">
      <c r="A981"/>
      <c r="B981" s="428"/>
      <c r="C981" s="408" t="s">
        <v>707</v>
      </c>
      <c r="D981" s="408"/>
      <c r="E981" s="408"/>
      <c r="F981" s="623" t="s">
        <v>253</v>
      </c>
      <c r="G981" s="623" t="s">
        <v>1671</v>
      </c>
      <c r="H981" s="624" t="n">
        <f aca="false">IF(F981="non",1,0)</f>
        <v>0</v>
      </c>
      <c r="I981" s="624" t="n">
        <f aca="false">IF(G981="tri ou recyclage",0.5,0)</f>
        <v>0.5</v>
      </c>
      <c r="J981"/>
      <c r="K981"/>
      <c r="L981" s="9"/>
      <c r="M981" s="625"/>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row>
    <row r="982" ht="15" customHeight="1">
      <c r="A982"/>
      <c r="B982" s="428"/>
      <c r="C982" s="408"/>
      <c r="D982" s="408"/>
      <c r="E982" s="408"/>
      <c r="F982" s="623"/>
      <c r="G982" s="623"/>
      <c r="H982" s="624"/>
      <c r="I982" s="624"/>
      <c r="J982" s="576" t="s">
        <v>1672</v>
      </c>
      <c r="K982" s="626" t="n">
        <f aca="false">H987+I987</f>
        <v>2</v>
      </c>
      <c r="L982" s="9"/>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row>
    <row r="983" ht="15" customHeight="1">
      <c r="A983"/>
      <c r="B983" s="428"/>
      <c r="C983" s="408"/>
      <c r="D983" s="408"/>
      <c r="E983" s="408"/>
      <c r="F983" s="623"/>
      <c r="G983" s="623"/>
      <c r="H983" s="624"/>
      <c r="I983" s="624"/>
      <c r="J983" s="576"/>
      <c r="K983" s="626"/>
      <c r="L983" s="9"/>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row>
    <row r="984" ht="15.75" customHeight="1">
      <c r="A984"/>
      <c r="B984" s="428"/>
      <c r="C984" s="408" t="s">
        <v>1673</v>
      </c>
      <c r="D984" s="408"/>
      <c r="E984" s="408"/>
      <c r="F984" s="623" t="s">
        <v>253</v>
      </c>
      <c r="G984" s="623" t="s">
        <v>1671</v>
      </c>
      <c r="H984" s="624" t="n">
        <f aca="false">IF(F984="non",1,0)</f>
        <v>0</v>
      </c>
      <c r="I984" s="624" t="n">
        <f aca="false">IF(G984="tri ou recyclage",0.5,0)</f>
        <v>0.5</v>
      </c>
      <c r="J984" s="576"/>
      <c r="K984" s="626"/>
      <c r="L984" s="9"/>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c r="IK984"/>
      <c r="IL984"/>
      <c r="IM984"/>
      <c r="IN984"/>
      <c r="IO984"/>
      <c r="IP984"/>
      <c r="IQ984"/>
      <c r="IR984"/>
      <c r="IS984"/>
      <c r="IT984"/>
      <c r="IU984"/>
      <c r="IV984"/>
    </row>
    <row r="985" ht="15.75" customHeight="1">
      <c r="A985"/>
      <c r="B985" s="428"/>
      <c r="C985" s="408"/>
      <c r="D985" s="408"/>
      <c r="E985" s="408"/>
      <c r="F985" s="623"/>
      <c r="G985" s="623"/>
      <c r="H985" s="624"/>
      <c r="I985" s="624"/>
      <c r="J985"/>
      <c r="K985"/>
      <c r="L985" s="9"/>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row>
    <row r="986" ht="32.25" customHeight="1">
      <c r="A986"/>
      <c r="B986" s="428" t="s">
        <v>709</v>
      </c>
      <c r="C986" s="627" t="s">
        <v>710</v>
      </c>
      <c r="D986" s="627"/>
      <c r="E986" s="627"/>
      <c r="F986" s="628" t="s">
        <v>253</v>
      </c>
      <c r="G986" s="628" t="s">
        <v>1671</v>
      </c>
      <c r="H986" s="622" t="n">
        <f aca="false">IF(F986="non",1,0)</f>
        <v>0</v>
      </c>
      <c r="I986" s="622" t="n">
        <f aca="false">IF(G986="tri ou recyclage",0.5,0)</f>
        <v>0.5</v>
      </c>
      <c r="J986"/>
      <c r="K986"/>
      <c r="L986" s="9"/>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row>
    <row r="987" ht="15.75" customHeight="1">
      <c r="A987"/>
      <c r="B987"/>
      <c r="C987" s="9"/>
      <c r="D987" s="9"/>
      <c r="E987"/>
      <c r="F987"/>
      <c r="G987"/>
      <c r="H987" s="622" t="n">
        <f aca="false">SUM(H980:H986)</f>
        <v>0</v>
      </c>
      <c r="I987" s="622" t="n">
        <f aca="false">SUM(I980:I986)</f>
        <v>2</v>
      </c>
      <c r="J987"/>
      <c r="K987"/>
      <c r="L987" s="9"/>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row>
    <row r="988" ht="15.75" customHeight="1">
      <c r="A988"/>
      <c r="B988"/>
      <c r="C988"/>
      <c r="D988"/>
      <c r="E988"/>
      <c r="F988"/>
      <c r="G988"/>
      <c r="H988"/>
      <c r="I988"/>
      <c r="J988"/>
      <c r="K988"/>
      <c r="L988" s="9"/>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row>
    <row r="989" ht="15.75" customHeight="1">
      <c r="A989" s="12" t="s">
        <v>1674</v>
      </c>
      <c r="B989" s="1096" t="s">
        <v>254</v>
      </c>
      <c r="D989"/>
      <c r="E989"/>
      <c r="F989"/>
      <c r="G989"/>
      <c r="H989"/>
      <c r="I989"/>
      <c r="J989"/>
      <c r="K989"/>
      <c r="L989" s="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row>
    <row r="990" ht="15" customHeight="1">
      <c r="A990" s="798" t="s">
        <v>712</v>
      </c>
      <c r="B990"/>
      <c r="C990"/>
      <c r="D990"/>
      <c r="E990"/>
      <c r="F990"/>
      <c r="G990"/>
      <c r="H990"/>
      <c r="I990"/>
      <c r="J990"/>
      <c r="K990"/>
      <c r="L990" s="9"/>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row>
    <row r="991" ht="15" customHeight="1">
      <c r="A991"/>
      <c r="B991"/>
      <c r="C991"/>
      <c r="D991"/>
      <c r="E991"/>
      <c r="F991"/>
      <c r="G991"/>
      <c r="H991"/>
      <c r="I991"/>
      <c r="J991"/>
      <c r="K991"/>
      <c r="L991" s="9"/>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row>
    <row r="992" ht="15" customHeight="1">
      <c r="A992"/>
      <c r="B992"/>
      <c r="C992"/>
      <c r="D992"/>
      <c r="E992"/>
      <c r="F992" s="9"/>
      <c r="G992"/>
      <c r="H992"/>
      <c r="I992"/>
      <c r="K992" s="1076"/>
      <c r="L992" s="880"/>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row>
    <row r="993" ht="15.75" customHeight="1">
      <c r="A993" s="1071" t="s">
        <v>1675</v>
      </c>
      <c r="B993" s="1071"/>
      <c r="C993" s="1071"/>
      <c r="D993" s="1071"/>
      <c r="E993" s="1071"/>
      <c r="F993" s="1071"/>
      <c r="G993" s="1071"/>
      <c r="H993" s="42"/>
      <c r="I993" s="42"/>
      <c r="J993" s="42"/>
      <c r="K993" s="1072"/>
      <c r="L993" s="1073" t="s">
        <v>1676</v>
      </c>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row>
    <row r="994" ht="20.1" customHeight="1">
      <c r="A994" s="378"/>
      <c r="B994" s="378"/>
      <c r="C994" s="378"/>
      <c r="D994" s="378"/>
      <c r="E994" s="378"/>
      <c r="F994" s="378"/>
      <c r="G994" s="378"/>
      <c r="H994"/>
      <c r="I994"/>
      <c r="K994" s="1076"/>
      <c r="L994" s="880"/>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row>
    <row r="995" ht="15.75" customHeight="1">
      <c r="A995" s="12" t="s">
        <v>748</v>
      </c>
      <c r="B995" s="12"/>
      <c r="C995"/>
      <c r="D995" s="1093" t="s">
        <v>253</v>
      </c>
      <c r="E995"/>
      <c r="F995" s="811"/>
      <c r="G995" s="811"/>
      <c r="H995" s="811"/>
      <c r="I995" s="811"/>
      <c r="J995" s="29"/>
      <c r="K995" s="1076"/>
      <c r="L995" s="880" t="s">
        <v>1348</v>
      </c>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row>
    <row r="996" ht="15" customHeight="1">
      <c r="A996" s="629" t="s">
        <v>749</v>
      </c>
      <c r="B996" s="629"/>
      <c r="C996" s="629"/>
      <c r="D996" s="629"/>
      <c r="E996" s="629"/>
      <c r="F996" s="629"/>
      <c r="G996" s="629"/>
      <c r="H996"/>
      <c r="I996"/>
      <c r="J996" s="9"/>
      <c r="K996" s="1076"/>
      <c r="L996" s="880"/>
      <c r="M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row>
    <row r="997" ht="15" customHeight="1">
      <c r="A997" s="9" t="s">
        <v>750</v>
      </c>
      <c r="B997" s="591"/>
      <c r="C997" s="591"/>
      <c r="D997" s="591"/>
      <c r="E997" s="591"/>
      <c r="F997" s="591"/>
      <c r="G997"/>
      <c r="H997"/>
      <c r="I997"/>
      <c r="J997" s="9"/>
      <c r="K997" s="1076"/>
      <c r="L997" s="880"/>
      <c r="M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row>
    <row r="998" ht="15.75" customHeight="1">
      <c r="D998" s="383"/>
      <c r="J998" s="9"/>
      <c r="K998" s="1076"/>
      <c r="L998" s="880"/>
    </row>
    <row r="999" ht="15.75" customHeight="1">
      <c r="A999" s="12" t="s">
        <v>667</v>
      </c>
      <c r="D999" s="1122" t="s">
        <v>253</v>
      </c>
      <c r="J999" s="9"/>
      <c r="K999" s="1076"/>
      <c r="L999" s="880" t="s">
        <v>1623</v>
      </c>
      <c r="N999"/>
      <c r="O999"/>
      <c r="P999"/>
      <c r="Q999"/>
      <c r="R999"/>
      <c r="S999"/>
    </row>
    <row r="1000" ht="15" customHeight="1">
      <c r="A1000" s="798"/>
      <c r="J1000" s="9"/>
      <c r="K1000" s="1076"/>
      <c r="L1000" s="880"/>
      <c r="N1000"/>
      <c r="O1000"/>
      <c r="P1000"/>
      <c r="Q1000"/>
      <c r="R1000"/>
      <c r="S1000"/>
    </row>
    <row r="1001" ht="15" customHeight="1">
      <c r="A1001"/>
      <c r="B1001"/>
      <c r="C1001"/>
      <c r="D1001"/>
      <c r="J1001" s="9"/>
      <c r="K1001" s="1076"/>
      <c r="L1001" s="395"/>
      <c r="M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row>
    <row r="1002" ht="15" customHeight="1">
      <c r="A1002" s="1071" t="s">
        <v>1677</v>
      </c>
      <c r="B1002" s="1071"/>
      <c r="C1002" s="1071"/>
      <c r="D1002" s="1071"/>
      <c r="E1002" s="1071"/>
      <c r="F1002" s="1071"/>
      <c r="G1002" s="1071"/>
      <c r="H1002" s="42"/>
      <c r="I1002" s="42"/>
      <c r="J1002" s="42"/>
      <c r="K1002" s="1072"/>
      <c r="L1002" s="1073" t="s">
        <v>1678</v>
      </c>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c r="GP1002"/>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row>
    <row r="1003" ht="15" customHeight="1">
      <c r="J1003" s="9"/>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row>
    <row r="1004" ht="15.75" customHeight="1">
      <c r="A1004" s="588" t="s">
        <v>1679</v>
      </c>
      <c r="B1004" s="588"/>
      <c r="C1004" s="520" t="n">
        <f aca="false">$B$24/$B$37</f>
        <v>38.5</v>
      </c>
      <c r="D1004"/>
      <c r="E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row>
    <row r="1005" ht="20.1" customHeight="1">
      <c r="E1005" s="811"/>
      <c r="G1005" s="811"/>
      <c r="H1005" s="811"/>
      <c r="I1005" s="811"/>
      <c r="J1005" s="29"/>
      <c r="K1005" s="1076"/>
      <c r="L1005" s="880"/>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c r="FJ1005"/>
      <c r="FK1005"/>
      <c r="FL1005"/>
      <c r="FM1005"/>
      <c r="FN1005"/>
      <c r="FO1005"/>
      <c r="FP1005"/>
      <c r="FQ1005"/>
      <c r="FR1005"/>
      <c r="FS1005"/>
      <c r="FT1005"/>
      <c r="FU1005"/>
      <c r="FV1005"/>
      <c r="FW1005"/>
      <c r="FX1005"/>
      <c r="FY1005"/>
      <c r="FZ1005"/>
      <c r="GA1005"/>
      <c r="GB1005"/>
      <c r="GC1005"/>
      <c r="GD1005"/>
      <c r="GE1005"/>
      <c r="GF1005"/>
      <c r="GG1005"/>
      <c r="GH1005"/>
      <c r="GI1005"/>
      <c r="GJ1005"/>
      <c r="GK1005"/>
      <c r="GL1005"/>
      <c r="GM1005"/>
      <c r="GN1005"/>
      <c r="GO1005"/>
      <c r="GP1005"/>
      <c r="GQ1005"/>
      <c r="GR1005"/>
      <c r="GS1005"/>
      <c r="GT1005"/>
      <c r="GU1005"/>
      <c r="GV1005"/>
      <c r="GW1005"/>
      <c r="GX1005"/>
      <c r="GY1005"/>
      <c r="GZ1005"/>
      <c r="HA1005"/>
      <c r="HB1005"/>
      <c r="HC1005"/>
      <c r="HD1005"/>
      <c r="HE1005"/>
      <c r="HF1005"/>
      <c r="HG1005"/>
      <c r="HH1005"/>
      <c r="HI1005"/>
      <c r="HJ1005"/>
      <c r="HK1005"/>
      <c r="HL1005"/>
      <c r="HM1005"/>
      <c r="HN1005"/>
      <c r="HO1005"/>
      <c r="HP1005"/>
      <c r="HQ1005"/>
      <c r="HR1005"/>
      <c r="HS1005"/>
      <c r="HT1005"/>
      <c r="HU1005"/>
      <c r="HV1005"/>
      <c r="HW1005"/>
      <c r="HX1005"/>
      <c r="HY1005"/>
      <c r="HZ1005"/>
      <c r="IA1005"/>
      <c r="IB1005"/>
      <c r="IC1005"/>
      <c r="ID1005"/>
      <c r="IE1005"/>
      <c r="IF1005"/>
      <c r="IG1005"/>
      <c r="IH1005"/>
      <c r="II1005"/>
      <c r="IJ1005"/>
      <c r="IK1005"/>
      <c r="IL1005"/>
      <c r="IM1005"/>
      <c r="IN1005"/>
      <c r="IO1005"/>
      <c r="IP1005"/>
      <c r="IQ1005"/>
      <c r="IR1005"/>
      <c r="IS1005"/>
      <c r="IT1005"/>
      <c r="IU1005"/>
      <c r="IV1005"/>
    </row>
    <row r="1006" ht="20.1" customHeight="1">
      <c r="A1006" s="12" t="s">
        <v>764</v>
      </c>
      <c r="E1006" s="1122" t="s">
        <v>253</v>
      </c>
      <c r="F1006"/>
      <c r="G1006" s="811"/>
      <c r="H1006" s="811"/>
      <c r="I1006" s="811"/>
      <c r="J1006" s="29"/>
      <c r="K1006" s="1076"/>
      <c r="L1006" s="880"/>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row>
    <row r="1007" ht="29.25" customHeight="1">
      <c r="A1007" s="630" t="s">
        <v>765</v>
      </c>
      <c r="B1007" s="630"/>
      <c r="C1007" s="630"/>
      <c r="D1007" s="630"/>
      <c r="E1007" s="1093" t="s">
        <v>253</v>
      </c>
      <c r="G1007" s="811"/>
      <c r="H1007"/>
      <c r="I1007"/>
      <c r="J1007"/>
      <c r="K1007" s="1076"/>
      <c r="L1007" s="880"/>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c r="GP1007"/>
      <c r="GQ1007"/>
      <c r="GR1007"/>
      <c r="GS1007"/>
      <c r="GT1007"/>
      <c r="GU1007"/>
      <c r="GV1007"/>
      <c r="GW1007"/>
      <c r="GX1007"/>
      <c r="GY1007"/>
      <c r="GZ1007"/>
      <c r="HA1007"/>
      <c r="HB1007"/>
      <c r="HC1007"/>
      <c r="HD1007"/>
      <c r="HE1007"/>
      <c r="HF1007"/>
      <c r="HG1007"/>
      <c r="HH1007"/>
      <c r="HI1007"/>
      <c r="HJ1007"/>
      <c r="HK1007"/>
      <c r="HL1007"/>
      <c r="HM1007"/>
      <c r="HN1007"/>
      <c r="HO1007"/>
      <c r="HP1007"/>
      <c r="HQ1007"/>
      <c r="HR1007"/>
      <c r="HS1007"/>
      <c r="HT1007"/>
      <c r="HU1007"/>
      <c r="HV1007"/>
      <c r="HW1007"/>
      <c r="HX1007"/>
      <c r="HY1007"/>
      <c r="HZ1007"/>
      <c r="IA1007"/>
      <c r="IB1007"/>
      <c r="IC1007"/>
      <c r="ID1007"/>
      <c r="IE1007"/>
      <c r="IF1007"/>
      <c r="IG1007"/>
      <c r="IH1007"/>
      <c r="II1007"/>
      <c r="IJ1007"/>
      <c r="IK1007"/>
      <c r="IL1007"/>
      <c r="IM1007"/>
      <c r="IN1007"/>
      <c r="IO1007"/>
      <c r="IP1007"/>
      <c r="IQ1007"/>
      <c r="IR1007"/>
      <c r="IS1007"/>
      <c r="IT1007"/>
      <c r="IU1007"/>
      <c r="IV1007"/>
    </row>
    <row r="1008" ht="15" customHeight="1">
      <c r="A1008" s="491" t="s">
        <v>766</v>
      </c>
      <c r="B1008" s="491"/>
      <c r="C1008" s="491"/>
      <c r="D1008" s="491"/>
      <c r="G1008" s="631"/>
      <c r="K1008" s="632"/>
      <c r="L1008" s="403"/>
    </row>
    <row r="1009" ht="15.75" customHeight="1">
      <c r="F1009" s="811"/>
      <c r="G1009" s="811"/>
      <c r="H1009" s="811"/>
      <c r="I1009" s="811"/>
      <c r="J1009" s="29"/>
      <c r="K1009" s="1076"/>
      <c r="L1009" s="880"/>
    </row>
    <row r="1010" ht="15.75" customHeight="1">
      <c r="A1010" s="12" t="s">
        <v>1680</v>
      </c>
      <c r="E1010" s="1122" t="s">
        <v>253</v>
      </c>
      <c r="F1010" s="811"/>
      <c r="G1010" s="811"/>
      <c r="H1010" s="811"/>
      <c r="I1010" s="811"/>
      <c r="J1010" s="29"/>
      <c r="K1010" s="1076"/>
      <c r="L1010" s="880"/>
    </row>
    <row r="1011" ht="15" customHeight="1">
      <c r="A1011" s="798" t="s">
        <v>1681</v>
      </c>
      <c r="B1011"/>
      <c r="C1011"/>
      <c r="D1011"/>
      <c r="E1011" s="811"/>
      <c r="F1011" s="811"/>
      <c r="G1011" s="811"/>
      <c r="H1011" s="811"/>
      <c r="I1011" s="811"/>
      <c r="J1011" s="29"/>
      <c r="K1011" s="1076"/>
      <c r="L1011" s="880"/>
    </row>
    <row r="1012" ht="15.75" customHeight="1">
      <c r="A1012" s="798"/>
      <c r="B1012"/>
      <c r="C1012"/>
      <c r="D1012"/>
      <c r="E1012" s="811"/>
      <c r="F1012" s="811"/>
      <c r="G1012" s="811"/>
      <c r="H1012" s="811"/>
      <c r="I1012" s="811"/>
      <c r="J1012" s="29"/>
      <c r="K1012" s="1076"/>
      <c r="L1012" s="880"/>
    </row>
    <row r="1013" ht="15.75" customHeight="1">
      <c r="A1013" s="12" t="s">
        <v>768</v>
      </c>
      <c r="B1013"/>
      <c r="C1013"/>
      <c r="D1013"/>
      <c r="E1013" s="481" t="n">
        <f aca="false">SUM(F1014:F1016)</f>
        <v>3</v>
      </c>
      <c r="G1013"/>
      <c r="H1013"/>
      <c r="I1013"/>
      <c r="K1013" s="1076"/>
      <c r="L1013" s="880"/>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row>
    <row r="1014" ht="15.75" customHeight="1">
      <c r="A1014" s="9" t="s">
        <v>769</v>
      </c>
      <c r="B1014"/>
      <c r="C1014"/>
      <c r="D1014"/>
      <c r="E1014" s="590" t="s">
        <v>254</v>
      </c>
      <c r="F1014" s="615" t="n">
        <f aca="false">IF(E1014="non",1,0)</f>
        <v>1</v>
      </c>
      <c r="H1014"/>
      <c r="I1014"/>
      <c r="K1014" s="1076"/>
      <c r="L1014" s="880"/>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row>
    <row r="1015" ht="15.75" customHeight="1">
      <c r="A1015" s="9" t="s">
        <v>1682</v>
      </c>
      <c r="B1015"/>
      <c r="C1015"/>
      <c r="D1015"/>
      <c r="E1015" s="590" t="s">
        <v>1683</v>
      </c>
      <c r="F1015" s="615" t="n">
        <f aca="false">IF(E1015="variées",1,0)</f>
        <v>1</v>
      </c>
      <c r="H1015"/>
      <c r="I1015"/>
      <c r="K1015" s="1076"/>
      <c r="L1015" s="880"/>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c r="GP1015"/>
      <c r="GQ1015"/>
      <c r="GR1015"/>
      <c r="GS1015"/>
      <c r="GT1015"/>
      <c r="GU1015"/>
      <c r="GV1015"/>
      <c r="GW1015"/>
      <c r="GX1015"/>
      <c r="GY1015"/>
      <c r="GZ1015"/>
      <c r="HA1015"/>
      <c r="HB1015"/>
      <c r="HC1015"/>
      <c r="HD1015"/>
      <c r="HE1015"/>
      <c r="HF1015"/>
      <c r="HG1015"/>
      <c r="HH1015"/>
      <c r="HI1015"/>
      <c r="HJ1015"/>
      <c r="HK1015"/>
      <c r="HL1015"/>
      <c r="HM1015"/>
      <c r="HN1015"/>
      <c r="HO1015"/>
      <c r="HP1015"/>
      <c r="HQ1015"/>
      <c r="HR1015"/>
      <c r="HS1015"/>
      <c r="HT1015"/>
      <c r="HU1015"/>
      <c r="HV1015"/>
      <c r="HW1015"/>
      <c r="HX1015"/>
      <c r="HY1015"/>
      <c r="HZ1015"/>
      <c r="IA1015"/>
      <c r="IB1015"/>
      <c r="IC1015"/>
      <c r="ID1015"/>
      <c r="IE1015"/>
      <c r="IF1015"/>
      <c r="IG1015"/>
      <c r="IH1015"/>
      <c r="II1015"/>
      <c r="IJ1015"/>
      <c r="IK1015"/>
      <c r="IL1015"/>
      <c r="IM1015"/>
      <c r="IN1015"/>
      <c r="IO1015"/>
      <c r="IP1015"/>
      <c r="IQ1015"/>
      <c r="IR1015"/>
      <c r="IS1015"/>
      <c r="IT1015"/>
      <c r="IU1015"/>
      <c r="IV1015"/>
    </row>
    <row r="1016" ht="15.75" customHeight="1">
      <c r="A1016" s="9" t="s">
        <v>770</v>
      </c>
      <c r="B1016" s="9"/>
      <c r="C1016"/>
      <c r="D1016"/>
      <c r="E1016" s="590" t="s">
        <v>253</v>
      </c>
      <c r="F1016" s="615" t="n">
        <f aca="false">IF(E1016="oui",1,0)</f>
        <v>1</v>
      </c>
      <c r="H1016"/>
      <c r="I1016"/>
      <c r="K1016" s="1076"/>
      <c r="L1016" s="880"/>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row>
    <row r="1017" ht="15" customHeight="1">
      <c r="A1017"/>
      <c r="B1017"/>
      <c r="C1017"/>
      <c r="D1017"/>
      <c r="E1017"/>
      <c r="F1017"/>
      <c r="G1017"/>
      <c r="H1017"/>
      <c r="I1017"/>
      <c r="K1017" s="1076"/>
      <c r="L1017" s="880"/>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c r="GP1017"/>
      <c r="GQ1017"/>
      <c r="GR1017"/>
      <c r="GS1017"/>
      <c r="GT1017"/>
      <c r="GU1017"/>
      <c r="GV1017"/>
      <c r="GW1017"/>
      <c r="GX1017"/>
      <c r="GY1017"/>
      <c r="GZ1017"/>
      <c r="HA1017"/>
      <c r="HB1017"/>
      <c r="HC1017"/>
      <c r="HD1017"/>
      <c r="HE1017"/>
      <c r="HF1017"/>
      <c r="HG1017"/>
      <c r="HH1017"/>
      <c r="HI1017"/>
      <c r="HJ1017"/>
      <c r="HK1017"/>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row>
    <row r="1018" ht="15" customHeight="1">
      <c r="A1018"/>
      <c r="B1018"/>
      <c r="C1018"/>
      <c r="D1018"/>
      <c r="E1018"/>
      <c r="F1018"/>
      <c r="G1018"/>
      <c r="H1018"/>
      <c r="I1018"/>
      <c r="K1018" s="1076"/>
      <c r="L1018" s="880"/>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row>
    <row r="1019" ht="16.5" customHeight="1">
      <c r="A1019" s="1071" t="s">
        <v>1684</v>
      </c>
      <c r="B1019" s="1071"/>
      <c r="C1019" s="1071"/>
      <c r="D1019" s="1071"/>
      <c r="E1019" s="1071"/>
      <c r="F1019" s="1071"/>
      <c r="G1019" s="1071"/>
      <c r="H1019" s="42"/>
      <c r="I1019" s="42"/>
      <c r="J1019" s="42"/>
      <c r="K1019" s="1072"/>
      <c r="L1019" s="1073" t="s">
        <v>1685</v>
      </c>
      <c r="M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c r="GE1019"/>
      <c r="GF1019"/>
      <c r="GG1019"/>
      <c r="GH1019"/>
      <c r="GI1019"/>
      <c r="GJ1019"/>
      <c r="GK1019"/>
      <c r="GL1019"/>
      <c r="GM1019"/>
      <c r="GN1019"/>
      <c r="GO1019"/>
      <c r="GP1019"/>
      <c r="GQ1019"/>
      <c r="GR1019"/>
      <c r="GS1019"/>
      <c r="GT1019"/>
      <c r="GU1019"/>
      <c r="GV1019"/>
      <c r="GW1019"/>
      <c r="GX1019"/>
      <c r="GY1019"/>
      <c r="GZ1019"/>
      <c r="HA1019"/>
      <c r="HB1019"/>
      <c r="HC1019"/>
      <c r="HD1019"/>
      <c r="HE1019"/>
      <c r="HF1019"/>
      <c r="HG1019"/>
      <c r="HH1019"/>
      <c r="HI1019"/>
      <c r="HJ1019"/>
      <c r="HK1019"/>
      <c r="HL1019"/>
      <c r="HM1019"/>
      <c r="HN1019"/>
      <c r="HO1019"/>
      <c r="HP1019"/>
      <c r="HQ1019"/>
      <c r="HR1019"/>
      <c r="HS1019"/>
      <c r="HT1019"/>
      <c r="HU1019"/>
      <c r="HV1019"/>
      <c r="HW1019"/>
      <c r="HX1019"/>
      <c r="HY1019"/>
      <c r="HZ1019"/>
      <c r="IA1019"/>
      <c r="IB1019"/>
      <c r="IC1019"/>
      <c r="ID1019"/>
      <c r="IE1019"/>
      <c r="IF1019"/>
      <c r="IG1019"/>
      <c r="IH1019"/>
      <c r="II1019"/>
      <c r="IJ1019"/>
      <c r="IK1019"/>
      <c r="IL1019"/>
      <c r="IM1019"/>
      <c r="IN1019"/>
      <c r="IO1019"/>
      <c r="IP1019"/>
      <c r="IQ1019"/>
      <c r="IR1019"/>
      <c r="IS1019"/>
      <c r="IT1019"/>
      <c r="IU1019"/>
      <c r="IV1019"/>
    </row>
    <row r="1020" ht="15.75" customHeight="1">
      <c r="A1020" s="378"/>
      <c r="B1020" s="378"/>
      <c r="C1020" s="378"/>
      <c r="D1020" s="378"/>
      <c r="E1020" s="378"/>
      <c r="F1020" s="378"/>
      <c r="G1020" s="378"/>
      <c r="H1020"/>
      <c r="I1020"/>
      <c r="J1020" s="29"/>
      <c r="K1020" s="1076"/>
      <c r="L1020" s="880"/>
      <c r="M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c r="IK1020"/>
      <c r="IL1020"/>
      <c r="IM1020"/>
      <c r="IN1020"/>
      <c r="IO1020"/>
      <c r="IP1020"/>
      <c r="IQ1020"/>
      <c r="IR1020"/>
      <c r="IS1020"/>
      <c r="IT1020"/>
      <c r="IU1020"/>
      <c r="IV1020"/>
    </row>
    <row r="1021" ht="15.75" customHeight="1">
      <c r="A1021" s="12" t="s">
        <v>1686</v>
      </c>
      <c r="D1021" s="481" t="n">
        <f aca="false">MIN(3,SUM(E1022:E1025))</f>
        <v>2</v>
      </c>
      <c r="F1021" s="811"/>
      <c r="G1021" s="12"/>
      <c r="H1021"/>
      <c r="I1021"/>
      <c r="J1021"/>
      <c r="K1021" s="1076"/>
      <c r="L1021" s="880" t="s">
        <v>1678</v>
      </c>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c r="IK1021"/>
      <c r="IL1021"/>
      <c r="IM1021"/>
      <c r="IN1021"/>
      <c r="IO1021"/>
      <c r="IP1021"/>
      <c r="IQ1021"/>
      <c r="IR1021"/>
      <c r="IS1021"/>
      <c r="IT1021"/>
      <c r="IU1021"/>
      <c r="IV1021"/>
    </row>
    <row r="1022" ht="15.75" customHeight="1">
      <c r="A1022" s="14" t="s">
        <v>761</v>
      </c>
      <c r="D1022" s="590" t="s">
        <v>254</v>
      </c>
      <c r="E1022" s="615" t="n">
        <f aca="false">IF(D1022="oui",1,0)</f>
        <v>0</v>
      </c>
      <c r="F1022" s="811"/>
      <c r="G1022" s="12"/>
      <c r="H1022"/>
      <c r="I1022"/>
      <c r="J1022"/>
      <c r="K1022" s="1076"/>
      <c r="L1022" s="880"/>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c r="HJ1022"/>
      <c r="HK1022"/>
      <c r="HL1022"/>
      <c r="HM1022"/>
      <c r="HN1022"/>
      <c r="HO1022"/>
      <c r="HP1022"/>
      <c r="HQ1022"/>
      <c r="HR1022"/>
      <c r="HS1022"/>
      <c r="HT1022"/>
      <c r="HU1022"/>
      <c r="HV1022"/>
      <c r="HW1022"/>
      <c r="HX1022"/>
      <c r="HY1022"/>
      <c r="HZ1022"/>
      <c r="IA1022"/>
      <c r="IB1022"/>
      <c r="IC1022"/>
      <c r="ID1022"/>
      <c r="IE1022"/>
      <c r="IF1022"/>
      <c r="IG1022"/>
      <c r="IH1022"/>
      <c r="II1022"/>
      <c r="IJ1022"/>
      <c r="IK1022"/>
      <c r="IL1022"/>
      <c r="IM1022"/>
      <c r="IN1022"/>
      <c r="IO1022"/>
      <c r="IP1022"/>
      <c r="IQ1022"/>
      <c r="IR1022"/>
      <c r="IS1022"/>
      <c r="IT1022"/>
      <c r="IU1022"/>
      <c r="IV1022"/>
    </row>
    <row r="1023" ht="15.75" customHeight="1">
      <c r="A1023" s="9" t="s">
        <v>760</v>
      </c>
      <c r="D1023" s="590" t="s">
        <v>253</v>
      </c>
      <c r="E1023" s="615" t="n">
        <f aca="false">IF(D1023="oui",1,0)</f>
        <v>1</v>
      </c>
      <c r="F1023" s="811"/>
      <c r="G1023" s="12"/>
      <c r="H1023"/>
      <c r="I1023"/>
      <c r="K1023" s="1076"/>
      <c r="L1023" s="880"/>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row>
    <row r="1024" ht="15.75" customHeight="1">
      <c r="A1024" s="9" t="s">
        <v>762</v>
      </c>
      <c r="B1024"/>
      <c r="C1024"/>
      <c r="D1024" s="590" t="s">
        <v>253</v>
      </c>
      <c r="E1024" s="615" t="n">
        <f aca="false">IF(D1024="oui",1,0)</f>
        <v>1</v>
      </c>
      <c r="F1024" s="811"/>
      <c r="G1024" s="12"/>
      <c r="H1024"/>
      <c r="I1024"/>
      <c r="J1024" s="29"/>
      <c r="K1024" s="1076"/>
      <c r="L1024" s="880"/>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row>
    <row r="1025" ht="15.75" customHeight="1">
      <c r="A1025" s="9" t="s">
        <v>763</v>
      </c>
      <c r="B1025"/>
      <c r="C1025"/>
      <c r="D1025" s="590" t="s">
        <v>254</v>
      </c>
      <c r="E1025" s="615" t="n">
        <f aca="false">IF(D1025="oui",1,0)</f>
        <v>0</v>
      </c>
      <c r="F1025" s="811"/>
      <c r="G1025" s="12"/>
      <c r="H1025"/>
      <c r="I1025"/>
      <c r="J1025" s="29"/>
      <c r="K1025" s="1076"/>
      <c r="L1025" s="880"/>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c r="IK1025"/>
      <c r="IL1025"/>
      <c r="IM1025"/>
      <c r="IN1025"/>
      <c r="IO1025"/>
      <c r="IP1025"/>
      <c r="IQ1025"/>
      <c r="IR1025"/>
      <c r="IS1025"/>
      <c r="IT1025"/>
      <c r="IU1025"/>
      <c r="IV1025"/>
    </row>
    <row r="1026" ht="15.75" customHeight="1">
      <c r="F1026" s="811"/>
      <c r="G1026" s="12"/>
      <c r="H1026"/>
      <c r="I1026"/>
      <c r="J1026" s="29"/>
      <c r="K1026" s="1076"/>
      <c r="L1026" s="880"/>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c r="GE1026"/>
      <c r="GF1026"/>
      <c r="GG1026"/>
      <c r="GH1026"/>
      <c r="GI1026"/>
      <c r="GJ1026"/>
      <c r="GK1026"/>
      <c r="GL1026"/>
      <c r="GM1026"/>
      <c r="GN1026"/>
      <c r="GO1026"/>
      <c r="GP1026"/>
      <c r="GQ1026"/>
      <c r="GR1026"/>
      <c r="GS1026"/>
      <c r="GT1026"/>
      <c r="GU1026"/>
      <c r="GV1026"/>
      <c r="GW1026"/>
      <c r="GX1026"/>
      <c r="GY1026"/>
      <c r="GZ1026"/>
      <c r="HA1026"/>
      <c r="HB1026"/>
      <c r="HC1026"/>
      <c r="HD1026"/>
      <c r="HE1026"/>
      <c r="HF1026"/>
      <c r="HG1026"/>
      <c r="HH1026"/>
      <c r="HI1026"/>
      <c r="HJ1026"/>
      <c r="HK1026"/>
      <c r="HL1026"/>
      <c r="HM1026"/>
      <c r="HN1026"/>
      <c r="HO1026"/>
      <c r="HP1026"/>
      <c r="HQ1026"/>
      <c r="HR1026"/>
      <c r="HS1026"/>
      <c r="HT1026"/>
      <c r="HU1026"/>
      <c r="HV1026"/>
      <c r="HW1026"/>
      <c r="HX1026"/>
      <c r="HY1026"/>
      <c r="HZ1026"/>
      <c r="IA1026"/>
      <c r="IB1026"/>
      <c r="IC1026"/>
      <c r="ID1026"/>
      <c r="IE1026"/>
      <c r="IF1026"/>
      <c r="IG1026"/>
      <c r="IH1026"/>
      <c r="II1026"/>
      <c r="IJ1026"/>
      <c r="IK1026"/>
      <c r="IL1026"/>
      <c r="IM1026"/>
      <c r="IN1026"/>
      <c r="IO1026"/>
      <c r="IP1026"/>
      <c r="IQ1026"/>
      <c r="IR1026"/>
      <c r="IS1026"/>
      <c r="IT1026"/>
      <c r="IU1026"/>
      <c r="IV1026"/>
    </row>
    <row r="1027" ht="15.75" customHeight="1">
      <c r="A1027" s="12" t="s">
        <v>1687</v>
      </c>
      <c r="B1027"/>
      <c r="C1027"/>
      <c r="D1027" s="1093" t="s">
        <v>254</v>
      </c>
      <c r="E1027" s="13" t="s">
        <v>1688</v>
      </c>
      <c r="F1027" s="591"/>
      <c r="G1027" s="591"/>
      <c r="H1027" s="591"/>
      <c r="I1027" s="591"/>
      <c r="J1027" s="591"/>
      <c r="K1027" s="1076"/>
      <c r="L1027" s="880" t="s">
        <v>1348</v>
      </c>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c r="IK1027"/>
      <c r="IL1027"/>
      <c r="IM1027"/>
      <c r="IN1027"/>
      <c r="IO1027"/>
      <c r="IP1027"/>
      <c r="IQ1027"/>
      <c r="IR1027"/>
      <c r="IS1027"/>
      <c r="IT1027"/>
      <c r="IU1027"/>
      <c r="IV1027"/>
    </row>
    <row r="1028" ht="15" customHeight="1">
      <c r="A1028" s="629" t="s">
        <v>671</v>
      </c>
      <c r="B1028" s="629"/>
      <c r="C1028" s="629"/>
      <c r="D1028" s="629"/>
      <c r="E1028" s="629"/>
      <c r="F1028"/>
      <c r="G1028" s="12"/>
      <c r="H1028"/>
      <c r="I1028"/>
      <c r="J1028" s="29"/>
      <c r="K1028" s="1076"/>
      <c r="L1028" s="880"/>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c r="IK1028"/>
      <c r="IL1028"/>
      <c r="IM1028"/>
      <c r="IN1028"/>
      <c r="IO1028"/>
      <c r="IP1028"/>
      <c r="IQ1028"/>
      <c r="IR1028"/>
      <c r="IS1028"/>
      <c r="IT1028"/>
      <c r="IU1028"/>
      <c r="IV1028"/>
    </row>
    <row r="1029" ht="15" customHeight="1">
      <c r="G1029" s="12"/>
      <c r="H1029"/>
      <c r="I1029"/>
      <c r="J1029" s="29"/>
      <c r="K1029" s="1076"/>
      <c r="L1029" s="880"/>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c r="EN1029"/>
      <c r="EO1029"/>
      <c r="EP1029"/>
      <c r="EQ1029"/>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c r="IK1029"/>
      <c r="IL1029"/>
      <c r="IM1029"/>
      <c r="IN1029"/>
      <c r="IO1029"/>
      <c r="IP1029"/>
      <c r="IQ1029"/>
      <c r="IR1029"/>
      <c r="IS1029"/>
      <c r="IT1029"/>
      <c r="IU1029"/>
      <c r="IV1029"/>
    </row>
    <row r="1030" ht="15" customHeight="1">
      <c r="G1030"/>
      <c r="H1030" s="44"/>
      <c r="I1030" s="44"/>
      <c r="K1030" s="1076"/>
      <c r="L1030" s="88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c r="IK1030"/>
      <c r="IL1030"/>
      <c r="IM1030"/>
      <c r="IN1030"/>
      <c r="IO1030"/>
      <c r="IP1030"/>
      <c r="IQ1030"/>
      <c r="IR1030"/>
      <c r="IS1030"/>
      <c r="IT1030"/>
      <c r="IU1030"/>
      <c r="IV1030"/>
    </row>
    <row r="1031" ht="15" customHeight="1">
      <c r="A1031" s="1071" t="s">
        <v>1689</v>
      </c>
      <c r="B1031" s="1071"/>
      <c r="C1031" s="1071"/>
      <c r="D1031" s="1071"/>
      <c r="E1031" s="1071"/>
      <c r="F1031" s="1071"/>
      <c r="G1031" s="1071"/>
      <c r="H1031" s="42"/>
      <c r="I1031" s="42"/>
      <c r="J1031" s="42"/>
      <c r="K1031" s="1072"/>
      <c r="L1031" s="1073" t="s">
        <v>1678</v>
      </c>
    </row>
    <row r="1032" ht="15.75" customHeight="1">
      <c r="J1032" s="9"/>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c r="GE1032"/>
      <c r="GF1032"/>
      <c r="GG1032"/>
      <c r="GH1032"/>
      <c r="GI1032"/>
      <c r="GJ1032"/>
      <c r="GK1032"/>
      <c r="GL1032"/>
      <c r="GM1032"/>
      <c r="GN1032"/>
      <c r="GO1032"/>
      <c r="GP1032"/>
      <c r="GQ1032"/>
      <c r="GR1032"/>
      <c r="GS1032"/>
      <c r="GT1032"/>
      <c r="GU1032"/>
      <c r="GV1032"/>
      <c r="GW1032"/>
      <c r="GX1032"/>
      <c r="GY1032"/>
      <c r="GZ1032"/>
      <c r="HA1032"/>
      <c r="HB1032"/>
      <c r="HC1032"/>
      <c r="HD1032"/>
      <c r="HE1032"/>
      <c r="HF1032"/>
      <c r="HG1032"/>
      <c r="HH1032"/>
      <c r="HI1032"/>
      <c r="HJ1032"/>
      <c r="HK1032"/>
      <c r="HL1032"/>
      <c r="HM1032"/>
      <c r="HN1032"/>
      <c r="HO1032"/>
      <c r="HP1032"/>
      <c r="HQ1032"/>
      <c r="HR1032"/>
      <c r="HS1032"/>
      <c r="HT1032"/>
      <c r="HU1032"/>
      <c r="HV1032"/>
      <c r="HW1032"/>
      <c r="HX1032"/>
      <c r="HY1032"/>
      <c r="HZ1032"/>
      <c r="IA1032"/>
      <c r="IB1032"/>
      <c r="IC1032"/>
      <c r="ID1032"/>
      <c r="IE1032"/>
      <c r="IF1032"/>
      <c r="IG1032"/>
      <c r="IH1032"/>
      <c r="II1032"/>
      <c r="IJ1032"/>
      <c r="IK1032"/>
      <c r="IL1032"/>
      <c r="IM1032"/>
      <c r="IN1032"/>
      <c r="IO1032"/>
      <c r="IP1032"/>
      <c r="IQ1032"/>
      <c r="IR1032"/>
      <c r="IS1032"/>
      <c r="IT1032"/>
      <c r="IU1032"/>
      <c r="IV1032"/>
    </row>
    <row r="1033" ht="15.75" customHeight="1">
      <c r="A1033" s="12" t="s">
        <v>776</v>
      </c>
      <c r="B1033"/>
      <c r="C1033"/>
      <c r="D1033"/>
      <c r="E1033" s="1096" t="n">
        <v>3</v>
      </c>
      <c r="F1033" s="798" t="s">
        <v>1690</v>
      </c>
      <c r="G1033" s="12"/>
      <c r="H1033"/>
      <c r="I1033"/>
      <c r="K1033" s="1076"/>
      <c r="L1033" s="880"/>
      <c r="M1033"/>
      <c r="N1033"/>
      <c r="O1033"/>
      <c r="P1033"/>
      <c r="Q1033" s="44"/>
      <c r="R1033" s="44"/>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c r="EN1033"/>
      <c r="EO1033"/>
      <c r="EP1033"/>
      <c r="EQ1033"/>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c r="IK1033"/>
      <c r="IL1033"/>
      <c r="IM1033"/>
      <c r="IN1033"/>
      <c r="IO1033"/>
      <c r="IP1033"/>
      <c r="IQ1033"/>
      <c r="IR1033"/>
      <c r="IS1033"/>
      <c r="IT1033"/>
      <c r="IU1033"/>
      <c r="IV1033"/>
    </row>
    <row r="1034" ht="15.75" customHeight="1">
      <c r="A1034" s="820" t="s">
        <v>1691</v>
      </c>
      <c r="B1034" s="820"/>
      <c r="C1034" s="820"/>
      <c r="D1034" s="820"/>
      <c r="E1034" s="1130" t="n">
        <v>6</v>
      </c>
      <c r="F1034"/>
      <c r="G1034"/>
      <c r="H1034"/>
      <c r="I1034"/>
      <c r="J1034" s="9"/>
      <c r="K1034" s="1076"/>
      <c r="L1034" s="880"/>
      <c r="M1034"/>
      <c r="N1034"/>
      <c r="O1034"/>
      <c r="P1034"/>
      <c r="Q1034" s="44"/>
      <c r="R1034" s="4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c r="GE1034"/>
      <c r="GF1034"/>
      <c r="GG1034"/>
      <c r="GH1034"/>
      <c r="GI1034"/>
      <c r="GJ1034"/>
      <c r="GK1034"/>
      <c r="GL1034"/>
      <c r="GM1034"/>
      <c r="GN1034"/>
      <c r="GO1034"/>
      <c r="GP1034"/>
      <c r="GQ1034"/>
      <c r="GR1034"/>
      <c r="GS1034"/>
      <c r="GT1034"/>
      <c r="GU1034"/>
      <c r="GV1034"/>
      <c r="GW1034"/>
      <c r="GX1034"/>
      <c r="GY1034"/>
      <c r="GZ1034"/>
      <c r="HA1034"/>
      <c r="HB1034"/>
      <c r="HC1034"/>
      <c r="HD1034"/>
      <c r="HE1034"/>
      <c r="HF1034"/>
      <c r="HG1034"/>
      <c r="HH1034"/>
      <c r="HI1034"/>
      <c r="HJ1034"/>
      <c r="HK1034"/>
      <c r="HL1034"/>
      <c r="HM1034"/>
      <c r="HN1034"/>
      <c r="HO1034"/>
      <c r="HP1034"/>
      <c r="HQ1034"/>
      <c r="HR1034"/>
      <c r="HS1034"/>
      <c r="HT1034"/>
      <c r="HU1034"/>
      <c r="HV1034"/>
      <c r="HW1034"/>
      <c r="HX1034"/>
      <c r="HY1034"/>
      <c r="HZ1034"/>
      <c r="IA1034"/>
      <c r="IB1034"/>
      <c r="IC1034"/>
      <c r="ID1034"/>
      <c r="IE1034"/>
      <c r="IF1034"/>
      <c r="IG1034"/>
      <c r="IH1034"/>
      <c r="II1034"/>
      <c r="IJ1034"/>
      <c r="IK1034"/>
      <c r="IL1034"/>
      <c r="IM1034"/>
      <c r="IN1034"/>
      <c r="IO1034"/>
      <c r="IP1034"/>
      <c r="IQ1034"/>
      <c r="IR1034"/>
      <c r="IS1034"/>
      <c r="IT1034"/>
      <c r="IU1034"/>
      <c r="IV1034"/>
    </row>
    <row r="1035" ht="15.75" customHeight="1">
      <c r="A1035"/>
      <c r="B1035"/>
      <c r="C1035"/>
      <c r="D1035"/>
      <c r="E1035"/>
      <c r="F1035"/>
      <c r="G1035"/>
      <c r="H1035"/>
      <c r="I1035"/>
      <c r="J1035" s="9"/>
      <c r="K1035" s="44"/>
      <c r="L1035" s="44"/>
      <c r="M1035"/>
      <c r="N1035"/>
      <c r="O1035"/>
      <c r="P1035"/>
      <c r="Q1035" s="44"/>
      <c r="R1035" s="44"/>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c r="EN1035"/>
      <c r="EO1035"/>
      <c r="EP1035"/>
      <c r="EQ1035"/>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c r="HW1035"/>
      <c r="HX1035"/>
      <c r="HY1035"/>
      <c r="HZ1035"/>
      <c r="IA1035"/>
      <c r="IB1035"/>
      <c r="IC1035"/>
      <c r="ID1035"/>
      <c r="IE1035"/>
      <c r="IF1035"/>
      <c r="IG1035"/>
      <c r="IH1035"/>
      <c r="II1035"/>
      <c r="IJ1035"/>
      <c r="IK1035"/>
      <c r="IL1035"/>
      <c r="IM1035"/>
      <c r="IN1035"/>
      <c r="IO1035"/>
      <c r="IP1035"/>
      <c r="IQ1035"/>
      <c r="IR1035"/>
      <c r="IS1035"/>
      <c r="IT1035"/>
      <c r="IU1035"/>
      <c r="IV1035"/>
    </row>
    <row r="1036" ht="15.75" customHeight="1">
      <c r="A1036" s="613" t="s">
        <v>1692</v>
      </c>
      <c r="B1036" s="613"/>
      <c r="C1036" s="1096" t="s">
        <v>253</v>
      </c>
      <c r="D1036" s="834" t="s">
        <v>1693</v>
      </c>
      <c r="E1036" s="1096" t="s">
        <v>253</v>
      </c>
      <c r="H1036"/>
      <c r="I1036"/>
      <c r="J1036"/>
      <c r="K1036" s="1076"/>
      <c r="L1036" s="880"/>
      <c r="M1036"/>
      <c r="N1036"/>
      <c r="O1036"/>
      <c r="P1036"/>
      <c r="Q1036" s="44"/>
      <c r="R1036" s="44"/>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c r="EN1036"/>
      <c r="EO1036"/>
      <c r="EP1036"/>
      <c r="EQ1036"/>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c r="HW1036"/>
      <c r="HX1036"/>
      <c r="HY1036"/>
      <c r="HZ1036"/>
      <c r="IA1036"/>
      <c r="IB1036"/>
      <c r="IC1036"/>
      <c r="ID1036"/>
      <c r="IE1036"/>
      <c r="IF1036"/>
      <c r="IG1036"/>
      <c r="IH1036"/>
      <c r="II1036"/>
      <c r="IJ1036"/>
      <c r="IK1036"/>
      <c r="IL1036"/>
      <c r="IM1036"/>
      <c r="IN1036"/>
      <c r="IO1036"/>
      <c r="IP1036"/>
      <c r="IQ1036"/>
      <c r="IR1036"/>
      <c r="IS1036"/>
      <c r="IT1036"/>
      <c r="IU1036"/>
      <c r="IV1036"/>
    </row>
    <row r="1037" ht="15.75" customHeight="1">
      <c r="A1037" s="12"/>
      <c r="B1037" s="12"/>
      <c r="C1037" s="12"/>
      <c r="D1037" s="12"/>
      <c r="E1037" s="12"/>
      <c r="F1037" s="834"/>
      <c r="G1037" s="834"/>
      <c r="K1037" s="1076"/>
      <c r="L1037" s="880"/>
      <c r="Q1037" s="44"/>
      <c r="R1037" s="44"/>
    </row>
    <row r="1038" ht="15.75" customHeight="1">
      <c r="A1038" s="613" t="s">
        <v>1694</v>
      </c>
      <c r="B1038" s="613"/>
      <c r="C1038" s="613"/>
      <c r="D1038" s="613"/>
      <c r="E1038" s="1130" t="n">
        <v>-2</v>
      </c>
      <c r="F1038" s="798" t="s">
        <v>1695</v>
      </c>
      <c r="G1038"/>
      <c r="H1038"/>
      <c r="I1038"/>
      <c r="J1038"/>
      <c r="K1038" s="1076"/>
      <c r="L1038" s="880"/>
      <c r="M1038"/>
      <c r="N1038"/>
      <c r="O1038"/>
      <c r="P1038"/>
      <c r="Q1038" s="44"/>
      <c r="R1038" s="44"/>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c r="EQ1038"/>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c r="HW1038"/>
      <c r="HX1038"/>
      <c r="HY1038"/>
      <c r="HZ1038"/>
      <c r="IA1038"/>
      <c r="IB1038"/>
      <c r="IC1038"/>
      <c r="ID1038"/>
      <c r="IE1038"/>
      <c r="IF1038"/>
      <c r="IG1038"/>
      <c r="IH1038"/>
      <c r="II1038"/>
      <c r="IJ1038"/>
      <c r="IK1038"/>
      <c r="IL1038"/>
      <c r="IM1038"/>
      <c r="IN1038"/>
      <c r="IO1038"/>
      <c r="IP1038"/>
      <c r="IQ1038"/>
      <c r="IR1038"/>
      <c r="IS1038"/>
      <c r="IT1038"/>
      <c r="IU1038"/>
      <c r="IV1038"/>
    </row>
    <row r="1039" ht="15" customHeight="1">
      <c r="I1039" s="834"/>
      <c r="J1039" s="398"/>
      <c r="K1039" s="1076"/>
      <c r="L1039" s="880"/>
      <c r="M1039"/>
      <c r="Q1039" s="44"/>
      <c r="R1039" s="44"/>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c r="HW1039"/>
      <c r="HX1039"/>
      <c r="HY1039"/>
      <c r="HZ1039"/>
      <c r="IA1039"/>
      <c r="IB1039"/>
      <c r="IC1039"/>
      <c r="ID1039"/>
      <c r="IE1039"/>
      <c r="IF1039"/>
      <c r="IG1039"/>
      <c r="IH1039"/>
      <c r="II1039"/>
      <c r="IJ1039"/>
      <c r="IK1039"/>
      <c r="IL1039"/>
      <c r="IM1039"/>
      <c r="IN1039"/>
      <c r="IO1039"/>
      <c r="IP1039"/>
      <c r="IQ1039"/>
      <c r="IR1039"/>
      <c r="IS1039"/>
      <c r="IT1039"/>
      <c r="IU1039"/>
      <c r="IV1039"/>
    </row>
    <row r="1040" ht="15" customHeight="1">
      <c r="I1040" s="834"/>
      <c r="J1040" s="398"/>
      <c r="K1040" s="1076"/>
      <c r="L1040" s="880"/>
      <c r="Q1040" s="44"/>
      <c r="R1040" s="44"/>
    </row>
    <row r="1041" ht="15.75" customHeight="1">
      <c r="A1041" s="1071" t="s">
        <v>1696</v>
      </c>
      <c r="B1041" s="1071"/>
      <c r="C1041" s="1071"/>
      <c r="D1041" s="1071"/>
      <c r="E1041" s="1071"/>
      <c r="F1041" s="1071"/>
      <c r="G1041" s="1071"/>
      <c r="H1041" s="42"/>
      <c r="I1041" s="42"/>
      <c r="J1041" s="42"/>
      <c r="K1041" s="1072"/>
      <c r="L1041" s="1073" t="s">
        <v>1697</v>
      </c>
      <c r="M1041"/>
      <c r="N1041" s="522"/>
      <c r="O1041" s="522"/>
      <c r="P1041" s="522"/>
      <c r="Q1041" s="522"/>
      <c r="R1041" s="522"/>
      <c r="S1041" s="522"/>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c r="IK1041"/>
      <c r="IL1041"/>
      <c r="IM1041"/>
      <c r="IN1041"/>
      <c r="IO1041"/>
      <c r="IP1041"/>
      <c r="IQ1041"/>
      <c r="IR1041"/>
      <c r="IS1041"/>
      <c r="IT1041"/>
      <c r="IU1041"/>
      <c r="IV1041"/>
    </row>
    <row r="1042" ht="15.75" customHeight="1">
      <c r="A1042" s="378"/>
      <c r="B1042" s="378"/>
      <c r="C1042" s="378"/>
      <c r="D1042" s="378"/>
      <c r="E1042" s="378"/>
      <c r="F1042" s="378"/>
      <c r="G1042" s="378"/>
      <c r="H1042"/>
      <c r="I1042"/>
      <c r="J1042"/>
      <c r="K1042" s="633"/>
      <c r="L1042" s="880"/>
      <c r="M1042"/>
      <c r="N1042" s="522"/>
      <c r="O1042" s="522"/>
      <c r="P1042" s="522"/>
      <c r="Q1042" s="522"/>
      <c r="R1042" s="522"/>
      <c r="S1042" s="52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c r="IK1042"/>
      <c r="IL1042"/>
      <c r="IM1042"/>
      <c r="IN1042"/>
      <c r="IO1042"/>
      <c r="IP1042"/>
      <c r="IQ1042"/>
      <c r="IR1042"/>
      <c r="IS1042"/>
      <c r="IT1042"/>
      <c r="IU1042"/>
      <c r="IV1042"/>
    </row>
    <row r="1043" ht="15.75" customHeight="1">
      <c r="A1043" s="297" t="s">
        <v>1698</v>
      </c>
      <c r="B1043" s="297"/>
      <c r="C1043" s="297"/>
      <c r="D1043" s="297"/>
      <c r="E1043" s="1096" t="n">
        <v>2</v>
      </c>
      <c r="F1043" s="798" t="s">
        <v>1699</v>
      </c>
      <c r="K1043" s="633"/>
      <c r="L1043" s="880"/>
    </row>
    <row r="1044" ht="15.75" customHeight="1">
      <c r="A1044" s="12"/>
      <c r="B1044" s="9"/>
      <c r="C1044" s="9"/>
      <c r="D1044" s="9"/>
      <c r="E1044" s="9"/>
      <c r="F1044" s="9"/>
      <c r="L1044" s="633"/>
      <c r="N1044" s="9"/>
      <c r="O1044" s="9"/>
      <c r="P1044" s="9"/>
      <c r="Q1044" s="9"/>
      <c r="R1044" s="9"/>
      <c r="S1044" s="9"/>
    </row>
    <row r="1045" ht="15.75" customHeight="1">
      <c r="A1045" s="474" t="s">
        <v>784</v>
      </c>
      <c r="B1045" s="474"/>
      <c r="C1045" s="474"/>
      <c r="D1045" s="474"/>
      <c r="E1045" s="1130" t="s">
        <v>253</v>
      </c>
      <c r="H1045"/>
      <c r="I1045"/>
      <c r="J1045"/>
      <c r="K1045"/>
      <c r="L1045" s="633"/>
      <c r="M1045"/>
      <c r="N1045" s="9"/>
      <c r="O1045" s="9"/>
      <c r="P1045" s="9"/>
      <c r="Q1045" s="9"/>
      <c r="R1045" s="9"/>
      <c r="S1045" s="9"/>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c r="IK1045"/>
      <c r="IL1045"/>
      <c r="IM1045"/>
      <c r="IN1045"/>
      <c r="IO1045"/>
      <c r="IP1045"/>
      <c r="IQ1045"/>
      <c r="IR1045"/>
      <c r="IS1045"/>
      <c r="IT1045"/>
      <c r="IU1045"/>
      <c r="IV1045"/>
    </row>
    <row r="1046" ht="15.75" customHeight="1">
      <c r="A1046" s="629" t="s">
        <v>785</v>
      </c>
      <c r="B1046" s="629"/>
      <c r="C1046" s="629"/>
      <c r="D1046" s="629"/>
      <c r="E1046" s="629"/>
      <c r="G1046" s="12"/>
      <c r="H1046"/>
      <c r="I1046"/>
      <c r="J1046"/>
      <c r="K1046"/>
      <c r="L1046" s="633"/>
      <c r="M1046"/>
      <c r="N1046" s="9"/>
      <c r="O1046" s="9"/>
      <c r="P1046" s="9"/>
      <c r="Q1046" s="9"/>
      <c r="R1046" s="9"/>
      <c r="S1046" s="9"/>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c r="EN1046"/>
      <c r="EO1046"/>
      <c r="EP1046"/>
      <c r="EQ1046"/>
      <c r="ER1046"/>
      <c r="ES1046"/>
      <c r="ET1046"/>
      <c r="EU1046"/>
      <c r="EV1046"/>
      <c r="EW1046"/>
      <c r="EX1046"/>
      <c r="EY1046"/>
      <c r="EZ1046"/>
      <c r="FA1046"/>
      <c r="FB1046"/>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c r="GE1046"/>
      <c r="GF1046"/>
      <c r="GG1046"/>
      <c r="GH1046"/>
      <c r="GI1046"/>
      <c r="GJ1046"/>
      <c r="GK1046"/>
      <c r="GL1046"/>
      <c r="GM1046"/>
      <c r="GN1046"/>
      <c r="GO1046"/>
      <c r="GP1046"/>
      <c r="GQ1046"/>
      <c r="GR1046"/>
      <c r="GS1046"/>
      <c r="GT1046"/>
      <c r="GU1046"/>
      <c r="GV1046"/>
      <c r="GW1046"/>
      <c r="GX1046"/>
      <c r="GY1046"/>
      <c r="GZ1046"/>
      <c r="HA1046"/>
      <c r="HB1046"/>
      <c r="HC1046"/>
      <c r="HD1046"/>
      <c r="HE1046"/>
      <c r="HF1046"/>
      <c r="HG1046"/>
      <c r="HH1046"/>
      <c r="HI1046"/>
      <c r="HJ1046"/>
      <c r="HK1046"/>
      <c r="HL1046"/>
      <c r="HM1046"/>
      <c r="HN1046"/>
      <c r="HO1046"/>
      <c r="HP1046"/>
      <c r="HQ1046"/>
      <c r="HR1046"/>
      <c r="HS1046"/>
      <c r="HT1046"/>
      <c r="HU1046"/>
      <c r="HV1046"/>
      <c r="HW1046"/>
      <c r="HX1046"/>
      <c r="HY1046"/>
      <c r="HZ1046"/>
      <c r="IA1046"/>
      <c r="IB1046"/>
      <c r="IC1046"/>
      <c r="ID1046"/>
      <c r="IE1046"/>
      <c r="IF1046"/>
      <c r="IG1046"/>
      <c r="IH1046"/>
      <c r="II1046"/>
      <c r="IJ1046"/>
      <c r="IK1046"/>
      <c r="IL1046"/>
      <c r="IM1046"/>
      <c r="IN1046"/>
      <c r="IO1046"/>
      <c r="IP1046"/>
      <c r="IQ1046"/>
      <c r="IR1046"/>
      <c r="IS1046"/>
      <c r="IT1046"/>
      <c r="IU1046"/>
      <c r="IV1046"/>
    </row>
    <row r="1047" ht="15.75" customHeight="1">
      <c r="A1047" s="12"/>
      <c r="H1047" s="12"/>
      <c r="I1047" s="22"/>
      <c r="J1047" s="22"/>
      <c r="K1047"/>
      <c r="L1047" s="633"/>
      <c r="M1047"/>
      <c r="N1047" s="9"/>
      <c r="O1047" s="9"/>
      <c r="P1047" s="9"/>
      <c r="Q1047" s="9"/>
      <c r="R1047" s="9"/>
      <c r="S1047" s="9"/>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c r="IK1047"/>
      <c r="IL1047"/>
      <c r="IM1047"/>
      <c r="IN1047"/>
      <c r="IO1047"/>
      <c r="IP1047"/>
      <c r="IQ1047"/>
      <c r="IR1047"/>
      <c r="IS1047"/>
      <c r="IT1047"/>
      <c r="IU1047"/>
      <c r="IV1047"/>
    </row>
    <row r="1048" ht="15.75" customHeight="1">
      <c r="A1048" s="12" t="s">
        <v>786</v>
      </c>
      <c r="B1048" s="12"/>
      <c r="C1048" s="12"/>
      <c r="D1048" s="12"/>
      <c r="E1048" s="1096" t="s">
        <v>253</v>
      </c>
      <c r="I1048"/>
      <c r="J1048"/>
      <c r="K1048" s="633"/>
      <c r="L1048" s="880"/>
      <c r="M1048"/>
      <c r="N1048" s="9"/>
      <c r="O1048" s="9"/>
      <c r="P1048" s="9"/>
      <c r="Q1048" s="9"/>
      <c r="R1048" s="9"/>
      <c r="S1048" s="9"/>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c r="IK1048"/>
      <c r="IL1048"/>
      <c r="IM1048"/>
      <c r="IN1048"/>
      <c r="IO1048"/>
      <c r="IP1048"/>
      <c r="IQ1048"/>
      <c r="IR1048"/>
      <c r="IS1048"/>
      <c r="IT1048"/>
      <c r="IU1048"/>
      <c r="IV1048"/>
    </row>
    <row r="1049" ht="15.75" customHeight="1">
      <c r="A1049" s="12" t="s">
        <v>1700</v>
      </c>
      <c r="B1049" s="12"/>
      <c r="C1049" s="12"/>
      <c r="D1049" s="12"/>
      <c r="E1049" s="1096" t="s">
        <v>254</v>
      </c>
      <c r="I1049" s="834"/>
      <c r="J1049" s="834"/>
      <c r="K1049" s="633"/>
      <c r="L1049" s="880"/>
      <c r="M1049"/>
      <c r="N1049" s="9"/>
      <c r="O1049" s="9"/>
      <c r="P1049" s="9"/>
      <c r="Q1049" s="9"/>
      <c r="R1049" s="9"/>
      <c r="S1049" s="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c r="EN1049"/>
      <c r="EO1049"/>
      <c r="EP1049"/>
      <c r="EQ1049"/>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c r="IK1049"/>
      <c r="IL1049"/>
      <c r="IM1049"/>
      <c r="IN1049"/>
      <c r="IO1049"/>
      <c r="IP1049"/>
      <c r="IQ1049"/>
      <c r="IR1049"/>
      <c r="IS1049"/>
      <c r="IT1049"/>
      <c r="IU1049"/>
      <c r="IV1049"/>
    </row>
    <row r="1050" ht="15.75" customHeight="1">
      <c r="A1050" s="629" t="s">
        <v>788</v>
      </c>
      <c r="B1050" s="820"/>
      <c r="C1050" s="820"/>
      <c r="D1050" s="820"/>
      <c r="I1050" s="834"/>
      <c r="J1050" s="834"/>
      <c r="K1050" s="633"/>
      <c r="L1050" s="880"/>
      <c r="M1050"/>
      <c r="N1050" s="9"/>
      <c r="O1050" s="9"/>
      <c r="P1050" s="9"/>
      <c r="Q1050" s="9"/>
      <c r="R1050" s="9"/>
      <c r="S1050" s="9"/>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c r="ES1050"/>
      <c r="ET1050"/>
      <c r="EU1050"/>
      <c r="EV1050"/>
      <c r="EW1050"/>
      <c r="EX1050"/>
      <c r="EY1050"/>
      <c r="EZ1050"/>
      <c r="FA1050"/>
      <c r="FB1050"/>
      <c r="FC1050"/>
      <c r="FD1050"/>
      <c r="FE1050"/>
      <c r="FF1050"/>
      <c r="FG1050"/>
      <c r="FH1050"/>
      <c r="FI1050"/>
      <c r="FJ1050"/>
      <c r="FK1050"/>
      <c r="FL1050"/>
      <c r="FM1050"/>
      <c r="FN1050"/>
      <c r="FO1050"/>
      <c r="FP1050"/>
      <c r="FQ1050"/>
      <c r="FR1050"/>
      <c r="FS1050"/>
      <c r="FT1050"/>
      <c r="FU1050"/>
      <c r="FV1050"/>
      <c r="FW1050"/>
      <c r="FX1050"/>
      <c r="FY1050"/>
      <c r="FZ1050"/>
      <c r="GA1050"/>
      <c r="GB1050"/>
      <c r="GC1050"/>
      <c r="GD1050"/>
      <c r="GE1050"/>
      <c r="GF1050"/>
      <c r="GG1050"/>
      <c r="GH1050"/>
      <c r="GI1050"/>
      <c r="GJ1050"/>
      <c r="GK1050"/>
      <c r="GL1050"/>
      <c r="GM1050"/>
      <c r="GN1050"/>
      <c r="GO1050"/>
      <c r="GP1050"/>
      <c r="GQ1050"/>
      <c r="GR1050"/>
      <c r="GS1050"/>
      <c r="GT1050"/>
      <c r="GU1050"/>
      <c r="GV1050"/>
      <c r="GW1050"/>
      <c r="GX1050"/>
      <c r="GY1050"/>
      <c r="GZ1050"/>
      <c r="HA1050"/>
      <c r="HB1050"/>
      <c r="HC1050"/>
      <c r="HD1050"/>
      <c r="HE1050"/>
      <c r="HF1050"/>
      <c r="HG1050"/>
      <c r="HH1050"/>
      <c r="HI1050"/>
      <c r="HJ1050"/>
      <c r="HK1050"/>
      <c r="HL1050"/>
      <c r="HM1050"/>
      <c r="HN1050"/>
      <c r="HO1050"/>
      <c r="HP1050"/>
      <c r="HQ1050"/>
      <c r="HR1050"/>
      <c r="HS1050"/>
      <c r="HT1050"/>
      <c r="HU1050"/>
      <c r="HV1050"/>
      <c r="HW1050"/>
      <c r="HX1050"/>
      <c r="HY1050"/>
      <c r="HZ1050"/>
      <c r="IA1050"/>
      <c r="IB1050"/>
      <c r="IC1050"/>
      <c r="ID1050"/>
      <c r="IE1050"/>
      <c r="IF1050"/>
      <c r="IG1050"/>
      <c r="IH1050"/>
      <c r="II1050"/>
      <c r="IJ1050"/>
      <c r="IK1050"/>
      <c r="IL1050"/>
      <c r="IM1050"/>
      <c r="IN1050"/>
      <c r="IO1050"/>
      <c r="IP1050"/>
      <c r="IQ1050"/>
      <c r="IR1050"/>
      <c r="IS1050"/>
      <c r="IT1050"/>
      <c r="IU1050"/>
      <c r="IV1050"/>
    </row>
    <row r="1051" ht="15.75" customHeight="1">
      <c r="A1051" s="12" t="s">
        <v>789</v>
      </c>
      <c r="B1051" s="12"/>
      <c r="C1051" s="12"/>
      <c r="D1051" s="12"/>
      <c r="E1051" s="1096" t="s">
        <v>254</v>
      </c>
      <c r="I1051" s="834"/>
      <c r="J1051" s="834"/>
      <c r="K1051" s="633"/>
      <c r="L1051" s="880"/>
      <c r="M1051"/>
      <c r="Q1051" s="44"/>
      <c r="R1051" s="44"/>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c r="GA1051"/>
      <c r="GB1051"/>
      <c r="GC1051"/>
      <c r="GD1051"/>
      <c r="GE1051"/>
      <c r="GF1051"/>
      <c r="GG1051"/>
      <c r="GH1051"/>
      <c r="GI1051"/>
      <c r="GJ1051"/>
      <c r="GK1051"/>
      <c r="GL1051"/>
      <c r="GM1051"/>
      <c r="GN1051"/>
      <c r="GO1051"/>
      <c r="GP1051"/>
      <c r="GQ1051"/>
      <c r="GR1051"/>
      <c r="GS1051"/>
      <c r="GT1051"/>
      <c r="GU1051"/>
      <c r="GV1051"/>
      <c r="GW1051"/>
      <c r="GX1051"/>
      <c r="GY1051"/>
      <c r="GZ1051"/>
      <c r="HA1051"/>
      <c r="HB1051"/>
      <c r="HC1051"/>
      <c r="HD1051"/>
      <c r="HE1051"/>
      <c r="HF1051"/>
      <c r="HG1051"/>
      <c r="HH1051"/>
      <c r="HI1051"/>
      <c r="HJ1051"/>
      <c r="HK1051"/>
      <c r="HL1051"/>
      <c r="HM1051"/>
      <c r="HN1051"/>
      <c r="HO1051"/>
      <c r="HP1051"/>
      <c r="HQ1051"/>
      <c r="HR1051"/>
      <c r="HS1051"/>
      <c r="HT1051"/>
      <c r="HU1051"/>
      <c r="HV1051"/>
      <c r="HW1051"/>
      <c r="HX1051"/>
      <c r="HY1051"/>
      <c r="HZ1051"/>
      <c r="IA1051"/>
      <c r="IB1051"/>
      <c r="IC1051"/>
      <c r="ID1051"/>
      <c r="IE1051"/>
      <c r="IF1051"/>
      <c r="IG1051"/>
      <c r="IH1051"/>
      <c r="II1051"/>
      <c r="IJ1051"/>
      <c r="IK1051"/>
      <c r="IL1051"/>
      <c r="IM1051"/>
      <c r="IN1051"/>
      <c r="IO1051"/>
      <c r="IP1051"/>
      <c r="IQ1051"/>
      <c r="IR1051"/>
      <c r="IS1051"/>
      <c r="IT1051"/>
      <c r="IU1051"/>
      <c r="IV1051"/>
    </row>
    <row r="1052" ht="15.75" customHeight="1">
      <c r="A1052" s="12"/>
      <c r="I1052" s="834"/>
      <c r="J1052" s="633"/>
      <c r="K1052" s="44"/>
      <c r="L1052" s="880"/>
      <c r="M1052"/>
      <c r="Q1052" s="44"/>
      <c r="R1052" s="44"/>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c r="EN1052"/>
      <c r="EO1052"/>
      <c r="EP1052"/>
      <c r="EQ1052"/>
      <c r="ER1052"/>
      <c r="ES1052"/>
      <c r="ET1052"/>
      <c r="EU1052"/>
      <c r="EV1052"/>
      <c r="EW1052"/>
      <c r="EX1052"/>
      <c r="EY1052"/>
      <c r="EZ1052"/>
      <c r="FA1052"/>
      <c r="FB1052"/>
      <c r="FC1052"/>
      <c r="FD1052"/>
      <c r="FE1052"/>
      <c r="FF1052"/>
      <c r="FG1052"/>
      <c r="FH1052"/>
      <c r="FI1052"/>
      <c r="FJ1052"/>
      <c r="FK1052"/>
      <c r="FL1052"/>
      <c r="FM1052"/>
      <c r="FN1052"/>
      <c r="FO1052"/>
      <c r="FP1052"/>
      <c r="FQ1052"/>
      <c r="FR1052"/>
      <c r="FS1052"/>
      <c r="FT1052"/>
      <c r="FU1052"/>
      <c r="FV1052"/>
      <c r="FW1052"/>
      <c r="FX1052"/>
      <c r="FY1052"/>
      <c r="FZ1052"/>
      <c r="GA1052"/>
      <c r="GB1052"/>
      <c r="GC1052"/>
      <c r="GD1052"/>
      <c r="GE1052"/>
      <c r="GF1052"/>
      <c r="GG1052"/>
      <c r="GH1052"/>
      <c r="GI1052"/>
      <c r="GJ1052"/>
      <c r="GK1052"/>
      <c r="GL1052"/>
      <c r="GM1052"/>
      <c r="GN1052"/>
      <c r="GO1052"/>
      <c r="GP1052"/>
      <c r="GQ1052"/>
      <c r="GR1052"/>
      <c r="GS1052"/>
      <c r="GT1052"/>
      <c r="GU1052"/>
      <c r="GV1052"/>
      <c r="GW1052"/>
      <c r="GX1052"/>
      <c r="GY1052"/>
      <c r="GZ1052"/>
      <c r="HA1052"/>
      <c r="HB1052"/>
      <c r="HC1052"/>
      <c r="HD1052"/>
      <c r="HE1052"/>
      <c r="HF1052"/>
      <c r="HG1052"/>
      <c r="HH1052"/>
      <c r="HI1052"/>
      <c r="HJ1052"/>
      <c r="HK1052"/>
      <c r="HL1052"/>
      <c r="HM1052"/>
      <c r="HN1052"/>
      <c r="HO1052"/>
      <c r="HP1052"/>
      <c r="HQ1052"/>
      <c r="HR1052"/>
      <c r="HS1052"/>
      <c r="HT1052"/>
      <c r="HU1052"/>
      <c r="HV1052"/>
      <c r="HW1052"/>
      <c r="HX1052"/>
      <c r="HY1052"/>
      <c r="HZ1052"/>
      <c r="IA1052"/>
      <c r="IB1052"/>
      <c r="IC1052"/>
      <c r="ID1052"/>
      <c r="IE1052"/>
      <c r="IF1052"/>
      <c r="IG1052"/>
      <c r="IH1052"/>
      <c r="II1052"/>
      <c r="IJ1052"/>
      <c r="IK1052"/>
      <c r="IL1052"/>
      <c r="IM1052"/>
      <c r="IN1052"/>
      <c r="IO1052"/>
      <c r="IP1052"/>
      <c r="IQ1052"/>
      <c r="IR1052"/>
      <c r="IS1052"/>
      <c r="IT1052"/>
      <c r="IU1052"/>
      <c r="IV1052"/>
    </row>
    <row r="1053" ht="15.75" customHeight="1">
      <c r="A1053" s="12"/>
      <c r="B1053" s="9"/>
      <c r="C1053" s="9"/>
      <c r="D1053" s="9"/>
      <c r="E1053" s="9"/>
      <c r="F1053" s="9"/>
      <c r="G1053" s="9"/>
      <c r="H1053" s="9"/>
      <c r="I1053" s="9"/>
      <c r="J1053" s="10"/>
      <c r="K1053" s="633"/>
      <c r="L1053" s="880"/>
      <c r="N1053" s="9"/>
      <c r="O1053" s="9"/>
      <c r="P1053" s="9"/>
      <c r="Q1053" s="44"/>
      <c r="R1053" s="44"/>
      <c r="S1053" s="9"/>
    </row>
    <row r="1054" ht="15.75" customHeight="1">
      <c r="A1054" s="1071" t="s">
        <v>1701</v>
      </c>
      <c r="B1054" s="1071"/>
      <c r="C1054" s="1071"/>
      <c r="D1054" s="1071"/>
      <c r="E1054" s="1071"/>
      <c r="F1054" s="1071"/>
      <c r="G1054" s="1071"/>
      <c r="H1054" s="42"/>
      <c r="I1054" s="42"/>
      <c r="J1054" s="42"/>
      <c r="K1054" s="1072"/>
      <c r="L1054" s="1073" t="s">
        <v>1702</v>
      </c>
      <c r="M1054"/>
      <c r="Q1054" s="44"/>
      <c r="R1054" s="4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c r="GE1054"/>
      <c r="GF1054"/>
      <c r="GG1054"/>
      <c r="GH1054"/>
      <c r="GI1054"/>
      <c r="GJ1054"/>
      <c r="GK1054"/>
      <c r="GL1054"/>
      <c r="GM1054"/>
      <c r="GN1054"/>
      <c r="GO1054"/>
      <c r="GP1054"/>
      <c r="GQ1054"/>
      <c r="GR1054"/>
      <c r="GS1054"/>
      <c r="GT1054"/>
      <c r="GU1054"/>
      <c r="GV1054"/>
      <c r="GW1054"/>
      <c r="GX1054"/>
      <c r="GY1054"/>
      <c r="GZ1054"/>
      <c r="HA1054"/>
      <c r="HB1054"/>
      <c r="HC1054"/>
      <c r="HD1054"/>
      <c r="HE1054"/>
      <c r="HF1054"/>
      <c r="HG1054"/>
      <c r="HH1054"/>
      <c r="HI1054"/>
      <c r="HJ1054"/>
      <c r="HK1054"/>
      <c r="HL1054"/>
      <c r="HM1054"/>
      <c r="HN1054"/>
      <c r="HO1054"/>
      <c r="HP1054"/>
      <c r="HQ1054"/>
      <c r="HR1054"/>
      <c r="HS1054"/>
      <c r="HT1054"/>
      <c r="HU1054"/>
      <c r="HV1054"/>
      <c r="HW1054"/>
      <c r="HX1054"/>
      <c r="HY1054"/>
      <c r="HZ1054"/>
      <c r="IA1054"/>
      <c r="IB1054"/>
      <c r="IC1054"/>
      <c r="ID1054"/>
      <c r="IE1054"/>
      <c r="IF1054"/>
      <c r="IG1054"/>
      <c r="IH1054"/>
      <c r="II1054"/>
      <c r="IJ1054"/>
      <c r="IK1054"/>
      <c r="IL1054"/>
      <c r="IM1054"/>
      <c r="IN1054"/>
      <c r="IO1054"/>
      <c r="IP1054"/>
      <c r="IQ1054"/>
      <c r="IR1054"/>
      <c r="IS1054"/>
      <c r="IT1054"/>
      <c r="IU1054"/>
      <c r="IV1054"/>
    </row>
    <row r="1055" ht="15.75" customHeight="1">
      <c r="A1055" s="378"/>
      <c r="B1055" s="378"/>
      <c r="C1055" s="378"/>
      <c r="D1055" s="378"/>
      <c r="E1055" s="378"/>
      <c r="F1055" s="378"/>
      <c r="G1055" s="378"/>
      <c r="H1055"/>
      <c r="I1055"/>
      <c r="J1055"/>
      <c r="K1055" s="633"/>
      <c r="L1055" s="880"/>
      <c r="M1055"/>
      <c r="Q1055" s="44"/>
      <c r="R1055" s="44"/>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c r="GE1055"/>
      <c r="GF1055"/>
      <c r="GG1055"/>
      <c r="GH1055"/>
      <c r="GI1055"/>
      <c r="GJ1055"/>
      <c r="GK1055"/>
      <c r="GL1055"/>
      <c r="GM1055"/>
      <c r="GN1055"/>
      <c r="GO1055"/>
      <c r="GP1055"/>
      <c r="GQ1055"/>
      <c r="GR1055"/>
      <c r="GS1055"/>
      <c r="GT1055"/>
      <c r="GU1055"/>
      <c r="GV1055"/>
      <c r="GW1055"/>
      <c r="GX1055"/>
      <c r="GY1055"/>
      <c r="GZ1055"/>
      <c r="HA1055"/>
      <c r="HB1055"/>
      <c r="HC1055"/>
      <c r="HD1055"/>
      <c r="HE1055"/>
      <c r="HF1055"/>
      <c r="HG1055"/>
      <c r="HH1055"/>
      <c r="HI1055"/>
      <c r="HJ1055"/>
      <c r="HK1055"/>
      <c r="HL1055"/>
      <c r="HM1055"/>
      <c r="HN1055"/>
      <c r="HO1055"/>
      <c r="HP1055"/>
      <c r="HQ1055"/>
      <c r="HR1055"/>
      <c r="HS1055"/>
      <c r="HT1055"/>
      <c r="HU1055"/>
      <c r="HV1055"/>
      <c r="HW1055"/>
      <c r="HX1055"/>
      <c r="HY1055"/>
      <c r="HZ1055"/>
      <c r="IA1055"/>
      <c r="IB1055"/>
      <c r="IC1055"/>
      <c r="ID1055"/>
      <c r="IE1055"/>
      <c r="IF1055"/>
      <c r="IG1055"/>
      <c r="IH1055"/>
      <c r="II1055"/>
      <c r="IJ1055"/>
      <c r="IK1055"/>
      <c r="IL1055"/>
      <c r="IM1055"/>
      <c r="IN1055"/>
      <c r="IO1055"/>
      <c r="IP1055"/>
      <c r="IQ1055"/>
      <c r="IR1055"/>
      <c r="IS1055"/>
      <c r="IT1055"/>
      <c r="IU1055"/>
      <c r="IV1055"/>
    </row>
    <row r="1056" ht="30" customHeight="1">
      <c r="A1056" s="604" t="s">
        <v>752</v>
      </c>
      <c r="B1056" s="604"/>
      <c r="C1056" s="604"/>
      <c r="D1056" s="1096" t="n">
        <v>0</v>
      </c>
      <c r="G1056"/>
      <c r="H1056"/>
      <c r="I1056"/>
      <c r="J1056"/>
      <c r="K1056" s="633"/>
      <c r="L1056" s="880"/>
      <c r="M1056"/>
      <c r="Q1056" s="44"/>
      <c r="R1056" s="44"/>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c r="GA1056"/>
      <c r="GB1056"/>
      <c r="GC1056"/>
      <c r="GD1056"/>
      <c r="GE1056"/>
      <c r="GF1056"/>
      <c r="GG1056"/>
      <c r="GH1056"/>
      <c r="GI1056"/>
      <c r="GJ1056"/>
      <c r="GK1056"/>
      <c r="GL1056"/>
      <c r="GM1056"/>
      <c r="GN1056"/>
      <c r="GO1056"/>
      <c r="GP1056"/>
      <c r="GQ1056"/>
      <c r="GR1056"/>
      <c r="GS1056"/>
      <c r="GT1056"/>
      <c r="GU1056"/>
      <c r="GV1056"/>
      <c r="GW1056"/>
      <c r="GX1056"/>
      <c r="GY1056"/>
      <c r="GZ1056"/>
      <c r="HA1056"/>
      <c r="HB1056"/>
      <c r="HC1056"/>
      <c r="HD1056"/>
      <c r="HE1056"/>
      <c r="HF1056"/>
      <c r="HG1056"/>
      <c r="HH1056"/>
      <c r="HI1056"/>
      <c r="HJ1056"/>
      <c r="HK1056"/>
      <c r="HL1056"/>
      <c r="HM1056"/>
      <c r="HN1056"/>
      <c r="HO1056"/>
      <c r="HP1056"/>
      <c r="HQ1056"/>
      <c r="HR1056"/>
      <c r="HS1056"/>
      <c r="HT1056"/>
      <c r="HU1056"/>
      <c r="HV1056"/>
      <c r="HW1056"/>
      <c r="HX1056"/>
      <c r="HY1056"/>
      <c r="HZ1056"/>
      <c r="IA1056"/>
      <c r="IB1056"/>
      <c r="IC1056"/>
      <c r="ID1056"/>
      <c r="IE1056"/>
      <c r="IF1056"/>
      <c r="IG1056"/>
      <c r="IH1056"/>
      <c r="II1056"/>
      <c r="IJ1056"/>
      <c r="IK1056"/>
      <c r="IL1056"/>
      <c r="IM1056"/>
      <c r="IN1056"/>
      <c r="IO1056"/>
      <c r="IP1056"/>
      <c r="IQ1056"/>
      <c r="IR1056"/>
      <c r="IS1056"/>
      <c r="IT1056"/>
      <c r="IU1056"/>
      <c r="IV1056"/>
    </row>
    <row r="1057" ht="15.75" customHeight="1">
      <c r="K1057" s="633"/>
      <c r="L1057" s="880"/>
      <c r="M1057"/>
      <c r="Q1057" s="44"/>
      <c r="R1057" s="44"/>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c r="GA1057"/>
      <c r="GB1057"/>
      <c r="GC1057"/>
      <c r="GD1057"/>
      <c r="GE1057"/>
      <c r="GF1057"/>
      <c r="GG1057"/>
      <c r="GH1057"/>
      <c r="GI1057"/>
      <c r="GJ1057"/>
      <c r="GK1057"/>
      <c r="GL1057"/>
      <c r="GM1057"/>
      <c r="GN1057"/>
      <c r="GO1057"/>
      <c r="GP1057"/>
      <c r="GQ1057"/>
      <c r="GR1057"/>
      <c r="GS1057"/>
      <c r="GT1057"/>
      <c r="GU1057"/>
      <c r="GV1057"/>
      <c r="GW1057"/>
      <c r="GX1057"/>
      <c r="GY1057"/>
      <c r="GZ1057"/>
      <c r="HA1057"/>
      <c r="HB1057"/>
      <c r="HC1057"/>
      <c r="HD1057"/>
      <c r="HE1057"/>
      <c r="HF1057"/>
      <c r="HG1057"/>
      <c r="HH1057"/>
      <c r="HI1057"/>
      <c r="HJ1057"/>
      <c r="HK1057"/>
      <c r="HL1057"/>
      <c r="HM1057"/>
      <c r="HN1057"/>
      <c r="HO1057"/>
      <c r="HP1057"/>
      <c r="HQ1057"/>
      <c r="HR1057"/>
      <c r="HS1057"/>
      <c r="HT1057"/>
      <c r="HU1057"/>
      <c r="HV1057"/>
      <c r="HW1057"/>
      <c r="HX1057"/>
      <c r="HY1057"/>
      <c r="HZ1057"/>
      <c r="IA1057"/>
      <c r="IB1057"/>
      <c r="IC1057"/>
      <c r="ID1057"/>
      <c r="IE1057"/>
      <c r="IF1057"/>
      <c r="IG1057"/>
      <c r="IH1057"/>
      <c r="II1057"/>
      <c r="IJ1057"/>
      <c r="IK1057"/>
      <c r="IL1057"/>
      <c r="IM1057"/>
      <c r="IN1057"/>
      <c r="IO1057"/>
      <c r="IP1057"/>
      <c r="IQ1057"/>
      <c r="IR1057"/>
      <c r="IS1057"/>
      <c r="IT1057"/>
      <c r="IU1057"/>
      <c r="IV1057"/>
    </row>
    <row r="1058" ht="31.5" customHeight="1">
      <c r="A1058" s="604" t="s">
        <v>755</v>
      </c>
      <c r="B1058" s="604"/>
      <c r="C1058" s="604"/>
      <c r="D1058" s="1130" t="s">
        <v>254</v>
      </c>
      <c r="K1058" s="633"/>
      <c r="L1058" s="880"/>
      <c r="M1058"/>
      <c r="Q1058" s="44"/>
      <c r="R1058" s="44"/>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c r="GE1058"/>
      <c r="GF1058"/>
      <c r="GG1058"/>
      <c r="GH1058"/>
      <c r="GI1058"/>
      <c r="GJ1058"/>
      <c r="GK1058"/>
      <c r="GL1058"/>
      <c r="GM1058"/>
      <c r="GN1058"/>
      <c r="GO1058"/>
      <c r="GP1058"/>
      <c r="GQ1058"/>
      <c r="GR1058"/>
      <c r="GS1058"/>
      <c r="GT1058"/>
      <c r="GU1058"/>
      <c r="GV1058"/>
      <c r="GW1058"/>
      <c r="GX1058"/>
      <c r="GY1058"/>
      <c r="GZ1058"/>
      <c r="HA1058"/>
      <c r="HB1058"/>
      <c r="HC1058"/>
      <c r="HD1058"/>
      <c r="HE1058"/>
      <c r="HF1058"/>
      <c r="HG1058"/>
      <c r="HH1058"/>
      <c r="HI1058"/>
      <c r="HJ1058"/>
      <c r="HK1058"/>
      <c r="HL1058"/>
      <c r="HM1058"/>
      <c r="HN1058"/>
      <c r="HO1058"/>
      <c r="HP1058"/>
      <c r="HQ1058"/>
      <c r="HR1058"/>
      <c r="HS1058"/>
      <c r="HT1058"/>
      <c r="HU1058"/>
      <c r="HV1058"/>
      <c r="HW1058"/>
      <c r="HX1058"/>
      <c r="HY1058"/>
      <c r="HZ1058"/>
      <c r="IA1058"/>
      <c r="IB1058"/>
      <c r="IC1058"/>
      <c r="ID1058"/>
      <c r="IE1058"/>
      <c r="IF1058"/>
      <c r="IG1058"/>
      <c r="IH1058"/>
      <c r="II1058"/>
      <c r="IJ1058"/>
      <c r="IK1058"/>
      <c r="IL1058"/>
      <c r="IM1058"/>
      <c r="IN1058"/>
      <c r="IO1058"/>
      <c r="IP1058"/>
      <c r="IQ1058"/>
      <c r="IR1058"/>
      <c r="IS1058"/>
      <c r="IT1058"/>
      <c r="IU1058"/>
      <c r="IV1058"/>
    </row>
    <row r="1059" ht="15.75" customHeight="1">
      <c r="A1059" s="798"/>
      <c r="K1059" s="633"/>
      <c r="L1059" s="880"/>
      <c r="M1059"/>
      <c r="Q1059" s="44"/>
      <c r="R1059" s="44"/>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c r="GH1059"/>
      <c r="GI1059"/>
      <c r="GJ1059"/>
      <c r="GK1059"/>
      <c r="GL1059"/>
      <c r="GM1059"/>
      <c r="GN1059"/>
      <c r="GO1059"/>
      <c r="GP1059"/>
      <c r="GQ1059"/>
      <c r="GR1059"/>
      <c r="GS1059"/>
      <c r="GT1059"/>
      <c r="GU1059"/>
      <c r="GV1059"/>
      <c r="GW1059"/>
      <c r="GX1059"/>
      <c r="GY1059"/>
      <c r="GZ1059"/>
      <c r="HA1059"/>
      <c r="HB1059"/>
      <c r="HC1059"/>
      <c r="HD1059"/>
      <c r="HE1059"/>
      <c r="HF1059"/>
      <c r="HG1059"/>
      <c r="HH1059"/>
      <c r="HI1059"/>
      <c r="HJ1059"/>
      <c r="HK1059"/>
      <c r="HL1059"/>
      <c r="HM1059"/>
      <c r="HN1059"/>
      <c r="HO1059"/>
      <c r="HP1059"/>
      <c r="HQ1059"/>
      <c r="HR1059"/>
      <c r="HS1059"/>
      <c r="HT1059"/>
      <c r="HU1059"/>
      <c r="HV1059"/>
      <c r="HW1059"/>
      <c r="HX1059"/>
      <c r="HY1059"/>
      <c r="HZ1059"/>
      <c r="IA1059"/>
      <c r="IB1059"/>
      <c r="IC1059"/>
      <c r="ID1059"/>
      <c r="IE1059"/>
      <c r="IF1059"/>
      <c r="IG1059"/>
      <c r="IH1059"/>
      <c r="II1059"/>
      <c r="IJ1059"/>
      <c r="IK1059"/>
      <c r="IL1059"/>
      <c r="IM1059"/>
      <c r="IN1059"/>
      <c r="IO1059"/>
      <c r="IP1059"/>
      <c r="IQ1059"/>
      <c r="IR1059"/>
      <c r="IS1059"/>
      <c r="IT1059"/>
      <c r="IU1059"/>
      <c r="IV1059"/>
    </row>
    <row r="1060" ht="33" customHeight="1">
      <c r="A1060" s="604" t="s">
        <v>753</v>
      </c>
      <c r="B1060" s="604"/>
      <c r="C1060" s="604"/>
      <c r="D1060" s="1096" t="n">
        <v>4</v>
      </c>
      <c r="H1060" s="12"/>
      <c r="K1060" s="633"/>
      <c r="L1060" s="880"/>
      <c r="Q1060" s="44"/>
      <c r="R1060" s="44"/>
    </row>
    <row r="1061" ht="15" customHeight="1">
      <c r="A1061"/>
      <c r="B1061"/>
      <c r="C1061"/>
      <c r="D1061"/>
      <c r="E1061"/>
      <c r="F1061"/>
      <c r="H1061"/>
      <c r="I1061"/>
      <c r="J1061"/>
      <c r="K1061"/>
      <c r="L1061"/>
      <c r="Q1061" s="44"/>
      <c r="R1061" s="44"/>
    </row>
    <row r="1062" ht="15" customHeight="1">
      <c r="A1062"/>
      <c r="B1062"/>
      <c r="C1062"/>
      <c r="D1062"/>
      <c r="E1062"/>
      <c r="F1062"/>
      <c r="G1062"/>
      <c r="H1062"/>
      <c r="I1062"/>
      <c r="J1062" s="9"/>
      <c r="K1062" s="1076"/>
      <c r="L1062" s="880"/>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c r="GE1062"/>
      <c r="GF1062"/>
      <c r="GG1062"/>
      <c r="GH1062"/>
      <c r="GI1062"/>
      <c r="GJ1062"/>
      <c r="GK1062"/>
      <c r="GL1062"/>
      <c r="GM1062"/>
      <c r="GN1062"/>
      <c r="GO1062"/>
      <c r="GP1062"/>
      <c r="GQ1062"/>
      <c r="GR1062"/>
      <c r="GS1062"/>
      <c r="GT1062"/>
      <c r="GU1062"/>
      <c r="GV1062"/>
      <c r="GW1062"/>
      <c r="GX1062"/>
      <c r="GY1062"/>
      <c r="GZ1062"/>
      <c r="HA1062"/>
      <c r="HB1062"/>
      <c r="HC1062"/>
      <c r="HD1062"/>
      <c r="HE1062"/>
      <c r="HF1062"/>
      <c r="HG1062"/>
      <c r="HH1062"/>
      <c r="HI1062"/>
      <c r="HJ1062"/>
      <c r="HK1062"/>
      <c r="HL1062"/>
      <c r="HM1062"/>
      <c r="HN1062"/>
      <c r="HO1062"/>
      <c r="HP1062"/>
      <c r="HQ1062"/>
      <c r="HR1062"/>
      <c r="HS1062"/>
      <c r="HT1062"/>
      <c r="HU1062"/>
      <c r="HV1062"/>
      <c r="HW1062"/>
      <c r="HX1062"/>
      <c r="HY1062"/>
      <c r="HZ1062"/>
      <c r="IA1062"/>
      <c r="IB1062"/>
      <c r="IC1062"/>
      <c r="ID1062"/>
      <c r="IE1062"/>
      <c r="IF1062"/>
      <c r="IG1062"/>
      <c r="IH1062"/>
      <c r="II1062"/>
      <c r="IJ1062"/>
      <c r="IK1062"/>
      <c r="IL1062"/>
      <c r="IM1062"/>
      <c r="IN1062"/>
      <c r="IO1062"/>
      <c r="IP1062"/>
      <c r="IQ1062"/>
      <c r="IR1062"/>
      <c r="IS1062"/>
      <c r="IT1062"/>
      <c r="IU1062"/>
      <c r="IV1062"/>
    </row>
    <row r="1063" ht="16.5" customHeight="1">
      <c r="A1063" s="1071" t="s">
        <v>1703</v>
      </c>
      <c r="B1063" s="1071"/>
      <c r="C1063" s="1071"/>
      <c r="D1063" s="1071"/>
      <c r="E1063" s="1071"/>
      <c r="F1063" s="1071"/>
      <c r="G1063" s="1071"/>
      <c r="H1063" s="42"/>
      <c r="I1063" s="42"/>
      <c r="J1063" s="42"/>
      <c r="K1063" s="1072"/>
      <c r="L1063" s="1073" t="s">
        <v>1704</v>
      </c>
    </row>
    <row r="1064" ht="16.5" customHeight="1">
      <c r="A1064" s="378"/>
      <c r="B1064" s="378"/>
      <c r="C1064" s="378"/>
      <c r="D1064" s="378"/>
      <c r="E1064" s="378"/>
      <c r="F1064" s="378"/>
      <c r="G1064" s="378"/>
      <c r="H1064" s="44"/>
      <c r="I1064" s="44"/>
      <c r="K1064" s="1076"/>
      <c r="L1064" s="880"/>
    </row>
    <row r="1065" ht="15.75" customHeight="1">
      <c r="A1065" s="12" t="s">
        <v>1705</v>
      </c>
      <c r="B1065"/>
      <c r="C1065"/>
      <c r="D1065" s="44"/>
      <c r="E1065"/>
      <c r="G1065" s="1122" t="s">
        <v>1706</v>
      </c>
      <c r="H1065" s="13" t="s">
        <v>803</v>
      </c>
      <c r="I1065" s="591"/>
      <c r="J1065" s="591"/>
      <c r="K1065" s="591"/>
      <c r="L1065" s="880" t="s">
        <v>1707</v>
      </c>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c r="IK1065"/>
      <c r="IL1065"/>
      <c r="IM1065"/>
      <c r="IN1065"/>
      <c r="IO1065"/>
      <c r="IP1065"/>
      <c r="IQ1065"/>
      <c r="IR1065"/>
      <c r="IS1065"/>
      <c r="IT1065"/>
      <c r="IU1065"/>
      <c r="IV1065"/>
    </row>
    <row r="1066" ht="15.75" customHeight="1">
      <c r="L1066" s="880"/>
      <c r="M1066" s="9"/>
      <c r="N1066" s="9"/>
      <c r="O1066" s="9"/>
      <c r="P1066" s="9"/>
      <c r="Q1066" s="9"/>
      <c r="R1066" s="9"/>
      <c r="S1066" s="9"/>
    </row>
    <row r="1067" ht="15.75" customHeight="1">
      <c r="A1067" s="12"/>
      <c r="G1067" s="834"/>
      <c r="J1067" s="29"/>
      <c r="L1067" s="880"/>
    </row>
    <row r="1068" ht="15.75" customHeight="1">
      <c r="A1068" s="12" t="s">
        <v>1708</v>
      </c>
      <c r="B1068" s="9"/>
      <c r="C1068" s="9"/>
      <c r="E1068" s="9"/>
      <c r="G1068" s="1122" t="s">
        <v>1706</v>
      </c>
      <c r="H1068" s="13" t="s">
        <v>803</v>
      </c>
      <c r="I1068" s="591"/>
      <c r="J1068" s="591"/>
      <c r="K1068" s="591"/>
      <c r="L1068" s="880"/>
      <c r="M1068" s="9"/>
      <c r="N1068" s="9"/>
      <c r="O1068" s="9"/>
      <c r="P1068" s="9"/>
      <c r="Q1068" s="9"/>
      <c r="R1068" s="9"/>
      <c r="S1068" s="9"/>
    </row>
    <row r="1069" ht="15.75" customHeight="1">
      <c r="A1069" s="44"/>
      <c r="B1069" s="44"/>
      <c r="C1069" s="44"/>
      <c r="D1069" s="44"/>
      <c r="E1069" s="44"/>
      <c r="F1069" s="44"/>
      <c r="G1069" s="44"/>
      <c r="H1069" s="44"/>
      <c r="I1069" s="44"/>
      <c r="J1069" s="44"/>
      <c r="K1069" s="1076"/>
      <c r="L1069" s="880"/>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c r="IE1069"/>
      <c r="IF1069"/>
      <c r="IG1069"/>
      <c r="IH1069"/>
      <c r="II1069"/>
      <c r="IJ1069"/>
      <c r="IK1069"/>
      <c r="IL1069"/>
      <c r="IM1069"/>
      <c r="IN1069"/>
      <c r="IO1069"/>
      <c r="IP1069"/>
      <c r="IQ1069"/>
      <c r="IR1069"/>
      <c r="IS1069"/>
      <c r="IT1069"/>
      <c r="IU1069"/>
      <c r="IV1069"/>
    </row>
    <row r="1070" ht="15.75" customHeight="1">
      <c r="A1070"/>
      <c r="B1070"/>
      <c r="C1070"/>
      <c r="D1070"/>
      <c r="E1070"/>
      <c r="F1070"/>
      <c r="G1070" s="634"/>
      <c r="H1070"/>
      <c r="I1070"/>
      <c r="J1070"/>
      <c r="K1070" s="1076"/>
      <c r="L1070" s="88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c r="IE1070"/>
      <c r="IF1070"/>
      <c r="IG1070"/>
      <c r="IH1070"/>
      <c r="II1070"/>
      <c r="IJ1070"/>
      <c r="IK1070"/>
      <c r="IL1070"/>
      <c r="IM1070"/>
      <c r="IN1070"/>
      <c r="IO1070"/>
      <c r="IP1070"/>
      <c r="IQ1070"/>
      <c r="IR1070"/>
      <c r="IS1070"/>
      <c r="IT1070"/>
      <c r="IU1070"/>
      <c r="IV1070"/>
    </row>
    <row r="1071" ht="15.75" customHeight="1">
      <c r="A1071" s="12" t="s">
        <v>1709</v>
      </c>
      <c r="B1071" s="9"/>
      <c r="C1071" s="9"/>
      <c r="D1071" s="9"/>
      <c r="E1071" s="811"/>
      <c r="G1071" s="1093" t="s">
        <v>254</v>
      </c>
      <c r="H1071" s="811"/>
      <c r="I1071" s="9"/>
      <c r="J1071" s="9"/>
      <c r="K1071" s="1076"/>
      <c r="L1071" s="880"/>
    </row>
    <row r="1072" ht="15.75" customHeight="1">
      <c r="A1072"/>
      <c r="B1072"/>
      <c r="C1072"/>
      <c r="D1072"/>
      <c r="E1072"/>
      <c r="F1072"/>
      <c r="G1072" s="634"/>
      <c r="H1072"/>
      <c r="I1072"/>
      <c r="K1072" s="1076"/>
      <c r="L1072" s="880"/>
    </row>
    <row r="1073" ht="15.75" customHeight="1">
      <c r="A1073" s="635" t="s">
        <v>796</v>
      </c>
      <c r="D1073" s="1122" t="s">
        <v>254</v>
      </c>
      <c r="E1073" s="13" t="s">
        <v>1639</v>
      </c>
      <c r="F1073" s="591"/>
      <c r="G1073" s="591"/>
      <c r="H1073" s="591"/>
    </row>
    <row r="1074" ht="15.75" customHeight="1">
      <c r="A1074"/>
      <c r="B1074"/>
      <c r="C1074"/>
      <c r="D1074"/>
      <c r="E1074"/>
      <c r="F1074"/>
      <c r="G1074"/>
      <c r="H1074"/>
      <c r="I1074"/>
      <c r="K1074" s="1076"/>
      <c r="L1074" s="880"/>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c r="IK1074"/>
      <c r="IL1074"/>
      <c r="IM1074"/>
      <c r="IN1074"/>
      <c r="IO1074"/>
      <c r="IP1074"/>
      <c r="IQ1074"/>
      <c r="IR1074"/>
      <c r="IS1074"/>
      <c r="IT1074"/>
      <c r="IU1074"/>
      <c r="IV1074"/>
    </row>
    <row r="1075" ht="15.75" customHeight="1">
      <c r="A1075" s="12" t="s">
        <v>798</v>
      </c>
      <c r="C1075" s="1122" t="s">
        <v>254</v>
      </c>
      <c r="D1075" s="636" t="s">
        <v>1710</v>
      </c>
      <c r="E1075" s="636"/>
      <c r="F1075" s="636"/>
      <c r="G1075" s="591"/>
      <c r="H1075" s="591"/>
      <c r="I1075" s="591"/>
      <c r="J1075" s="591"/>
      <c r="K1075" s="1076"/>
      <c r="L1075" s="880"/>
      <c r="M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c r="IK1075"/>
      <c r="IL1075"/>
      <c r="IM1075"/>
      <c r="IN1075"/>
      <c r="IO1075"/>
      <c r="IP1075"/>
      <c r="IQ1075"/>
      <c r="IR1075"/>
      <c r="IS1075"/>
      <c r="IT1075"/>
      <c r="IU1075"/>
      <c r="IV1075"/>
    </row>
    <row r="1076" ht="15.75" customHeight="1">
      <c r="A1076" s="637"/>
      <c r="B1076" s="9"/>
      <c r="C1076" s="9"/>
      <c r="E1076" s="811"/>
      <c r="F1076" s="811"/>
      <c r="G1076" s="40"/>
      <c r="J1076" s="9"/>
      <c r="K1076" s="1076"/>
      <c r="L1076" s="880"/>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c r="IK1076"/>
      <c r="IL1076"/>
      <c r="IM1076"/>
      <c r="IN1076"/>
      <c r="IO1076"/>
      <c r="IP1076"/>
      <c r="IQ1076"/>
      <c r="IR1076"/>
      <c r="IS1076"/>
      <c r="IT1076"/>
      <c r="IU1076"/>
      <c r="IV1076"/>
    </row>
    <row r="1077" ht="15.75" customHeight="1">
      <c r="A1077" s="808" t="s">
        <v>1711</v>
      </c>
      <c r="B1077" s="9"/>
      <c r="C1077" s="1122" t="s">
        <v>254</v>
      </c>
      <c r="E1077" s="811"/>
      <c r="F1077" s="811"/>
      <c r="G1077" s="40"/>
      <c r="H1077" s="811"/>
      <c r="I1077" s="9"/>
      <c r="K1077" s="1076"/>
      <c r="L1077" s="880" t="s">
        <v>1712</v>
      </c>
    </row>
    <row r="1078" ht="15" customHeight="1">
      <c r="A1078" s="637"/>
      <c r="B1078" s="9"/>
      <c r="C1078" s="9"/>
      <c r="D1078" s="9"/>
      <c r="E1078" s="811"/>
      <c r="F1078" s="811"/>
      <c r="G1078" s="40"/>
      <c r="H1078" s="811"/>
      <c r="I1078" s="9"/>
      <c r="K1078" s="1076"/>
      <c r="L1078" s="880"/>
    </row>
    <row r="1079" ht="15" customHeight="1">
      <c r="A1079"/>
      <c r="B1079"/>
      <c r="C1079"/>
      <c r="D1079"/>
      <c r="E1079"/>
      <c r="F1079"/>
      <c r="G1079"/>
      <c r="H1079"/>
      <c r="I1079"/>
      <c r="J1079"/>
      <c r="K1079" s="1076"/>
      <c r="L1079" s="880"/>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c r="IK1079"/>
      <c r="IL1079"/>
      <c r="IM1079"/>
      <c r="IN1079"/>
      <c r="IO1079"/>
      <c r="IP1079"/>
      <c r="IQ1079"/>
      <c r="IR1079"/>
      <c r="IS1079"/>
      <c r="IT1079"/>
      <c r="IU1079"/>
      <c r="IV1079"/>
    </row>
    <row r="1080" ht="16.5" customHeight="1">
      <c r="A1080" s="1071" t="s">
        <v>1713</v>
      </c>
      <c r="B1080" s="1071"/>
      <c r="C1080" s="1071"/>
      <c r="D1080" s="1071"/>
      <c r="E1080" s="1071"/>
      <c r="F1080" s="1071"/>
      <c r="G1080" s="1071"/>
      <c r="H1080" s="42"/>
      <c r="I1080" s="42"/>
      <c r="J1080" s="42"/>
      <c r="K1080" s="1072"/>
      <c r="L1080" s="1073" t="s">
        <v>1707</v>
      </c>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c r="IK1080"/>
      <c r="IL1080"/>
      <c r="IM1080"/>
      <c r="IN1080"/>
      <c r="IO1080"/>
      <c r="IP1080"/>
      <c r="IQ1080"/>
      <c r="IR1080"/>
      <c r="IS1080"/>
      <c r="IT1080"/>
      <c r="IU1080"/>
      <c r="IV1080"/>
    </row>
    <row r="1081" ht="15" customHeight="1">
      <c r="A1081" s="378"/>
      <c r="B1081" s="378"/>
      <c r="C1081" s="378"/>
      <c r="D1081" s="378"/>
      <c r="E1081" s="378"/>
      <c r="F1081" s="378"/>
      <c r="G1081" s="378"/>
      <c r="H1081"/>
      <c r="I1081"/>
      <c r="J1081" s="29"/>
      <c r="K1081" s="1076"/>
      <c r="L1081" s="880"/>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c r="IK1081"/>
      <c r="IL1081"/>
      <c r="IM1081"/>
      <c r="IN1081"/>
      <c r="IO1081"/>
      <c r="IP1081"/>
      <c r="IQ1081"/>
      <c r="IR1081"/>
      <c r="IS1081"/>
      <c r="IT1081"/>
      <c r="IU1081"/>
      <c r="IV1081"/>
    </row>
    <row r="1082" ht="15.75" customHeight="1">
      <c r="A1082" s="820" t="s">
        <v>801</v>
      </c>
      <c r="B1082" s="820"/>
      <c r="C1082" s="1122" t="s">
        <v>1714</v>
      </c>
      <c r="D1082" s="13" t="s">
        <v>803</v>
      </c>
      <c r="E1082" s="591"/>
      <c r="F1082" s="591"/>
      <c r="G1082"/>
      <c r="J1082" s="9"/>
      <c r="K1082" s="1076"/>
      <c r="L1082" s="880"/>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c r="IK1082"/>
      <c r="IL1082"/>
      <c r="IM1082"/>
      <c r="IN1082"/>
      <c r="IO1082"/>
      <c r="IP1082"/>
      <c r="IQ1082"/>
      <c r="IR1082"/>
      <c r="IS1082"/>
      <c r="IT1082"/>
      <c r="IU1082"/>
      <c r="IV1082"/>
    </row>
    <row r="1083" ht="15" customHeight="1">
      <c r="A1083" s="9" t="s">
        <v>802</v>
      </c>
      <c r="E1083" s="9"/>
      <c r="K1083" s="1076"/>
      <c r="L1083" s="880"/>
    </row>
    <row r="1084" ht="15.75" customHeight="1">
      <c r="A1084"/>
      <c r="B1084"/>
      <c r="C1084"/>
      <c r="D1084"/>
      <c r="E1084" s="646"/>
      <c r="F1084"/>
      <c r="G1084"/>
      <c r="H1084"/>
      <c r="I1084"/>
      <c r="J1084" s="9"/>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c r="IK1084"/>
      <c r="IL1084"/>
      <c r="IM1084"/>
      <c r="IN1084"/>
      <c r="IO1084"/>
      <c r="IP1084"/>
      <c r="IQ1084"/>
      <c r="IR1084"/>
      <c r="IS1084"/>
      <c r="IT1084"/>
      <c r="IU1084"/>
      <c r="IV1084"/>
    </row>
    <row r="1085" ht="15.75" customHeight="1">
      <c r="A1085" s="820" t="s">
        <v>804</v>
      </c>
      <c r="B1085" s="820"/>
      <c r="C1085" s="1122" t="s">
        <v>254</v>
      </c>
      <c r="D1085" s="13" t="s">
        <v>806</v>
      </c>
      <c r="E1085" s="591"/>
      <c r="F1085" s="591"/>
      <c r="G1085"/>
      <c r="H1085"/>
      <c r="I1085"/>
      <c r="J1085" s="9"/>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c r="IK1085"/>
      <c r="IL1085"/>
      <c r="IM1085"/>
      <c r="IN1085"/>
      <c r="IO1085"/>
      <c r="IP1085"/>
      <c r="IQ1085"/>
      <c r="IR1085"/>
      <c r="IS1085"/>
      <c r="IT1085"/>
      <c r="IU1085"/>
      <c r="IV1085"/>
    </row>
    <row r="1086" ht="15" customHeight="1">
      <c r="A1086" s="798" t="s">
        <v>805</v>
      </c>
      <c r="B1086"/>
      <c r="C1086"/>
      <c r="D1086"/>
      <c r="E1086"/>
      <c r="F1086"/>
      <c r="G1086"/>
      <c r="H1086"/>
      <c r="I1086"/>
      <c r="J1086" s="9"/>
      <c r="K1086"/>
      <c r="L1086"/>
      <c r="M1086"/>
      <c r="N1086"/>
      <c r="O1086"/>
      <c r="P1086" s="9"/>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c r="IK1086"/>
      <c r="IL1086"/>
      <c r="IM1086"/>
      <c r="IN1086"/>
      <c r="IO1086"/>
      <c r="IP1086"/>
      <c r="IQ1086"/>
      <c r="IR1086"/>
      <c r="IS1086"/>
      <c r="IT1086"/>
      <c r="IU1086"/>
      <c r="IV1086"/>
    </row>
    <row r="1087" ht="15" customHeight="1">
      <c r="A1087"/>
      <c r="B1087"/>
      <c r="C1087"/>
      <c r="D1087"/>
      <c r="E1087"/>
      <c r="F1087"/>
      <c r="G1087"/>
      <c r="H1087"/>
      <c r="I1087"/>
      <c r="J1087" s="9"/>
      <c r="K1087"/>
      <c r="L1087"/>
      <c r="M1087"/>
      <c r="N1087"/>
      <c r="O1087"/>
      <c r="P1087" s="9"/>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c r="IK1087"/>
      <c r="IL1087"/>
      <c r="IM1087"/>
      <c r="IN1087"/>
      <c r="IO1087"/>
      <c r="IP1087"/>
      <c r="IQ1087"/>
      <c r="IR1087"/>
      <c r="IS1087"/>
      <c r="IT1087"/>
      <c r="IU1087"/>
      <c r="IV1087"/>
    </row>
    <row r="1088" ht="15" customHeight="1">
      <c r="J1088" s="9"/>
    </row>
    <row r="1089" ht="16.5" customHeight="1">
      <c r="A1089" s="1071" t="s">
        <v>1715</v>
      </c>
      <c r="B1089" s="1071"/>
      <c r="C1089" s="1071"/>
      <c r="D1089" s="1071"/>
      <c r="E1089" s="1071"/>
      <c r="F1089" s="1071"/>
      <c r="G1089" s="1071"/>
      <c r="H1089" s="42"/>
      <c r="I1089" s="42"/>
      <c r="J1089" s="42"/>
      <c r="K1089" s="1072"/>
      <c r="L1089" s="1073" t="s">
        <v>1707</v>
      </c>
      <c r="M1089" s="44"/>
      <c r="N1089"/>
      <c r="O1089"/>
      <c r="P1089"/>
      <c r="Q1089" s="44"/>
      <c r="R1089" s="44"/>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c r="IK1089"/>
      <c r="IL1089"/>
      <c r="IM1089"/>
      <c r="IN1089"/>
      <c r="IO1089"/>
      <c r="IP1089"/>
      <c r="IQ1089"/>
      <c r="IR1089"/>
      <c r="IS1089"/>
      <c r="IT1089"/>
      <c r="IU1089"/>
      <c r="IV1089"/>
    </row>
    <row r="1090" ht="16.5" customHeight="1">
      <c r="A1090" s="378"/>
      <c r="B1090" s="378"/>
      <c r="C1090" s="378"/>
      <c r="D1090" s="378"/>
      <c r="E1090" s="378"/>
      <c r="F1090" s="378"/>
      <c r="G1090" s="378"/>
      <c r="H1090"/>
      <c r="I1090" s="834"/>
      <c r="J1090" s="398"/>
      <c r="K1090" s="1076"/>
      <c r="L1090" s="880"/>
      <c r="M1090" s="44"/>
      <c r="N1090"/>
      <c r="O1090"/>
      <c r="P1090"/>
      <c r="Q1090" s="44"/>
      <c r="R1090" s="44"/>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c r="IK1090"/>
      <c r="IL1090"/>
      <c r="IM1090"/>
      <c r="IN1090"/>
      <c r="IO1090"/>
      <c r="IP1090"/>
      <c r="IQ1090"/>
      <c r="IR1090"/>
      <c r="IS1090"/>
      <c r="IT1090"/>
      <c r="IU1090"/>
      <c r="IV1090"/>
    </row>
    <row r="1091" ht="15.75" customHeight="1">
      <c r="A1091" s="12" t="s">
        <v>809</v>
      </c>
      <c r="B1091"/>
      <c r="C1091" s="1096" t="n">
        <v>5</v>
      </c>
      <c r="D1091" s="798" t="s">
        <v>810</v>
      </c>
      <c r="G1091"/>
      <c r="H1091"/>
      <c r="I1091"/>
      <c r="J1091" s="9"/>
      <c r="K1091"/>
      <c r="L1091"/>
      <c r="M1091"/>
      <c r="Q1091" s="44"/>
      <c r="R1091" s="44"/>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c r="IK1091"/>
      <c r="IL1091"/>
      <c r="IM1091"/>
      <c r="IN1091"/>
      <c r="IO1091"/>
      <c r="IP1091"/>
      <c r="IQ1091"/>
      <c r="IR1091"/>
      <c r="IS1091"/>
      <c r="IT1091"/>
      <c r="IU1091"/>
      <c r="IV1091"/>
    </row>
    <row r="1092" ht="15" customHeight="1">
      <c r="A1092" s="12"/>
      <c r="B1092"/>
      <c r="C1092"/>
      <c r="D1092" s="1067"/>
      <c r="E1092"/>
      <c r="F1092"/>
      <c r="G1092"/>
      <c r="H1092"/>
      <c r="I1092"/>
      <c r="J1092" s="9"/>
      <c r="K1092"/>
      <c r="L1092"/>
      <c r="M1092"/>
      <c r="N1092"/>
      <c r="O1092"/>
      <c r="P1092"/>
      <c r="Q1092" s="44"/>
      <c r="R1092" s="44"/>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c r="IK1092"/>
      <c r="IL1092"/>
      <c r="IM1092"/>
      <c r="IN1092"/>
      <c r="IO1092"/>
      <c r="IP1092"/>
      <c r="IQ1092"/>
      <c r="IR1092"/>
      <c r="IS1092"/>
      <c r="IT1092"/>
      <c r="IU1092"/>
      <c r="IV1092"/>
    </row>
    <row r="1093" ht="15" customHeight="1">
      <c r="A1093"/>
      <c r="B1093"/>
      <c r="C1093"/>
      <c r="D1093"/>
      <c r="E1093"/>
      <c r="F1093"/>
      <c r="G1093"/>
      <c r="H1093"/>
      <c r="I1093"/>
      <c r="J1093" s="9"/>
      <c r="K1093"/>
      <c r="L1093"/>
      <c r="M1093"/>
      <c r="N1093"/>
      <c r="O1093"/>
      <c r="P1093"/>
      <c r="Q1093" s="44"/>
      <c r="R1093" s="44"/>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c r="HJ1093"/>
      <c r="HK1093"/>
      <c r="HL1093"/>
      <c r="HM1093"/>
      <c r="HN1093"/>
      <c r="HO1093"/>
      <c r="HP1093"/>
      <c r="HQ1093"/>
      <c r="HR1093"/>
      <c r="HS1093"/>
      <c r="HT1093"/>
      <c r="HU1093"/>
      <c r="HV1093"/>
      <c r="HW1093"/>
      <c r="HX1093"/>
      <c r="HY1093"/>
      <c r="HZ1093"/>
      <c r="IA1093"/>
      <c r="IB1093"/>
      <c r="IC1093"/>
      <c r="ID1093"/>
      <c r="IE1093"/>
      <c r="IF1093"/>
      <c r="IG1093"/>
      <c r="IH1093"/>
      <c r="II1093"/>
      <c r="IJ1093"/>
      <c r="IK1093"/>
      <c r="IL1093"/>
      <c r="IM1093"/>
      <c r="IN1093"/>
      <c r="IO1093"/>
      <c r="IP1093"/>
      <c r="IQ1093"/>
      <c r="IR1093"/>
      <c r="IS1093"/>
      <c r="IT1093"/>
      <c r="IU1093"/>
      <c r="IV1093"/>
    </row>
    <row r="1094" ht="16.5" customHeight="1">
      <c r="A1094" s="1071" t="s">
        <v>1716</v>
      </c>
      <c r="B1094" s="1071"/>
      <c r="C1094" s="1071"/>
      <c r="D1094" s="1071"/>
      <c r="E1094" s="1071"/>
      <c r="F1094" s="1071"/>
      <c r="G1094" s="1071"/>
      <c r="H1094" s="42"/>
      <c r="I1094" s="42"/>
      <c r="J1094" s="42"/>
      <c r="K1094" s="1072"/>
      <c r="L1094" s="1073" t="s">
        <v>1707</v>
      </c>
      <c r="M1094"/>
      <c r="N1094" s="522"/>
      <c r="O1094" s="522"/>
      <c r="P1094" s="522"/>
      <c r="Q1094" s="522"/>
      <c r="R1094" s="522"/>
      <c r="S1094" s="522"/>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c r="IE1094"/>
      <c r="IF1094"/>
      <c r="IG1094"/>
      <c r="IH1094"/>
      <c r="II1094"/>
      <c r="IJ1094"/>
      <c r="IK1094"/>
      <c r="IL1094"/>
      <c r="IM1094"/>
      <c r="IN1094"/>
      <c r="IO1094"/>
      <c r="IP1094"/>
      <c r="IQ1094"/>
      <c r="IR1094"/>
      <c r="IS1094"/>
      <c r="IT1094"/>
      <c r="IU1094"/>
      <c r="IV1094"/>
    </row>
    <row r="1095" ht="16.5" customHeight="1">
      <c r="A1095" s="378"/>
      <c r="B1095" s="378"/>
      <c r="C1095" s="378"/>
      <c r="D1095" s="378"/>
      <c r="E1095" s="378"/>
      <c r="F1095" s="378"/>
      <c r="G1095" s="378"/>
      <c r="H1095"/>
      <c r="I1095"/>
      <c r="J1095" s="9"/>
      <c r="K1095" s="1076"/>
      <c r="L1095" s="880"/>
      <c r="M1095"/>
      <c r="N1095" s="522"/>
      <c r="O1095" s="522"/>
      <c r="P1095" s="522"/>
      <c r="Q1095" s="522"/>
      <c r="R1095" s="522"/>
      <c r="S1095" s="522"/>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c r="IE1095"/>
      <c r="IF1095"/>
      <c r="IG1095"/>
      <c r="IH1095"/>
      <c r="II1095"/>
      <c r="IJ1095"/>
      <c r="IK1095"/>
      <c r="IL1095"/>
      <c r="IM1095"/>
      <c r="IN1095"/>
      <c r="IO1095"/>
      <c r="IP1095"/>
      <c r="IQ1095"/>
      <c r="IR1095"/>
      <c r="IS1095"/>
      <c r="IT1095"/>
      <c r="IU1095"/>
      <c r="IV1095"/>
    </row>
    <row r="1096" ht="15.75" customHeight="1">
      <c r="A1096" s="820" t="s">
        <v>1717</v>
      </c>
      <c r="B1096" s="820"/>
      <c r="C1096" s="820"/>
      <c r="D1096" s="820"/>
      <c r="E1096" s="1093" t="n">
        <v>2</v>
      </c>
      <c r="F1096" s="798" t="s">
        <v>1718</v>
      </c>
      <c r="H1096"/>
      <c r="I1096"/>
      <c r="J1096" s="9"/>
      <c r="K1096"/>
      <c r="L1096"/>
      <c r="M1096"/>
      <c r="N1096" s="9"/>
      <c r="O1096" s="9"/>
      <c r="P1096" s="9"/>
      <c r="Q1096" s="9"/>
      <c r="R1096" s="9"/>
      <c r="S1096" s="9"/>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c r="IK1096"/>
      <c r="IL1096"/>
      <c r="IM1096"/>
      <c r="IN1096"/>
      <c r="IO1096"/>
      <c r="IP1096"/>
      <c r="IQ1096"/>
      <c r="IR1096"/>
      <c r="IS1096"/>
      <c r="IT1096"/>
      <c r="IU1096"/>
      <c r="IV1096"/>
    </row>
    <row r="1097" ht="15.75" customHeight="1">
      <c r="A1097" s="820" t="s">
        <v>1719</v>
      </c>
      <c r="B1097" s="820"/>
      <c r="C1097" s="820"/>
      <c r="D1097" s="820"/>
      <c r="E1097" s="1093" t="n">
        <v>1</v>
      </c>
      <c r="F1097" s="798" t="s">
        <v>1720</v>
      </c>
      <c r="H1097"/>
      <c r="I1097"/>
      <c r="J1097" s="9"/>
      <c r="K1097"/>
      <c r="L1097"/>
      <c r="M1097"/>
      <c r="N1097" s="522"/>
      <c r="O1097" s="522"/>
      <c r="P1097" s="522"/>
      <c r="Q1097" s="522"/>
      <c r="R1097" s="522"/>
      <c r="S1097" s="522"/>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c r="IK1097"/>
      <c r="IL1097"/>
      <c r="IM1097"/>
      <c r="IN1097"/>
      <c r="IO1097"/>
      <c r="IP1097"/>
      <c r="IQ1097"/>
      <c r="IR1097"/>
      <c r="IS1097"/>
      <c r="IT1097"/>
      <c r="IU1097"/>
      <c r="IV1097"/>
    </row>
    <row r="1098" ht="15" customHeight="1">
      <c r="A1098" s="798" t="s">
        <v>814</v>
      </c>
      <c r="J1098" s="9"/>
      <c r="N1098" s="522"/>
      <c r="O1098" s="522"/>
      <c r="P1098" s="522"/>
      <c r="Q1098" s="522"/>
      <c r="R1098" s="522"/>
      <c r="S1098" s="522"/>
    </row>
    <row r="1099" ht="15" customHeight="1">
      <c r="A1099"/>
      <c r="K1099" s="1076"/>
      <c r="L1099" s="880"/>
      <c r="M1099"/>
      <c r="N1099" s="522"/>
      <c r="O1099" s="522"/>
      <c r="P1099" s="522"/>
      <c r="Q1099" s="522"/>
      <c r="R1099" s="522"/>
      <c r="S1099" s="522"/>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c r="IE1099"/>
      <c r="IF1099"/>
      <c r="IG1099"/>
      <c r="IH1099"/>
      <c r="II1099"/>
      <c r="IJ1099"/>
      <c r="IK1099"/>
      <c r="IL1099"/>
      <c r="IM1099"/>
      <c r="IN1099"/>
      <c r="IO1099"/>
      <c r="IP1099"/>
      <c r="IQ1099"/>
      <c r="IR1099"/>
      <c r="IS1099"/>
      <c r="IT1099"/>
      <c r="IU1099"/>
      <c r="IV1099"/>
    </row>
    <row r="1100" ht="15" customHeight="1">
      <c r="A1100"/>
      <c r="K1100" s="1076"/>
      <c r="L1100" s="880"/>
      <c r="M1100"/>
      <c r="N1100" s="522"/>
      <c r="O1100" s="522"/>
      <c r="P1100" s="522"/>
      <c r="Q1100" s="522"/>
      <c r="R1100" s="522"/>
      <c r="S1100" s="522"/>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c r="IE1100"/>
      <c r="IF1100"/>
      <c r="IG1100"/>
      <c r="IH1100"/>
      <c r="II1100"/>
      <c r="IJ1100"/>
      <c r="IK1100"/>
      <c r="IL1100"/>
      <c r="IM1100"/>
      <c r="IN1100"/>
      <c r="IO1100"/>
      <c r="IP1100"/>
      <c r="IQ1100"/>
      <c r="IR1100"/>
      <c r="IS1100"/>
      <c r="IT1100"/>
      <c r="IU1100"/>
      <c r="IV1100"/>
    </row>
    <row r="1101" ht="16.5" customHeight="1">
      <c r="A1101" s="1071" t="s">
        <v>1721</v>
      </c>
      <c r="B1101" s="1071"/>
      <c r="C1101" s="1071"/>
      <c r="D1101" s="1071"/>
      <c r="E1101" s="1071"/>
      <c r="F1101" s="1071"/>
      <c r="G1101" s="1071"/>
      <c r="H1101" s="42"/>
      <c r="I1101" s="42"/>
      <c r="J1101" s="42"/>
      <c r="K1101" s="1072"/>
      <c r="L1101" s="1073" t="s">
        <v>1722</v>
      </c>
      <c r="M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c r="IE1101"/>
      <c r="IF1101"/>
      <c r="IG1101"/>
      <c r="IH1101"/>
      <c r="II1101"/>
      <c r="IJ1101"/>
      <c r="IK1101"/>
      <c r="IL1101"/>
      <c r="IM1101"/>
      <c r="IN1101"/>
      <c r="IO1101"/>
      <c r="IP1101"/>
      <c r="IQ1101"/>
      <c r="IR1101"/>
      <c r="IS1101"/>
      <c r="IT1101"/>
      <c r="IU1101"/>
      <c r="IV1101"/>
    </row>
    <row r="1102" ht="16.5" customHeight="1">
      <c r="A1102" s="378"/>
      <c r="B1102" s="378"/>
      <c r="C1102" s="378"/>
      <c r="D1102" s="378"/>
      <c r="E1102" s="378"/>
      <c r="F1102" s="378"/>
      <c r="G1102" s="378"/>
      <c r="H1102"/>
      <c r="I1102"/>
      <c r="J1102"/>
      <c r="K1102" s="633"/>
      <c r="L1102" s="880"/>
      <c r="M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c r="IE1102"/>
      <c r="IF1102"/>
      <c r="IG1102"/>
      <c r="IH1102"/>
      <c r="II1102"/>
      <c r="IJ1102"/>
      <c r="IK1102"/>
      <c r="IL1102"/>
      <c r="IM1102"/>
      <c r="IN1102"/>
      <c r="IO1102"/>
      <c r="IP1102"/>
      <c r="IQ1102"/>
      <c r="IR1102"/>
      <c r="IS1102"/>
      <c r="IT1102"/>
      <c r="IU1102"/>
      <c r="IV1102"/>
    </row>
    <row r="1103" ht="16.5" customHeight="1">
      <c r="A1103" s="820" t="s">
        <v>1596</v>
      </c>
      <c r="B1103" s="1000" t="str">
        <f aca="false">B19</f>
        <v>1 - monogastrique</v>
      </c>
      <c r="C1103" s="378"/>
      <c r="D1103" s="378"/>
      <c r="E1103" s="378"/>
      <c r="F1103" s="378"/>
      <c r="G1103" s="378"/>
      <c r="H1103"/>
      <c r="I1103"/>
      <c r="J1103"/>
      <c r="K1103" s="633"/>
      <c r="L1103" s="880"/>
      <c r="M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c r="IK1103"/>
      <c r="IL1103"/>
      <c r="IM1103"/>
      <c r="IN1103"/>
      <c r="IO1103"/>
      <c r="IP1103"/>
      <c r="IQ1103"/>
      <c r="IR1103"/>
      <c r="IS1103"/>
      <c r="IT1103"/>
      <c r="IU1103"/>
      <c r="IV1103"/>
    </row>
    <row r="1104" ht="16.5" customHeight="1">
      <c r="A1104" s="378"/>
      <c r="B1104" s="378"/>
      <c r="C1104" s="378"/>
      <c r="D1104" s="378"/>
      <c r="E1104" s="378"/>
      <c r="F1104" s="378"/>
      <c r="G1104" s="378"/>
      <c r="H1104"/>
      <c r="I1104"/>
      <c r="J1104"/>
      <c r="K1104" s="633"/>
      <c r="L1104" s="880"/>
      <c r="M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c r="IK1104"/>
      <c r="IL1104"/>
      <c r="IM1104"/>
      <c r="IN1104"/>
      <c r="IO1104"/>
      <c r="IP1104"/>
      <c r="IQ1104"/>
      <c r="IR1104"/>
      <c r="IS1104"/>
      <c r="IT1104"/>
      <c r="IU1104"/>
      <c r="IV1104"/>
    </row>
    <row r="1105" ht="16.5" customHeight="1">
      <c r="A1105" s="638" t="s">
        <v>1723</v>
      </c>
      <c r="B1105" s="638"/>
      <c r="C1105" s="638"/>
      <c r="D1105" s="638"/>
      <c r="E1105" s="638"/>
      <c r="F1105" s="638"/>
      <c r="G1105" s="638"/>
      <c r="H1105" s="638"/>
      <c r="I1105" s="638"/>
      <c r="J1105"/>
      <c r="K1105" s="633"/>
      <c r="L1105" s="880" t="s">
        <v>1475</v>
      </c>
      <c r="M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c r="IE1105"/>
      <c r="IF1105"/>
      <c r="IG1105"/>
      <c r="IH1105"/>
      <c r="II1105"/>
      <c r="IJ1105"/>
      <c r="IK1105"/>
      <c r="IL1105"/>
      <c r="IM1105"/>
      <c r="IN1105"/>
      <c r="IO1105"/>
      <c r="IP1105"/>
      <c r="IQ1105"/>
      <c r="IR1105"/>
      <c r="IS1105"/>
      <c r="IT1105"/>
      <c r="IU1105"/>
      <c r="IV1105"/>
    </row>
    <row r="1106" ht="16.5" customHeight="1">
      <c r="A1106" s="526"/>
      <c r="B1106" s="526"/>
      <c r="C1106" s="526"/>
      <c r="D1106" s="526"/>
      <c r="E1106" s="526"/>
      <c r="F1106" s="526"/>
      <c r="G1106" s="526"/>
      <c r="H1106" s="526"/>
      <c r="I1106" s="526"/>
      <c r="J1106"/>
      <c r="K1106" s="633"/>
      <c r="L1106" s="880"/>
      <c r="M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c r="IK1106"/>
      <c r="IL1106"/>
      <c r="IM1106"/>
      <c r="IN1106"/>
      <c r="IO1106"/>
      <c r="IP1106"/>
      <c r="IQ1106"/>
      <c r="IR1106"/>
      <c r="IS1106"/>
      <c r="IT1106"/>
      <c r="IU1106"/>
      <c r="IV1106"/>
    </row>
    <row r="1107" ht="16.5" customHeight="1">
      <c r="A1107" s="12" t="s">
        <v>274</v>
      </c>
      <c r="B1107" s="246"/>
      <c r="C1107" s="246"/>
      <c r="D1107" s="481" t="n">
        <f aca="false">SUM(E1108:E1112)</f>
        <v>4</v>
      </c>
      <c r="E1107" s="9"/>
      <c r="F1107" s="12" t="s">
        <v>279</v>
      </c>
      <c r="G1107" s="9"/>
      <c r="H1107" s="9"/>
      <c r="I1107" s="524" t="n">
        <f aca="false">SUM(J1108:J1116)</f>
        <v>3</v>
      </c>
      <c r="K1107" s="633"/>
      <c r="L1107" s="880"/>
      <c r="M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c r="IK1107"/>
      <c r="IL1107"/>
      <c r="IM1107"/>
      <c r="IN1107"/>
      <c r="IO1107"/>
      <c r="IP1107"/>
      <c r="IQ1107"/>
      <c r="IR1107"/>
      <c r="IS1107"/>
      <c r="IT1107"/>
      <c r="IU1107"/>
      <c r="IV1107"/>
    </row>
    <row r="1108" ht="16.5" customHeight="1">
      <c r="A1108" s="20" t="s">
        <v>275</v>
      </c>
      <c r="B1108" s="246"/>
      <c r="D1108" s="585" t="s">
        <v>253</v>
      </c>
      <c r="E1108" s="639" t="n">
        <f aca="false">IF(D1108="oui",1,0)</f>
        <v>1</v>
      </c>
      <c r="F1108" s="37" t="s">
        <v>280</v>
      </c>
      <c r="G1108" s="9"/>
      <c r="H1108" s="37"/>
      <c r="I1108" s="640" t="s">
        <v>253</v>
      </c>
      <c r="J1108" s="641" t="n">
        <f aca="false">IF(I1108="oui",1,0)</f>
        <v>1</v>
      </c>
      <c r="K1108" s="633"/>
      <c r="L1108" s="880"/>
      <c r="M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row>
    <row r="1109" ht="16.5" customHeight="1">
      <c r="A1109" s="37" t="s">
        <v>1724</v>
      </c>
      <c r="B1109" s="37"/>
      <c r="C1109" s="37"/>
      <c r="D1109" s="585" t="s">
        <v>253</v>
      </c>
      <c r="E1109" s="639" t="n">
        <f aca="false">IF(D1109="oui",1,0)</f>
        <v>1</v>
      </c>
      <c r="F1109" s="37" t="s">
        <v>281</v>
      </c>
      <c r="G1109" s="9"/>
      <c r="H1109" s="37"/>
      <c r="I1109" s="640" t="s">
        <v>254</v>
      </c>
      <c r="J1109" s="641" t="n">
        <f aca="false">IF(I1109="oui",1,0)</f>
        <v>0</v>
      </c>
      <c r="K1109" s="633"/>
      <c r="L1109" s="880"/>
      <c r="M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c r="IK1109"/>
      <c r="IL1109"/>
      <c r="IM1109"/>
      <c r="IN1109"/>
      <c r="IO1109"/>
      <c r="IP1109"/>
      <c r="IQ1109"/>
      <c r="IR1109"/>
      <c r="IS1109"/>
      <c r="IT1109"/>
      <c r="IU1109"/>
      <c r="IV1109"/>
    </row>
    <row r="1110" ht="15.75" customHeight="1">
      <c r="A1110" s="408" t="s">
        <v>1725</v>
      </c>
      <c r="B1110" s="408"/>
      <c r="C1110" s="408"/>
      <c r="D1110" s="642" t="s">
        <v>253</v>
      </c>
      <c r="E1110" s="639" t="n">
        <f aca="false">IF(D1110="oui",1,0)</f>
        <v>1</v>
      </c>
      <c r="F1110" s="20" t="s">
        <v>1726</v>
      </c>
      <c r="G1110" s="9"/>
      <c r="H1110" s="9"/>
      <c r="I1110" s="640" t="s">
        <v>254</v>
      </c>
      <c r="J1110" s="641" t="n">
        <f aca="false">IF(I1110="oui",1,0)</f>
        <v>0</v>
      </c>
      <c r="K1110" s="633"/>
      <c r="L1110" s="880"/>
      <c r="M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c r="IK1110"/>
      <c r="IL1110"/>
      <c r="IM1110"/>
      <c r="IN1110"/>
      <c r="IO1110"/>
      <c r="IP1110"/>
      <c r="IQ1110"/>
      <c r="IR1110"/>
      <c r="IS1110"/>
      <c r="IT1110"/>
      <c r="IU1110"/>
      <c r="IV1110"/>
    </row>
    <row r="1111" ht="15.75" customHeight="1">
      <c r="A1111" s="408"/>
      <c r="B1111" s="408"/>
      <c r="C1111" s="408"/>
      <c r="D1111" s="642"/>
      <c r="E1111" s="639"/>
      <c r="F1111" s="9" t="s">
        <v>283</v>
      </c>
      <c r="G1111" s="9"/>
      <c r="H1111" s="9"/>
      <c r="I1111" s="640" t="s">
        <v>253</v>
      </c>
      <c r="J1111" s="641" t="n">
        <f aca="false">IF(I1111="oui",1,0)</f>
        <v>1</v>
      </c>
      <c r="K1111" s="633"/>
      <c r="L1111" s="880"/>
      <c r="M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row>
    <row r="1112" ht="16.5" customHeight="1">
      <c r="A1112" s="20" t="s">
        <v>1727</v>
      </c>
      <c r="B1112" s="246"/>
      <c r="D1112" s="585" t="s">
        <v>253</v>
      </c>
      <c r="E1112" s="639" t="n">
        <f aca="false">IF(D1112="oui",1,0)</f>
        <v>1</v>
      </c>
      <c r="F1112" s="37" t="s">
        <v>1728</v>
      </c>
      <c r="G1112" s="9"/>
      <c r="H1112" s="9"/>
      <c r="I1112" s="640" t="s">
        <v>253</v>
      </c>
      <c r="J1112" s="641" t="n">
        <f aca="false">IF(I1112="oui",1,0)</f>
        <v>1</v>
      </c>
      <c r="K1112" s="633"/>
      <c r="L1112" s="880"/>
      <c r="M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row>
    <row r="1113" ht="16.5" customHeight="1">
      <c r="A1113" s="20"/>
      <c r="B1113" s="246"/>
      <c r="E1113" s="639"/>
      <c r="F1113" s="37" t="s">
        <v>285</v>
      </c>
      <c r="G1113" s="9"/>
      <c r="H1113" s="9"/>
      <c r="I1113" s="640" t="s">
        <v>254</v>
      </c>
      <c r="J1113" s="641" t="n">
        <f aca="false">IF(I1113="oui",1,0)</f>
        <v>0</v>
      </c>
      <c r="K1113" s="633"/>
      <c r="L1113" s="880"/>
      <c r="M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row>
    <row r="1114" ht="16.5" customHeight="1">
      <c r="A1114" s="20"/>
      <c r="B1114" s="246"/>
      <c r="E1114" s="639"/>
      <c r="F1114" s="37" t="s">
        <v>286</v>
      </c>
      <c r="G1114" s="9"/>
      <c r="H1114" s="9"/>
      <c r="I1114" s="640" t="s">
        <v>254</v>
      </c>
      <c r="J1114" s="641" t="n">
        <f aca="false">IF(I1114="oui",1,0)</f>
        <v>0</v>
      </c>
      <c r="K1114" s="633"/>
      <c r="L1114" s="880"/>
      <c r="M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c r="IK1114"/>
      <c r="IL1114"/>
      <c r="IM1114"/>
      <c r="IN1114"/>
      <c r="IO1114"/>
      <c r="IP1114"/>
      <c r="IQ1114"/>
      <c r="IR1114"/>
      <c r="IS1114"/>
      <c r="IT1114"/>
      <c r="IU1114"/>
      <c r="IV1114"/>
    </row>
    <row r="1115" ht="16.5" customHeight="1">
      <c r="A1115" s="20"/>
      <c r="B1115" s="246"/>
      <c r="E1115" s="639"/>
      <c r="F1115" s="37" t="s">
        <v>287</v>
      </c>
      <c r="G1115" s="9"/>
      <c r="H1115" s="9"/>
      <c r="I1115" s="640" t="s">
        <v>254</v>
      </c>
      <c r="J1115" s="641" t="n">
        <f aca="false">IF(I1115="oui",1,0)</f>
        <v>0</v>
      </c>
      <c r="K1115" s="633"/>
      <c r="L1115" s="880"/>
      <c r="M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row>
    <row r="1116" ht="16.5" customHeight="1">
      <c r="A1116" s="20"/>
      <c r="B1116" s="246"/>
      <c r="E1116" s="639"/>
      <c r="F1116" s="20" t="s">
        <v>288</v>
      </c>
      <c r="G1116" s="9"/>
      <c r="H1116" s="9"/>
      <c r="I1116" s="640" t="s">
        <v>254</v>
      </c>
      <c r="J1116" s="641" t="n">
        <f aca="false">IF(I1116="oui",1,0)</f>
        <v>0</v>
      </c>
      <c r="K1116" s="633"/>
      <c r="L1116" s="880"/>
      <c r="M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c r="IK1116"/>
      <c r="IL1116"/>
      <c r="IM1116"/>
      <c r="IN1116"/>
      <c r="IO1116"/>
      <c r="IP1116"/>
      <c r="IQ1116"/>
      <c r="IR1116"/>
      <c r="IS1116"/>
      <c r="IT1116"/>
      <c r="IU1116"/>
      <c r="IV1116"/>
    </row>
    <row r="1117" ht="16.5" customHeight="1">
      <c r="B1117" s="246"/>
      <c r="D1117" s="246"/>
      <c r="F1117" s="13" t="s">
        <v>289</v>
      </c>
      <c r="G1117" s="591"/>
      <c r="H1117" s="591"/>
      <c r="I1117" s="591"/>
      <c r="J1117" s="10"/>
      <c r="K1117" s="633"/>
      <c r="L1117" s="880"/>
      <c r="M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c r="IK1117"/>
      <c r="IL1117"/>
      <c r="IM1117"/>
      <c r="IN1117"/>
      <c r="IO1117"/>
      <c r="IP1117"/>
      <c r="IQ1117"/>
      <c r="IR1117"/>
      <c r="IS1117"/>
      <c r="IT1117"/>
      <c r="IU1117"/>
      <c r="IV1117"/>
    </row>
    <row r="1118" ht="15" customHeight="1">
      <c r="A1118" s="9"/>
      <c r="B1118" s="9"/>
      <c r="C1118" s="9"/>
      <c r="D1118" s="9"/>
      <c r="E1118" s="9"/>
      <c r="J1118" s="9"/>
      <c r="K1118" s="633"/>
      <c r="L1118" s="880"/>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c r="IK1118"/>
      <c r="IL1118"/>
      <c r="IM1118"/>
      <c r="IN1118"/>
      <c r="IO1118"/>
      <c r="IP1118"/>
      <c r="IQ1118"/>
      <c r="IR1118"/>
      <c r="IS1118"/>
      <c r="IT1118"/>
      <c r="IU1118"/>
      <c r="IV1118"/>
    </row>
    <row r="1119" ht="15.75" customHeight="1">
      <c r="A1119" s="12" t="s">
        <v>1729</v>
      </c>
      <c r="B1119" s="9"/>
      <c r="C1119" s="9"/>
      <c r="D1119" s="9"/>
      <c r="E1119" s="9"/>
      <c r="F1119" s="9"/>
      <c r="G1119" s="9"/>
      <c r="H1119" s="9"/>
      <c r="I1119" s="9"/>
      <c r="J1119" s="10"/>
      <c r="K1119" s="633"/>
      <c r="L1119" s="880"/>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c r="GU1119"/>
      <c r="GV1119"/>
      <c r="GW1119"/>
      <c r="GX1119"/>
      <c r="GY1119"/>
      <c r="GZ1119"/>
      <c r="HA1119"/>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c r="IE1119"/>
      <c r="IF1119"/>
      <c r="IG1119"/>
      <c r="IH1119"/>
      <c r="II1119"/>
      <c r="IJ1119"/>
      <c r="IK1119"/>
      <c r="IL1119"/>
      <c r="IM1119"/>
      <c r="IN1119"/>
      <c r="IO1119"/>
      <c r="IP1119"/>
      <c r="IQ1119"/>
      <c r="IR1119"/>
      <c r="IS1119"/>
      <c r="IT1119"/>
      <c r="IU1119"/>
      <c r="IV1119"/>
    </row>
    <row r="1120" ht="17.25" customHeight="1">
      <c r="A1120" s="427" t="s">
        <v>291</v>
      </c>
      <c r="B1120" s="1096" t="s">
        <v>253</v>
      </c>
      <c r="C1120" s="427" t="s">
        <v>1730</v>
      </c>
      <c r="D1120" s="1096" t="s">
        <v>253</v>
      </c>
      <c r="E1120" s="427" t="s">
        <v>294</v>
      </c>
      <c r="F1120" s="1130" t="s">
        <v>254</v>
      </c>
      <c r="G1120" s="427" t="s">
        <v>293</v>
      </c>
      <c r="H1120" s="1130" t="s">
        <v>254</v>
      </c>
      <c r="J1120" s="9"/>
      <c r="K1120" s="633"/>
      <c r="L1120" s="88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c r="IE1120"/>
      <c r="IF1120"/>
      <c r="IG1120"/>
      <c r="IH1120"/>
      <c r="II1120"/>
      <c r="IJ1120"/>
      <c r="IK1120"/>
      <c r="IL1120"/>
      <c r="IM1120"/>
      <c r="IN1120"/>
      <c r="IO1120"/>
      <c r="IP1120"/>
      <c r="IQ1120"/>
      <c r="IR1120"/>
      <c r="IS1120"/>
      <c r="IT1120"/>
      <c r="IU1120"/>
      <c r="IV1120"/>
    </row>
    <row r="1121" ht="17.25" customHeight="1">
      <c r="A1121" s="20" t="s">
        <v>1731</v>
      </c>
      <c r="B1121" s="591"/>
      <c r="C1121" s="591"/>
      <c r="D1121" s="591"/>
      <c r="E1121" s="591"/>
      <c r="F1121" s="591"/>
      <c r="G1121"/>
      <c r="H1121"/>
      <c r="I1121"/>
      <c r="J1121" s="9"/>
      <c r="K1121" s="633"/>
      <c r="L1121" s="880"/>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c r="IK1121"/>
      <c r="IL1121"/>
      <c r="IM1121"/>
      <c r="IN1121"/>
      <c r="IO1121"/>
      <c r="IP1121"/>
      <c r="IQ1121"/>
      <c r="IR1121"/>
      <c r="IS1121"/>
      <c r="IT1121"/>
      <c r="IU1121"/>
      <c r="IV1121"/>
    </row>
    <row r="1122" ht="15" customHeight="1">
      <c r="A1122"/>
      <c r="B1122"/>
      <c r="C1122"/>
      <c r="D1122"/>
      <c r="E1122"/>
      <c r="F1122"/>
      <c r="G1122"/>
      <c r="H1122"/>
      <c r="I1122"/>
      <c r="J1122" s="9"/>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c r="IK1122"/>
      <c r="IL1122"/>
      <c r="IM1122"/>
      <c r="IN1122"/>
      <c r="IO1122"/>
      <c r="IP1122"/>
      <c r="IQ1122"/>
      <c r="IR1122"/>
      <c r="IS1122"/>
      <c r="IT1122"/>
      <c r="IU1122"/>
      <c r="IV1122"/>
    </row>
    <row r="1123" ht="15" customHeight="1">
      <c r="A1123"/>
      <c r="B1123"/>
      <c r="C1123"/>
      <c r="D1123"/>
      <c r="E1123"/>
      <c r="F1123"/>
      <c r="G1123"/>
      <c r="H1123"/>
      <c r="I1123"/>
      <c r="J1123" s="9"/>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c r="IK1123"/>
      <c r="IL1123"/>
      <c r="IM1123"/>
      <c r="IN1123"/>
      <c r="IO1123"/>
      <c r="IP1123"/>
      <c r="IQ1123"/>
      <c r="IR1123"/>
      <c r="IS1123"/>
      <c r="IT1123"/>
      <c r="IU1123"/>
      <c r="IV1123"/>
    </row>
    <row r="1124" ht="15" customHeight="1">
      <c r="A1124" s="638" t="s">
        <v>1732</v>
      </c>
      <c r="B1124" s="638"/>
      <c r="C1124" s="638"/>
      <c r="D1124" s="638"/>
      <c r="E1124" s="638"/>
      <c r="F1124" s="638"/>
      <c r="G1124" s="638"/>
      <c r="H1124" s="638"/>
      <c r="I1124" s="638"/>
      <c r="J1124" s="9"/>
      <c r="K1124"/>
      <c r="L1124" t="s">
        <v>1323</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c r="IK1124"/>
      <c r="IL1124"/>
      <c r="IM1124"/>
      <c r="IN1124"/>
      <c r="IO1124"/>
      <c r="IP1124"/>
      <c r="IQ1124"/>
      <c r="IR1124"/>
      <c r="IS1124"/>
      <c r="IT1124"/>
      <c r="IU1124"/>
      <c r="IV1124"/>
    </row>
    <row r="1125" ht="15" customHeight="1">
      <c r="A1125"/>
      <c r="B1125"/>
      <c r="C1125"/>
      <c r="D1125"/>
      <c r="E1125"/>
      <c r="F1125"/>
      <c r="G1125"/>
      <c r="H1125"/>
      <c r="I1125"/>
      <c r="J1125" s="9"/>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c r="IK1125"/>
      <c r="IL1125"/>
      <c r="IM1125"/>
      <c r="IN1125"/>
      <c r="IO1125"/>
      <c r="IP1125"/>
      <c r="IQ1125"/>
      <c r="IR1125"/>
      <c r="IS1125"/>
      <c r="IT1125"/>
      <c r="IU1125"/>
      <c r="IV1125"/>
    </row>
    <row r="1126" ht="15" customHeight="1">
      <c r="A1126" s="12" t="s">
        <v>626</v>
      </c>
      <c r="B1126" s="246"/>
      <c r="C1126" s="246"/>
      <c r="D1126" s="481" t="n">
        <f aca="false">SUM(E1127:E1135)</f>
        <v>5</v>
      </c>
      <c r="E1126" s="9"/>
      <c r="F1126" s="12" t="s">
        <v>634</v>
      </c>
      <c r="G1126" s="9"/>
      <c r="H1126" s="9"/>
      <c r="I1126" s="643" t="n">
        <f aca="false">SUM(J1127:J1134)</f>
        <v>2</v>
      </c>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row>
    <row r="1127" ht="15" customHeight="1">
      <c r="A1127" s="20" t="s">
        <v>627</v>
      </c>
      <c r="B1127" s="246"/>
      <c r="D1127" s="644" t="s">
        <v>253</v>
      </c>
      <c r="E1127" s="639" t="n">
        <f aca="false">IF(D1127="oui",1,0)</f>
        <v>1</v>
      </c>
      <c r="F1127" s="408" t="s">
        <v>635</v>
      </c>
      <c r="G1127" s="408"/>
      <c r="H1127" s="408"/>
      <c r="I1127" s="585" t="s">
        <v>254</v>
      </c>
      <c r="J1127" s="639" t="n">
        <f aca="false">IF(I1127="oui",1,0)</f>
        <v>0</v>
      </c>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row>
    <row r="1128" ht="15" customHeight="1">
      <c r="A1128" s="408" t="s">
        <v>628</v>
      </c>
      <c r="B1128" s="408"/>
      <c r="C1128" s="408"/>
      <c r="D1128" s="644" t="s">
        <v>253</v>
      </c>
      <c r="E1128" s="639" t="n">
        <f aca="false">IF(D1128="oui",1,0)</f>
        <v>1</v>
      </c>
      <c r="F1128" s="408"/>
      <c r="G1128" s="408"/>
      <c r="H1128" s="408"/>
      <c r="I1128" s="585"/>
      <c r="J1128" s="639"/>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c r="IK1128"/>
      <c r="IL1128"/>
      <c r="IM1128"/>
      <c r="IN1128"/>
      <c r="IO1128"/>
      <c r="IP1128"/>
      <c r="IQ1128"/>
      <c r="IR1128"/>
      <c r="IS1128"/>
      <c r="IT1128"/>
      <c r="IU1128"/>
      <c r="IV1128"/>
    </row>
    <row r="1129" ht="15" customHeight="1">
      <c r="A1129" s="408"/>
      <c r="B1129" s="408"/>
      <c r="C1129" s="408"/>
      <c r="D1129" s="644"/>
      <c r="E1129" s="639"/>
      <c r="F1129" s="408" t="s">
        <v>636</v>
      </c>
      <c r="G1129" s="408"/>
      <c r="H1129" s="408"/>
      <c r="I1129" s="585" t="s">
        <v>253</v>
      </c>
      <c r="J1129" s="639" t="n">
        <f aca="false">IF(I1129="oui",1,0)</f>
        <v>1</v>
      </c>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c r="HD1129"/>
      <c r="HE1129"/>
      <c r="HF1129"/>
      <c r="HG1129"/>
      <c r="HH1129"/>
      <c r="HI1129"/>
      <c r="HJ1129"/>
      <c r="HK1129"/>
      <c r="HL1129"/>
      <c r="HM1129"/>
      <c r="HN1129"/>
      <c r="HO1129"/>
      <c r="HP1129"/>
      <c r="HQ1129"/>
      <c r="HR1129"/>
      <c r="HS1129"/>
      <c r="HT1129"/>
      <c r="HU1129"/>
      <c r="HV1129"/>
      <c r="HW1129"/>
      <c r="HX1129"/>
      <c r="HY1129"/>
      <c r="HZ1129"/>
      <c r="IA1129"/>
      <c r="IB1129"/>
      <c r="IC1129"/>
      <c r="ID1129"/>
      <c r="IE1129"/>
      <c r="IF1129"/>
      <c r="IG1129"/>
      <c r="IH1129"/>
      <c r="II1129"/>
      <c r="IJ1129"/>
      <c r="IK1129"/>
      <c r="IL1129"/>
      <c r="IM1129"/>
      <c r="IN1129"/>
      <c r="IO1129"/>
      <c r="IP1129"/>
      <c r="IQ1129"/>
      <c r="IR1129"/>
      <c r="IS1129"/>
      <c r="IT1129"/>
      <c r="IU1129"/>
      <c r="IV1129"/>
    </row>
    <row r="1130" ht="15" customHeight="1">
      <c r="A1130" s="408" t="s">
        <v>629</v>
      </c>
      <c r="B1130" s="408"/>
      <c r="C1130" s="408"/>
      <c r="D1130" s="644" t="s">
        <v>254</v>
      </c>
      <c r="E1130" s="639" t="n">
        <f aca="false">IF(D1130="oui",1,0)</f>
        <v>0</v>
      </c>
      <c r="F1130" s="408"/>
      <c r="G1130" s="408"/>
      <c r="H1130" s="408"/>
      <c r="I1130" s="585"/>
      <c r="J1130" s="639"/>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c r="IK1130"/>
      <c r="IL1130"/>
      <c r="IM1130"/>
      <c r="IN1130"/>
      <c r="IO1130"/>
      <c r="IP1130"/>
      <c r="IQ1130"/>
      <c r="IR1130"/>
      <c r="IS1130"/>
      <c r="IT1130"/>
      <c r="IU1130"/>
      <c r="IV1130"/>
    </row>
    <row r="1131" ht="15" customHeight="1">
      <c r="A1131" s="20" t="s">
        <v>630</v>
      </c>
      <c r="B1131" s="246"/>
      <c r="D1131" s="644" t="s">
        <v>253</v>
      </c>
      <c r="E1131" s="639" t="n">
        <f aca="false">IF(D1131="oui",1,0)</f>
        <v>1</v>
      </c>
      <c r="F1131" s="9" t="s">
        <v>637</v>
      </c>
      <c r="G1131" s="9"/>
      <c r="H1131" s="9"/>
      <c r="I1131" s="645" t="s">
        <v>253</v>
      </c>
      <c r="J1131" s="641" t="n">
        <f aca="false">IF(I1131="oui",1,0)</f>
        <v>1</v>
      </c>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c r="GP1131"/>
      <c r="GQ1131"/>
      <c r="GR1131"/>
      <c r="GS1131"/>
      <c r="GT1131"/>
      <c r="GU1131"/>
      <c r="GV1131"/>
      <c r="GW1131"/>
      <c r="GX1131"/>
      <c r="GY1131"/>
      <c r="GZ1131"/>
      <c r="HA1131"/>
      <c r="HB1131"/>
      <c r="HC1131"/>
      <c r="HD1131"/>
      <c r="HE1131"/>
      <c r="HF1131"/>
      <c r="HG1131"/>
      <c r="HH1131"/>
      <c r="HI1131"/>
      <c r="HJ1131"/>
      <c r="HK1131"/>
      <c r="HL1131"/>
      <c r="HM1131"/>
      <c r="HN1131"/>
      <c r="HO1131"/>
      <c r="HP1131"/>
      <c r="HQ1131"/>
      <c r="HR1131"/>
      <c r="HS1131"/>
      <c r="HT1131"/>
      <c r="HU1131"/>
      <c r="HV1131"/>
      <c r="HW1131"/>
      <c r="HX1131"/>
      <c r="HY1131"/>
      <c r="HZ1131"/>
      <c r="IA1131"/>
      <c r="IB1131"/>
      <c r="IC1131"/>
      <c r="ID1131"/>
      <c r="IE1131"/>
      <c r="IF1131"/>
      <c r="IG1131"/>
      <c r="IH1131"/>
      <c r="II1131"/>
      <c r="IJ1131"/>
      <c r="IK1131"/>
      <c r="IL1131"/>
      <c r="IM1131"/>
      <c r="IN1131"/>
      <c r="IO1131"/>
      <c r="IP1131"/>
      <c r="IQ1131"/>
      <c r="IR1131"/>
      <c r="IS1131"/>
      <c r="IT1131"/>
      <c r="IU1131"/>
      <c r="IV1131"/>
    </row>
    <row r="1132" ht="15" customHeight="1">
      <c r="A1132" s="408" t="s">
        <v>1733</v>
      </c>
      <c r="B1132" s="408"/>
      <c r="C1132" s="408"/>
      <c r="D1132" s="644" t="s">
        <v>253</v>
      </c>
      <c r="E1132" s="639" t="n">
        <f aca="false">IF(D1132="oui",1,0)</f>
        <v>1</v>
      </c>
      <c r="F1132" s="37" t="s">
        <v>638</v>
      </c>
      <c r="G1132" s="9"/>
      <c r="H1132" s="9"/>
      <c r="I1132" s="645" t="s">
        <v>254</v>
      </c>
      <c r="J1132" s="641" t="n">
        <f aca="false">IF(I1132="oui",1,0)</f>
        <v>0</v>
      </c>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c r="IK1132"/>
      <c r="IL1132"/>
      <c r="IM1132"/>
      <c r="IN1132"/>
      <c r="IO1132"/>
      <c r="IP1132"/>
      <c r="IQ1132"/>
      <c r="IR1132"/>
      <c r="IS1132"/>
      <c r="IT1132"/>
      <c r="IU1132"/>
      <c r="IV1132"/>
    </row>
    <row r="1133" ht="15" customHeight="1">
      <c r="A1133" s="408"/>
      <c r="B1133" s="408"/>
      <c r="C1133" s="408"/>
      <c r="D1133" s="644"/>
      <c r="E1133" s="639"/>
      <c r="F1133" s="408" t="s">
        <v>1734</v>
      </c>
      <c r="G1133" s="408"/>
      <c r="H1133" s="408"/>
      <c r="I1133" s="585" t="s">
        <v>254</v>
      </c>
      <c r="J1133" s="639" t="n">
        <f aca="false">IF(I1133="oui",1,0)</f>
        <v>0</v>
      </c>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c r="IK1133"/>
      <c r="IL1133"/>
      <c r="IM1133"/>
      <c r="IN1133"/>
      <c r="IO1133"/>
      <c r="IP1133"/>
      <c r="IQ1133"/>
      <c r="IR1133"/>
      <c r="IS1133"/>
      <c r="IT1133"/>
      <c r="IU1133"/>
      <c r="IV1133"/>
    </row>
    <row r="1134" ht="15" customHeight="1">
      <c r="A1134" s="20" t="s">
        <v>632</v>
      </c>
      <c r="B1134" s="246"/>
      <c r="D1134" s="644" t="s">
        <v>253</v>
      </c>
      <c r="E1134" s="639" t="n">
        <f aca="false">IF(D1134="oui",1,0)</f>
        <v>1</v>
      </c>
      <c r="F1134" s="408"/>
      <c r="G1134" s="408"/>
      <c r="H1134" s="408"/>
      <c r="I1134" s="585"/>
      <c r="J1134" s="639"/>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c r="IK1134"/>
      <c r="IL1134"/>
      <c r="IM1134"/>
      <c r="IN1134"/>
      <c r="IO1134"/>
      <c r="IP1134"/>
      <c r="IQ1134"/>
      <c r="IR1134"/>
      <c r="IS1134"/>
      <c r="IT1134"/>
      <c r="IU1134"/>
      <c r="IV1134"/>
    </row>
    <row r="1135" ht="15" customHeight="1">
      <c r="A1135" s="20" t="s">
        <v>633</v>
      </c>
      <c r="B1135" s="246"/>
      <c r="D1135" s="644" t="s">
        <v>254</v>
      </c>
      <c r="E1135" s="639" t="n">
        <f aca="false">IF(D1135="oui",1,0)</f>
        <v>0</v>
      </c>
      <c r="F1135"/>
      <c r="G1135"/>
      <c r="H1135"/>
      <c r="I1135" s="646"/>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c r="IK1135"/>
      <c r="IL1135"/>
      <c r="IM1135"/>
      <c r="IN1135"/>
      <c r="IO1135"/>
      <c r="IP1135"/>
      <c r="IQ1135"/>
      <c r="IR1135"/>
      <c r="IS1135"/>
      <c r="IT1135"/>
      <c r="IU1135"/>
      <c r="IV1135"/>
    </row>
    <row r="1136" ht="15" customHeight="1">
      <c r="B1136" s="246"/>
      <c r="D1136" s="246"/>
      <c r="F1136"/>
      <c r="G1136"/>
      <c r="H1136"/>
      <c r="I1136" s="64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c r="IK1136"/>
      <c r="IL1136"/>
      <c r="IM1136"/>
      <c r="IN1136"/>
      <c r="IO1136"/>
      <c r="IP1136"/>
      <c r="IQ1136"/>
      <c r="IR1136"/>
      <c r="IS1136"/>
      <c r="IT1136"/>
      <c r="IU1136"/>
      <c r="IV1136"/>
    </row>
    <row r="1137" ht="15" customHeight="1">
      <c r="A1137" s="9"/>
      <c r="B1137" s="9"/>
      <c r="C1137" s="9"/>
      <c r="D1137" s="9"/>
      <c r="E1137" s="9"/>
      <c r="F1137"/>
      <c r="G1137"/>
      <c r="H1137" s="427" t="s">
        <v>640</v>
      </c>
      <c r="I1137" s="609" t="s">
        <v>254</v>
      </c>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c r="IK1137"/>
      <c r="IL1137"/>
      <c r="IM1137"/>
      <c r="IN1137"/>
      <c r="IO1137"/>
      <c r="IP1137"/>
      <c r="IQ1137"/>
      <c r="IR1137"/>
      <c r="IS1137"/>
      <c r="IT1137"/>
      <c r="IU1137"/>
      <c r="IV1137"/>
    </row>
    <row r="1138" ht="15" customHeight="1">
      <c r="C1138"/>
      <c r="D1138"/>
      <c r="E1138"/>
      <c r="F1138"/>
      <c r="G1138"/>
      <c r="H1138"/>
      <c r="I1138"/>
      <c r="J1138" s="9"/>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c r="IK1138"/>
      <c r="IL1138"/>
      <c r="IM1138"/>
      <c r="IN1138"/>
      <c r="IO1138"/>
      <c r="IP1138"/>
      <c r="IQ1138"/>
      <c r="IR1138"/>
      <c r="IS1138"/>
      <c r="IT1138"/>
      <c r="IU1138"/>
      <c r="IV1138"/>
    </row>
    <row r="1139" ht="18.75" customHeight="1">
      <c r="B1139" s="246"/>
      <c r="C1139" s="246"/>
      <c r="D1139" s="246"/>
      <c r="E1139" s="246"/>
      <c r="G1139" s="246"/>
      <c r="J1139" s="10"/>
      <c r="N1139" s="44"/>
      <c r="O1139" s="44"/>
      <c r="P1139" s="44"/>
      <c r="Q1139" s="9"/>
      <c r="R1139" s="9"/>
      <c r="S1139" s="9"/>
    </row>
    <row r="1140" ht="23.25" customHeight="1">
      <c r="A1140" s="647" t="s">
        <v>1735</v>
      </c>
      <c r="B1140" s="647"/>
      <c r="C1140" s="647"/>
      <c r="D1140" s="647"/>
      <c r="E1140" s="647"/>
      <c r="F1140" s="647"/>
      <c r="G1140" s="647"/>
      <c r="H1140" s="647"/>
      <c r="I1140" s="647"/>
      <c r="J1140" s="647"/>
      <c r="K1140" s="647"/>
      <c r="L1140" s="647"/>
      <c r="M1140"/>
      <c r="N1140" s="44"/>
      <c r="O1140"/>
      <c r="P1140"/>
      <c r="Q1140"/>
      <c r="R1140"/>
      <c r="S1140" s="44"/>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c r="IK1140"/>
      <c r="IL1140"/>
      <c r="IM1140"/>
      <c r="IN1140"/>
      <c r="IO1140"/>
      <c r="IP1140"/>
      <c r="IQ1140"/>
      <c r="IR1140"/>
      <c r="IS1140"/>
      <c r="IT1140"/>
      <c r="IU1140"/>
      <c r="IV1140"/>
    </row>
    <row r="1141" ht="15" customHeight="1">
      <c r="A1141" s="401"/>
      <c r="B1141" s="401"/>
      <c r="C1141" s="401"/>
      <c r="D1141" s="401"/>
      <c r="E1141" s="401"/>
      <c r="F1141" s="401"/>
      <c r="G1141" s="401"/>
      <c r="H1141" s="648"/>
      <c r="I1141" s="9"/>
      <c r="J1141" s="10"/>
      <c r="L1141" s="9"/>
      <c r="M1141" s="9"/>
      <c r="O1141" s="9"/>
      <c r="P1141" s="9"/>
      <c r="Q1141" s="9"/>
      <c r="R1141" s="9"/>
    </row>
    <row r="1142" ht="15" customHeight="1">
      <c r="A1142" s="401"/>
      <c r="B1142" s="401"/>
      <c r="C1142" s="401"/>
      <c r="D1142" s="401"/>
      <c r="E1142" s="401"/>
      <c r="F1142" s="401"/>
      <c r="G1142" s="401"/>
      <c r="H1142" s="648"/>
      <c r="I1142" s="9"/>
      <c r="J1142" s="10"/>
      <c r="L1142" s="9"/>
      <c r="M1142" s="9"/>
      <c r="O1142" s="9"/>
      <c r="P1142" s="9"/>
      <c r="Q1142" s="9"/>
      <c r="R1142" s="9"/>
    </row>
    <row r="1143" ht="15" customHeight="1">
      <c r="A1143" s="378" t="s">
        <v>1736</v>
      </c>
      <c r="B1143" s="378"/>
      <c r="C1143" s="378"/>
      <c r="D1143" s="378"/>
      <c r="E1143" s="378"/>
      <c r="F1143" s="378"/>
      <c r="G1143" s="378"/>
      <c r="H1143" s="648"/>
      <c r="I1143" s="9"/>
      <c r="J1143" s="10"/>
      <c r="L1143" s="9" t="s">
        <v>1737</v>
      </c>
      <c r="M1143" s="9"/>
      <c r="O1143" s="9"/>
      <c r="P1143" s="9"/>
      <c r="Q1143" s="9"/>
      <c r="R1143" s="9"/>
    </row>
    <row r="1144" ht="15" customHeight="1">
      <c r="A1144" s="401"/>
      <c r="B1144" s="401"/>
      <c r="C1144" s="401"/>
      <c r="D1144" s="401"/>
      <c r="E1144" s="401"/>
      <c r="F1144" s="401"/>
      <c r="G1144" s="401"/>
      <c r="H1144" s="648"/>
      <c r="I1144" s="9"/>
      <c r="J1144" s="10"/>
      <c r="L1144" s="9"/>
      <c r="M1144" s="9"/>
      <c r="O1144" s="9"/>
      <c r="P1144" s="9"/>
      <c r="Q1144" s="9"/>
      <c r="R1144" s="9"/>
    </row>
    <row r="1145" ht="26.25" customHeight="1">
      <c r="A1145" s="649" t="s">
        <v>818</v>
      </c>
      <c r="B1145" s="649"/>
      <c r="C1145" s="649"/>
      <c r="D1145" s="649"/>
      <c r="E1145" s="649"/>
      <c r="F1145" s="650" t="s">
        <v>1738</v>
      </c>
      <c r="G1145" s="650"/>
      <c r="H1145" s="650"/>
      <c r="I1145" s="1074" t="s">
        <v>1402</v>
      </c>
      <c r="J1145" s="10"/>
      <c r="M1145" s="9"/>
      <c r="O1145" s="9"/>
      <c r="P1145" s="9"/>
      <c r="Q1145" s="9"/>
      <c r="R1145" s="9"/>
    </row>
    <row r="1146" ht="15.75" customHeight="1">
      <c r="A1146" s="649"/>
      <c r="B1146" s="649"/>
      <c r="C1146" s="649"/>
      <c r="D1146" s="649"/>
      <c r="E1146" s="649"/>
      <c r="F1146" s="651" t="s">
        <v>406</v>
      </c>
      <c r="G1146" s="652" t="s">
        <v>820</v>
      </c>
      <c r="H1146" s="653" t="s">
        <v>821</v>
      </c>
      <c r="I1146" s="1074"/>
      <c r="J1146" s="10"/>
      <c r="L1146" s="9"/>
      <c r="M1146" s="9"/>
      <c r="O1146" s="9"/>
      <c r="P1146" s="9"/>
      <c r="Q1146" s="9"/>
      <c r="R1146" s="9"/>
    </row>
    <row r="1147" ht="15" customHeight="1">
      <c r="A1147" s="654" t="s">
        <v>822</v>
      </c>
      <c r="B1147" s="654"/>
      <c r="C1147" s="654"/>
      <c r="D1147" s="654"/>
      <c r="E1147" s="654"/>
      <c r="F1147" s="655" t="n">
        <v>63727</v>
      </c>
      <c r="G1147" s="656" t="n">
        <v>50284</v>
      </c>
      <c r="H1147" s="657"/>
      <c r="I1147" s="658" t="n">
        <f aca="false">AVERAGE(F1147,G1147,H1147)</f>
        <v>57005.5</v>
      </c>
      <c r="J1147" s="10"/>
      <c r="L1147" s="9"/>
      <c r="M1147" s="9"/>
      <c r="O1147" s="9"/>
      <c r="P1147" s="9"/>
      <c r="Q1147" s="9"/>
      <c r="R1147" s="9"/>
    </row>
    <row r="1148" ht="33.75" customHeight="1">
      <c r="A1148" s="659" t="s">
        <v>824</v>
      </c>
      <c r="B1148" s="659"/>
      <c r="C1148" s="659"/>
      <c r="D1148" s="659"/>
      <c r="E1148" s="659"/>
      <c r="F1148" s="660"/>
      <c r="G1148" s="661"/>
      <c r="H1148" s="662"/>
      <c r="I1148" s="663"/>
      <c r="J1148" s="10"/>
      <c r="L1148" s="9"/>
      <c r="M1148" s="9"/>
      <c r="O1148" s="9"/>
      <c r="P1148" s="9"/>
      <c r="Q1148" s="9"/>
      <c r="R1148" s="9"/>
    </row>
    <row r="1149" ht="15" customHeight="1">
      <c r="A1149" s="664" t="s">
        <v>825</v>
      </c>
      <c r="B1149" s="664"/>
      <c r="C1149" s="664"/>
      <c r="D1149" s="664"/>
      <c r="E1149" s="664"/>
      <c r="F1149" s="665" t="n">
        <v>17351</v>
      </c>
      <c r="G1149" s="666" t="n">
        <v>16771</v>
      </c>
      <c r="H1149" s="667"/>
      <c r="I1149" s="668" t="n">
        <f aca="false">AVERAGE(F1149,G1149,H1149)</f>
        <v>17061</v>
      </c>
      <c r="J1149" s="10"/>
      <c r="L1149" s="9"/>
      <c r="M1149" s="9"/>
      <c r="O1149" s="9"/>
      <c r="P1149" s="9"/>
      <c r="Q1149" s="9"/>
      <c r="R1149" s="9"/>
    </row>
    <row r="1150" ht="15" customHeight="1">
      <c r="A1150" s="659" t="s">
        <v>827</v>
      </c>
      <c r="B1150" s="659"/>
      <c r="C1150" s="659"/>
      <c r="D1150" s="659"/>
      <c r="E1150" s="659"/>
      <c r="F1150" s="669"/>
      <c r="G1150" s="670"/>
      <c r="H1150" s="671"/>
      <c r="I1150" s="672"/>
      <c r="J1150" s="10"/>
      <c r="L1150" s="9"/>
      <c r="M1150" s="9"/>
      <c r="O1150" s="9"/>
      <c r="P1150" s="9"/>
      <c r="Q1150" s="9"/>
      <c r="R1150" s="9"/>
    </row>
    <row r="1151" ht="15" customHeight="1">
      <c r="A1151" s="673"/>
      <c r="B1151" s="674"/>
      <c r="C1151" s="674"/>
      <c r="D1151" s="674"/>
      <c r="E1151" s="674"/>
      <c r="F1151" s="675"/>
      <c r="G1151" s="676"/>
      <c r="H1151" s="677"/>
      <c r="I1151" s="678"/>
      <c r="J1151" s="10"/>
      <c r="L1151" s="9"/>
      <c r="M1151" s="9"/>
      <c r="O1151" s="9"/>
      <c r="P1151" s="9"/>
      <c r="Q1151" s="9"/>
      <c r="R1151" s="9"/>
    </row>
    <row r="1152" ht="15" customHeight="1">
      <c r="A1152" s="664" t="s">
        <v>828</v>
      </c>
      <c r="B1152" s="664"/>
      <c r="C1152" s="664"/>
      <c r="D1152" s="664"/>
      <c r="E1152" s="664"/>
      <c r="F1152" s="665" t="n">
        <v>31090</v>
      </c>
      <c r="G1152" s="666" t="n">
        <v>30230</v>
      </c>
      <c r="H1152" s="667"/>
      <c r="I1152" s="668" t="n">
        <f aca="false">AVERAGE(F1152,G1152,H1152)</f>
        <v>30660</v>
      </c>
      <c r="J1152" s="10"/>
      <c r="L1152" s="9"/>
      <c r="M1152" s="9"/>
      <c r="O1152" s="9"/>
      <c r="P1152" s="9"/>
      <c r="Q1152" s="9"/>
      <c r="R1152" s="9"/>
    </row>
    <row r="1153" ht="15" customHeight="1">
      <c r="A1153" s="659" t="s">
        <v>829</v>
      </c>
      <c r="B1153" s="659"/>
      <c r="C1153" s="659"/>
      <c r="D1153" s="659"/>
      <c r="E1153" s="659"/>
      <c r="F1153" s="669"/>
      <c r="G1153" s="670"/>
      <c r="H1153" s="671"/>
      <c r="I1153" s="672"/>
      <c r="J1153" s="10"/>
      <c r="L1153" s="9"/>
      <c r="M1153" s="9"/>
      <c r="O1153" s="9"/>
      <c r="P1153" s="9"/>
      <c r="Q1153" s="9"/>
      <c r="R1153" s="9"/>
    </row>
    <row r="1154" ht="15" customHeight="1">
      <c r="A1154" s="664" t="s">
        <v>830</v>
      </c>
      <c r="B1154" s="664"/>
      <c r="C1154" s="664"/>
      <c r="D1154" s="664"/>
      <c r="E1154" s="664"/>
      <c r="F1154" s="665" t="n">
        <v>11080</v>
      </c>
      <c r="G1154" s="666" t="n">
        <v>9890</v>
      </c>
      <c r="H1154" s="667"/>
      <c r="I1154" s="668" t="n">
        <f aca="false">AVERAGE(F1154,G1154,H1154)</f>
        <v>10485</v>
      </c>
      <c r="J1154" s="10"/>
      <c r="L1154" s="9"/>
      <c r="M1154" s="9"/>
      <c r="O1154" s="9"/>
      <c r="P1154" s="9"/>
      <c r="Q1154" s="9"/>
      <c r="R1154" s="9"/>
    </row>
    <row r="1155" ht="44.25" customHeight="1">
      <c r="A1155" s="659" t="s">
        <v>831</v>
      </c>
      <c r="B1155" s="659"/>
      <c r="C1155" s="659"/>
      <c r="D1155" s="659"/>
      <c r="E1155" s="659"/>
      <c r="F1155" s="669"/>
      <c r="G1155" s="670"/>
      <c r="H1155" s="671"/>
      <c r="I1155" s="672"/>
      <c r="J1155" s="10"/>
      <c r="L1155" s="9"/>
      <c r="M1155" s="9"/>
      <c r="O1155" s="9"/>
      <c r="P1155" s="9"/>
      <c r="Q1155" s="9"/>
      <c r="R1155" s="9"/>
    </row>
    <row r="1156" ht="15" customHeight="1">
      <c r="A1156" s="664" t="s">
        <v>832</v>
      </c>
      <c r="B1156" s="664"/>
      <c r="C1156" s="664"/>
      <c r="D1156" s="664"/>
      <c r="E1156" s="664"/>
      <c r="F1156" s="665" t="n">
        <v>61476</v>
      </c>
      <c r="G1156" s="666" t="n">
        <v>66657</v>
      </c>
      <c r="H1156" s="667"/>
      <c r="I1156" s="668" t="n">
        <f aca="false">AVERAGE(F1156,G1156,H1156)</f>
        <v>64066.5</v>
      </c>
      <c r="J1156" s="10"/>
      <c r="L1156" s="9"/>
      <c r="M1156" s="9"/>
      <c r="O1156" s="9"/>
      <c r="P1156" s="9"/>
      <c r="Q1156" s="9"/>
      <c r="R1156" s="9"/>
    </row>
    <row r="1157" ht="47.25" customHeight="1">
      <c r="A1157" s="659" t="s">
        <v>834</v>
      </c>
      <c r="B1157" s="659"/>
      <c r="C1157" s="659"/>
      <c r="D1157" s="659"/>
      <c r="E1157" s="659"/>
      <c r="F1157" s="669"/>
      <c r="G1157" s="670"/>
      <c r="H1157" s="671"/>
      <c r="I1157" s="672"/>
      <c r="J1157" s="10"/>
      <c r="L1157" s="9"/>
      <c r="M1157" s="9"/>
      <c r="O1157" s="9"/>
      <c r="P1157" s="9"/>
      <c r="Q1157" s="9"/>
      <c r="R1157" s="9"/>
    </row>
    <row r="1158" ht="15" customHeight="1">
      <c r="A1158" s="679"/>
      <c r="B1158" s="401"/>
      <c r="C1158" s="401"/>
      <c r="D1158" s="401"/>
      <c r="E1158" s="401"/>
      <c r="F1158" s="680"/>
      <c r="G1158" s="676"/>
      <c r="H1158" s="677"/>
      <c r="I1158" s="678"/>
      <c r="J1158" s="10"/>
      <c r="L1158" s="9"/>
      <c r="M1158" s="9"/>
      <c r="O1158" s="9"/>
      <c r="P1158" s="9"/>
      <c r="Q1158" s="9"/>
      <c r="R1158" s="9"/>
    </row>
    <row r="1159" ht="15" customHeight="1">
      <c r="A1159" s="664" t="s">
        <v>835</v>
      </c>
      <c r="B1159" s="664"/>
      <c r="C1159" s="664"/>
      <c r="D1159" s="664"/>
      <c r="E1159" s="664"/>
      <c r="F1159" s="665" t="n">
        <v>0</v>
      </c>
      <c r="G1159" s="666" t="n">
        <v>0</v>
      </c>
      <c r="H1159" s="667"/>
      <c r="I1159" s="668" t="n">
        <f aca="false">AVERAGE(F1159,G1159,H1159)</f>
        <v>0</v>
      </c>
      <c r="J1159" s="10"/>
      <c r="L1159" s="9"/>
      <c r="M1159" s="9"/>
      <c r="O1159" s="9"/>
      <c r="P1159" s="9"/>
      <c r="Q1159" s="9"/>
      <c r="R1159" s="9"/>
    </row>
    <row r="1160" ht="15" customHeight="1">
      <c r="A1160" s="659" t="s">
        <v>836</v>
      </c>
      <c r="B1160" s="659"/>
      <c r="C1160" s="659"/>
      <c r="D1160" s="659"/>
      <c r="E1160" s="659"/>
      <c r="F1160" s="669"/>
      <c r="G1160" s="670"/>
      <c r="H1160" s="671"/>
      <c r="I1160" s="672"/>
      <c r="J1160" s="10"/>
      <c r="L1160" s="9"/>
      <c r="M1160" s="9"/>
      <c r="O1160" s="9"/>
      <c r="P1160" s="9"/>
      <c r="Q1160" s="9"/>
      <c r="R1160" s="9"/>
    </row>
    <row r="1161" ht="15" customHeight="1">
      <c r="A1161" s="664" t="s">
        <v>837</v>
      </c>
      <c r="B1161" s="664"/>
      <c r="C1161" s="664"/>
      <c r="D1161" s="664"/>
      <c r="E1161" s="664"/>
      <c r="F1161" s="665" t="n">
        <v>26995</v>
      </c>
      <c r="G1161" s="666" t="n">
        <v>26922</v>
      </c>
      <c r="H1161" s="667"/>
      <c r="I1161" s="668" t="n">
        <f aca="false">AVERAGE(F1161,G1161,H1161)</f>
        <v>26958.5</v>
      </c>
      <c r="J1161" s="10"/>
      <c r="L1161" s="9"/>
      <c r="M1161" s="9"/>
      <c r="O1161" s="9"/>
      <c r="P1161" s="9"/>
      <c r="Q1161" s="9"/>
      <c r="R1161" s="9"/>
    </row>
    <row r="1162" ht="34.5" customHeight="1">
      <c r="A1162" s="681" t="s">
        <v>838</v>
      </c>
      <c r="B1162" s="681"/>
      <c r="C1162" s="681"/>
      <c r="D1162" s="681"/>
      <c r="E1162" s="681"/>
      <c r="F1162" s="682"/>
      <c r="G1162" s="683"/>
      <c r="H1162" s="684"/>
      <c r="I1162" s="685"/>
      <c r="J1162" s="10"/>
      <c r="L1162" s="9"/>
      <c r="M1162" s="9"/>
      <c r="O1162" s="9"/>
      <c r="P1162" s="9"/>
      <c r="Q1162" s="9"/>
      <c r="R1162" s="9"/>
    </row>
    <row r="1163" ht="15" customHeight="1">
      <c r="A1163" s="686"/>
      <c r="B1163" s="687"/>
      <c r="C1163" s="687"/>
      <c r="D1163" s="687"/>
      <c r="E1163" s="687"/>
      <c r="F1163" s="688"/>
      <c r="G1163" s="689"/>
      <c r="H1163" s="690"/>
      <c r="I1163" s="691"/>
      <c r="J1163" s="10"/>
      <c r="L1163" s="9"/>
      <c r="M1163" s="9"/>
      <c r="O1163" s="9"/>
      <c r="P1163" s="9"/>
      <c r="Q1163" s="9"/>
      <c r="R1163" s="9"/>
    </row>
    <row r="1164" ht="15" customHeight="1">
      <c r="A1164" s="692" t="s">
        <v>1739</v>
      </c>
      <c r="B1164" s="692"/>
      <c r="C1164" s="692"/>
      <c r="D1164" s="692"/>
      <c r="E1164" s="692"/>
      <c r="F1164" s="693" t="n">
        <f aca="false">F1147+F1149+F1152+F1154+F1159+F1161</f>
        <v>150243</v>
      </c>
      <c r="G1164" s="693" t="n">
        <f aca="false">G1147+G1149+G1152+G1154+G1159+G1161</f>
        <v>134097</v>
      </c>
      <c r="H1164" s="693" t="n">
        <f aca="false">H1147+H1149+H1152+H1154+H1159+H1161</f>
        <v>0</v>
      </c>
      <c r="I1164" s="519" t="n">
        <f aca="false">SUM(I1147,I1149,I1152,I1154,I1159,I1161)</f>
        <v>142170</v>
      </c>
      <c r="J1164" s="10"/>
      <c r="L1164" s="9"/>
      <c r="M1164" s="9"/>
      <c r="O1164" s="9"/>
      <c r="P1164" s="9"/>
      <c r="Q1164" s="9"/>
      <c r="R1164" s="9"/>
    </row>
    <row r="1165" ht="168" customHeight="1">
      <c r="A1165" s="694" t="s">
        <v>1740</v>
      </c>
      <c r="B1165" s="694"/>
      <c r="C1165" s="694"/>
      <c r="D1165" s="694"/>
      <c r="E1165" s="694"/>
      <c r="F1165" s="695"/>
      <c r="G1165" s="696"/>
      <c r="H1165" s="697"/>
      <c r="I1165" s="698"/>
      <c r="J1165" s="10"/>
      <c r="L1165" s="9"/>
      <c r="M1165" s="9"/>
      <c r="O1165" s="9"/>
      <c r="P1165" s="9"/>
      <c r="Q1165" s="9"/>
      <c r="R1165" s="9"/>
    </row>
    <row r="1166" ht="15" customHeight="1">
      <c r="A1166" s="664" t="s">
        <v>1741</v>
      </c>
      <c r="B1166" s="664"/>
      <c r="C1166" s="664"/>
      <c r="D1166" s="664"/>
      <c r="E1166" s="664"/>
      <c r="F1166" s="699" t="n">
        <f aca="false">F1147+F1152+F1156+F1159</f>
        <v>156293</v>
      </c>
      <c r="G1166" s="699" t="n">
        <f aca="false">G1147+G1152+G1156+G1159</f>
        <v>147171</v>
      </c>
      <c r="H1166" s="699" t="n">
        <f aca="false">H1147+H1152+H1156+H1159</f>
        <v>0</v>
      </c>
      <c r="I1166" s="519" t="n">
        <f aca="false">SUM(I1147,I1152,I1156,I1159)</f>
        <v>151732</v>
      </c>
      <c r="J1166" s="10"/>
      <c r="L1166" s="9"/>
      <c r="M1166" s="9"/>
      <c r="O1166" s="9"/>
      <c r="P1166" s="9"/>
      <c r="Q1166" s="9"/>
      <c r="R1166" s="9"/>
    </row>
    <row r="1167" ht="90.75" customHeight="1">
      <c r="A1167" s="700" t="s">
        <v>1742</v>
      </c>
      <c r="B1167" s="700"/>
      <c r="C1167" s="700"/>
      <c r="D1167" s="700"/>
      <c r="E1167" s="700"/>
      <c r="F1167" s="682"/>
      <c r="G1167" s="683"/>
      <c r="H1167" s="684"/>
      <c r="I1167" s="685"/>
      <c r="J1167" s="10"/>
      <c r="L1167" s="9"/>
      <c r="M1167" s="9"/>
      <c r="O1167" s="9"/>
      <c r="P1167" s="9"/>
      <c r="Q1167" s="9"/>
      <c r="R1167" s="9"/>
    </row>
    <row r="1168" ht="15" customHeight="1">
      <c r="A1168" s="401"/>
      <c r="B1168" s="401"/>
      <c r="C1168" s="401"/>
      <c r="D1168" s="401"/>
      <c r="E1168" s="401"/>
      <c r="F1168" s="701"/>
      <c r="G1168" s="702"/>
      <c r="H1168" s="703"/>
      <c r="I1168" s="9"/>
      <c r="J1168" s="10"/>
      <c r="L1168" s="9"/>
      <c r="M1168" s="9"/>
      <c r="O1168" s="9"/>
      <c r="P1168" s="9"/>
      <c r="Q1168" s="9"/>
      <c r="R1168" s="9"/>
    </row>
    <row r="1169" ht="15" customHeight="1">
      <c r="A1169" s="704" t="s">
        <v>839</v>
      </c>
      <c r="B1169" s="704"/>
      <c r="C1169" s="704"/>
      <c r="D1169" s="704"/>
      <c r="E1169" s="704"/>
      <c r="F1169" s="655" t="n">
        <v>74959</v>
      </c>
      <c r="G1169" s="656" t="n">
        <v>71086</v>
      </c>
      <c r="H1169" s="657"/>
      <c r="I1169" s="658" t="n">
        <f aca="false">AVERAGE(F1169,G1169,H1169)</f>
        <v>73022.5</v>
      </c>
      <c r="J1169" s="10"/>
      <c r="L1169" s="9"/>
      <c r="M1169" s="9"/>
      <c r="O1169" s="9"/>
      <c r="P1169" s="9"/>
      <c r="Q1169" s="9"/>
      <c r="R1169" s="9"/>
    </row>
    <row r="1170" ht="15" customHeight="1">
      <c r="A1170" s="681" t="s">
        <v>841</v>
      </c>
      <c r="B1170" s="681"/>
      <c r="C1170" s="681"/>
      <c r="D1170" s="681"/>
      <c r="E1170" s="681"/>
      <c r="F1170" s="682"/>
      <c r="G1170" s="683"/>
      <c r="H1170" s="684"/>
      <c r="I1170" s="685"/>
      <c r="J1170" s="10"/>
      <c r="L1170" s="9"/>
      <c r="M1170" s="9"/>
      <c r="O1170" s="9"/>
      <c r="P1170" s="9"/>
      <c r="Q1170" s="9"/>
      <c r="R1170" s="9"/>
    </row>
    <row r="1171" ht="15" customHeight="1">
      <c r="A1171" s="297"/>
      <c r="B1171" s="297"/>
      <c r="C1171" s="297"/>
      <c r="D1171" s="9"/>
      <c r="E1171" s="9"/>
      <c r="F1171" s="9"/>
      <c r="G1171" s="9"/>
      <c r="H1171" s="648"/>
      <c r="I1171" s="9"/>
      <c r="J1171" s="10"/>
      <c r="L1171" s="9"/>
      <c r="M1171" s="9"/>
      <c r="O1171" s="9"/>
      <c r="P1171" s="9"/>
      <c r="Q1171" s="9"/>
      <c r="R1171" s="9"/>
    </row>
    <row r="1172" ht="15" customHeight="1">
      <c r="A1172" s="297"/>
      <c r="B1172" s="297"/>
      <c r="C1172" s="297"/>
      <c r="D1172" s="9"/>
      <c r="E1172" s="9"/>
      <c r="F1172" s="9"/>
      <c r="G1172" s="9"/>
      <c r="H1172" s="648"/>
      <c r="I1172" s="9"/>
      <c r="J1172" s="10"/>
      <c r="L1172" s="9"/>
      <c r="M1172" s="9"/>
      <c r="O1172" s="9"/>
      <c r="P1172" s="9"/>
      <c r="Q1172" s="9"/>
      <c r="R1172" s="9"/>
    </row>
    <row r="1173" ht="15" customHeight="1">
      <c r="A1173" s="378" t="s">
        <v>1743</v>
      </c>
      <c r="B1173" s="378"/>
      <c r="C1173" s="378"/>
      <c r="D1173" s="378"/>
      <c r="E1173" s="378"/>
      <c r="F1173" s="378"/>
      <c r="G1173" s="378"/>
      <c r="H1173" s="648"/>
      <c r="I1173" s="9"/>
      <c r="J1173" s="10"/>
      <c r="L1173" s="9" t="s">
        <v>1737</v>
      </c>
      <c r="M1173" s="9"/>
      <c r="O1173" s="9"/>
      <c r="P1173" s="9"/>
      <c r="Q1173" s="9"/>
      <c r="R1173" s="9"/>
    </row>
    <row r="1174" ht="15" customHeight="1">
      <c r="A1174" s="378"/>
      <c r="B1174" s="378"/>
      <c r="C1174" s="378"/>
      <c r="D1174" s="378"/>
      <c r="E1174" s="378"/>
      <c r="F1174" s="378"/>
      <c r="G1174" s="378"/>
      <c r="H1174" s="648"/>
      <c r="I1174" s="9"/>
      <c r="J1174" s="10"/>
      <c r="L1174" s="9"/>
      <c r="M1174" s="9"/>
      <c r="O1174" s="9"/>
      <c r="P1174" s="9"/>
      <c r="Q1174" s="9"/>
      <c r="R1174" s="9"/>
    </row>
    <row r="1175" ht="15" customHeight="1">
      <c r="A1175" s="649" t="s">
        <v>818</v>
      </c>
      <c r="B1175" s="649"/>
      <c r="C1175" s="649"/>
      <c r="D1175" s="649"/>
      <c r="E1175" s="649"/>
      <c r="F1175" s="650" t="s">
        <v>1738</v>
      </c>
      <c r="G1175" s="650"/>
      <c r="H1175" s="650"/>
      <c r="I1175" s="1074" t="s">
        <v>1402</v>
      </c>
      <c r="J1175" s="10"/>
      <c r="L1175" s="9"/>
      <c r="M1175" s="9"/>
      <c r="O1175" s="9"/>
      <c r="P1175" s="9"/>
      <c r="Q1175" s="9"/>
      <c r="R1175" s="9"/>
    </row>
    <row r="1176" ht="15.75" customHeight="1">
      <c r="A1176" s="649"/>
      <c r="B1176" s="649"/>
      <c r="C1176" s="649"/>
      <c r="D1176" s="649"/>
      <c r="E1176" s="649"/>
      <c r="F1176" s="651" t="s">
        <v>406</v>
      </c>
      <c r="G1176" s="652" t="s">
        <v>820</v>
      </c>
      <c r="H1176" s="653" t="s">
        <v>821</v>
      </c>
      <c r="I1176" s="1074"/>
      <c r="J1176" s="10"/>
      <c r="L1176" s="9"/>
      <c r="M1176" s="9"/>
      <c r="O1176" s="9"/>
      <c r="P1176" s="9"/>
      <c r="Q1176" s="9"/>
      <c r="R1176" s="9"/>
    </row>
    <row r="1177" ht="15" customHeight="1">
      <c r="A1177" s="705" t="s">
        <v>843</v>
      </c>
      <c r="B1177" s="705"/>
      <c r="C1177" s="705"/>
      <c r="D1177" s="705"/>
      <c r="E1177" s="705"/>
      <c r="F1177" s="706" t="n">
        <v>368893</v>
      </c>
      <c r="G1177" s="707" t="n">
        <v>328513</v>
      </c>
      <c r="H1177" s="708"/>
      <c r="I1177" s="709" t="n">
        <f aca="false">AVERAGE(F1177,G1177,H1177)</f>
        <v>348703</v>
      </c>
      <c r="J1177" s="10"/>
      <c r="L1177" s="9"/>
      <c r="M1177" s="9"/>
      <c r="O1177" s="9"/>
      <c r="P1177" s="9"/>
      <c r="Q1177" s="9"/>
      <c r="R1177" s="9"/>
    </row>
    <row r="1178" ht="47.25" customHeight="1">
      <c r="A1178" s="710" t="s">
        <v>845</v>
      </c>
      <c r="B1178" s="710"/>
      <c r="C1178" s="710"/>
      <c r="D1178" s="710"/>
      <c r="E1178" s="710"/>
      <c r="F1178" s="711"/>
      <c r="G1178" s="712"/>
      <c r="H1178" s="713"/>
      <c r="I1178" s="714"/>
      <c r="J1178" s="10"/>
      <c r="L1178" s="9"/>
      <c r="M1178" s="9"/>
      <c r="O1178" s="9"/>
      <c r="P1178" s="9"/>
      <c r="Q1178" s="9"/>
      <c r="R1178" s="9"/>
    </row>
    <row r="1179" ht="15" customHeight="1">
      <c r="A1179" s="715" t="s">
        <v>846</v>
      </c>
      <c r="B1179" s="715"/>
      <c r="C1179" s="715"/>
      <c r="D1179" s="715"/>
      <c r="E1179" s="715"/>
      <c r="F1179" s="655" t="n">
        <v>28485</v>
      </c>
      <c r="G1179" s="656" t="n">
        <v>25000</v>
      </c>
      <c r="H1179" s="657"/>
      <c r="I1179" s="658" t="n">
        <f aca="false">AVERAGE(F1179,G1179,H1179)</f>
        <v>26742.5</v>
      </c>
      <c r="J1179" s="10"/>
      <c r="L1179" s="9"/>
      <c r="M1179" s="9"/>
      <c r="O1179" s="9"/>
      <c r="P1179" s="9"/>
      <c r="Q1179" s="9"/>
      <c r="R1179" s="9"/>
    </row>
    <row r="1180" ht="15" customHeight="1">
      <c r="A1180" s="716" t="s">
        <v>847</v>
      </c>
      <c r="B1180" s="716"/>
      <c r="C1180" s="716"/>
      <c r="D1180" s="716"/>
      <c r="E1180" s="716"/>
      <c r="F1180" s="665" t="n">
        <v>351</v>
      </c>
      <c r="G1180" s="666" t="n">
        <v>400</v>
      </c>
      <c r="H1180" s="667"/>
      <c r="I1180" s="668" t="n">
        <f aca="false">AVERAGE(F1180,G1180,H1180)</f>
        <v>375.5</v>
      </c>
      <c r="J1180" s="10"/>
      <c r="L1180" s="9"/>
      <c r="M1180" s="9"/>
      <c r="O1180" s="9"/>
      <c r="P1180" s="9"/>
      <c r="Q1180" s="9"/>
      <c r="R1180" s="9"/>
    </row>
    <row r="1181" ht="15" customHeight="1">
      <c r="A1181" s="716" t="s">
        <v>848</v>
      </c>
      <c r="B1181" s="716"/>
      <c r="C1181" s="716"/>
      <c r="D1181" s="716"/>
      <c r="E1181" s="716"/>
      <c r="F1181" s="665" t="n">
        <v>0</v>
      </c>
      <c r="G1181" s="666" t="n">
        <v>0</v>
      </c>
      <c r="H1181" s="667"/>
      <c r="I1181" s="668" t="n">
        <f aca="false">AVERAGE(F1181,G1181,H1181)</f>
        <v>0</v>
      </c>
      <c r="J1181" s="10"/>
      <c r="L1181" s="9"/>
      <c r="M1181" s="9"/>
      <c r="O1181" s="9"/>
      <c r="P1181" s="9"/>
      <c r="Q1181" s="9"/>
      <c r="R1181" s="9"/>
    </row>
    <row r="1182" ht="15" customHeight="1">
      <c r="A1182" s="681" t="s">
        <v>849</v>
      </c>
      <c r="B1182" s="681"/>
      <c r="C1182" s="681"/>
      <c r="D1182" s="681"/>
      <c r="E1182" s="681"/>
      <c r="F1182" s="682"/>
      <c r="G1182" s="683"/>
      <c r="H1182" s="684"/>
      <c r="I1182" s="685"/>
      <c r="J1182" s="10"/>
      <c r="L1182" s="9"/>
      <c r="M1182" s="9"/>
      <c r="O1182" s="9"/>
      <c r="P1182" s="9"/>
      <c r="Q1182" s="9"/>
      <c r="R1182" s="9"/>
    </row>
    <row r="1183" ht="15" customHeight="1">
      <c r="A1183" s="715" t="s">
        <v>1744</v>
      </c>
      <c r="B1183" s="715"/>
      <c r="C1183" s="715"/>
      <c r="D1183" s="715"/>
      <c r="E1183" s="715"/>
      <c r="F1183" s="717" t="n">
        <f aca="false">F1177+F1179+F1180-F1181</f>
        <v>397729</v>
      </c>
      <c r="G1183" s="717" t="n">
        <f aca="false">G1177+G1179+G1180-G1181</f>
        <v>353913</v>
      </c>
      <c r="H1183" s="717" t="n">
        <f aca="false">H1177+H1179+H1180-H1181</f>
        <v>0</v>
      </c>
      <c r="I1183" s="718" t="n">
        <f aca="false">I1177+I1179+I1180-I1181</f>
        <v>375821</v>
      </c>
      <c r="J1183" s="10"/>
      <c r="L1183" s="9"/>
      <c r="M1183" s="9"/>
      <c r="O1183" s="9"/>
      <c r="P1183" s="9"/>
      <c r="Q1183" s="9"/>
      <c r="R1183" s="9"/>
    </row>
    <row r="1184" ht="15" customHeight="1">
      <c r="A1184" s="401"/>
      <c r="B1184" s="401"/>
      <c r="C1184" s="401"/>
      <c r="D1184" s="401"/>
      <c r="E1184" s="401"/>
      <c r="F1184" s="701"/>
      <c r="G1184" s="702"/>
      <c r="H1184" s="719"/>
      <c r="I1184" s="9"/>
      <c r="J1184" s="10"/>
      <c r="L1184" s="9"/>
      <c r="M1184" s="9"/>
      <c r="O1184" s="9"/>
      <c r="P1184" s="9"/>
      <c r="Q1184" s="9"/>
      <c r="R1184" s="9"/>
    </row>
    <row r="1185" ht="15" customHeight="1">
      <c r="A1185" s="715" t="s">
        <v>850</v>
      </c>
      <c r="B1185" s="715"/>
      <c r="C1185" s="715"/>
      <c r="D1185" s="715"/>
      <c r="E1185" s="715"/>
      <c r="F1185" s="655" t="n">
        <v>23077</v>
      </c>
      <c r="G1185" s="656" t="n">
        <v>22004</v>
      </c>
      <c r="H1185" s="657"/>
      <c r="I1185" s="658" t="n">
        <f aca="false">AVERAGE(F1185,G1185,H1185)</f>
        <v>22540.5</v>
      </c>
      <c r="J1185" s="10"/>
      <c r="L1185" s="9"/>
      <c r="M1185" s="9"/>
      <c r="O1185" s="9"/>
      <c r="P1185" s="9"/>
      <c r="Q1185" s="9"/>
      <c r="R1185" s="9"/>
    </row>
    <row r="1186" ht="19.5" customHeight="1">
      <c r="A1186" s="681" t="s">
        <v>852</v>
      </c>
      <c r="B1186" s="681"/>
      <c r="C1186" s="681"/>
      <c r="D1186" s="681"/>
      <c r="E1186" s="681"/>
      <c r="F1186" s="682"/>
      <c r="G1186" s="683"/>
      <c r="H1186" s="684"/>
      <c r="I1186" s="685"/>
      <c r="J1186" s="10"/>
      <c r="L1186" s="9"/>
      <c r="M1186" s="9"/>
      <c r="O1186" s="9"/>
      <c r="P1186" s="9"/>
      <c r="Q1186" s="9"/>
      <c r="R1186" s="9"/>
    </row>
    <row r="1187" ht="15" customHeight="1">
      <c r="A1187" s="720" t="s">
        <v>853</v>
      </c>
      <c r="B1187" s="720"/>
      <c r="C1187" s="720"/>
      <c r="D1187" s="720"/>
      <c r="E1187" s="720"/>
      <c r="F1187" s="706" t="n">
        <v>110849</v>
      </c>
      <c r="G1187" s="707" t="n">
        <v>112558</v>
      </c>
      <c r="H1187" s="708"/>
      <c r="I1187" s="709" t="n">
        <f aca="false">AVERAGE(F1187,G1187,H1187)</f>
        <v>111703.5</v>
      </c>
      <c r="J1187" s="10"/>
      <c r="L1187" s="9"/>
      <c r="M1187" s="9"/>
      <c r="O1187" s="9"/>
      <c r="P1187" s="9"/>
      <c r="Q1187" s="9"/>
      <c r="R1187" s="9"/>
    </row>
    <row r="1188" ht="78.75" customHeight="1">
      <c r="A1188" s="681" t="s">
        <v>855</v>
      </c>
      <c r="B1188" s="681"/>
      <c r="C1188" s="681"/>
      <c r="D1188" s="681"/>
      <c r="E1188" s="681"/>
      <c r="F1188" s="682"/>
      <c r="G1188" s="683"/>
      <c r="H1188" s="684"/>
      <c r="I1188" s="685"/>
      <c r="J1188" s="10"/>
      <c r="L1188" s="9"/>
      <c r="M1188" s="9"/>
      <c r="O1188" s="9"/>
      <c r="P1188" s="9"/>
      <c r="Q1188" s="9"/>
      <c r="R1188" s="9"/>
    </row>
    <row r="1189" ht="15" customHeight="1">
      <c r="A1189" s="721" t="s">
        <v>856</v>
      </c>
      <c r="B1189" s="721"/>
      <c r="C1189" s="721"/>
      <c r="D1189" s="721"/>
      <c r="E1189" s="721"/>
      <c r="F1189" s="722" t="n">
        <v>51594</v>
      </c>
      <c r="G1189" s="723" t="n">
        <v>77215</v>
      </c>
      <c r="H1189" s="724"/>
      <c r="I1189" s="718" t="n">
        <f aca="false">AVERAGE(F1189,G1189,H1189)</f>
        <v>64404.5</v>
      </c>
      <c r="J1189" s="10"/>
      <c r="L1189" s="9"/>
      <c r="M1189" s="9"/>
      <c r="O1189" s="9"/>
      <c r="P1189" s="9"/>
      <c r="Q1189" s="9"/>
      <c r="R1189" s="9"/>
    </row>
    <row r="1190" ht="15" customHeight="1">
      <c r="A1190"/>
      <c r="D1190"/>
      <c r="E1190"/>
      <c r="F1190"/>
      <c r="G1190"/>
      <c r="H1190" s="648"/>
      <c r="I1190" s="9"/>
      <c r="J1190" s="10"/>
      <c r="L1190" s="9"/>
      <c r="M1190" s="9"/>
      <c r="O1190" s="9"/>
      <c r="P1190" s="9"/>
      <c r="Q1190" s="9"/>
      <c r="R1190" s="9"/>
    </row>
    <row r="1191" ht="15" customHeight="1">
      <c r="A1191" s="378" t="s">
        <v>1745</v>
      </c>
      <c r="B1191" s="378"/>
      <c r="C1191" s="378"/>
      <c r="D1191" s="378"/>
      <c r="E1191" s="378"/>
      <c r="F1191" s="378"/>
      <c r="G1191" s="378"/>
      <c r="H1191" s="648"/>
      <c r="I1191" s="9"/>
      <c r="J1191" s="10"/>
      <c r="L1191" s="9" t="s">
        <v>1712</v>
      </c>
      <c r="M1191" s="9"/>
      <c r="O1191" s="9"/>
      <c r="P1191" s="9"/>
      <c r="Q1191" s="9"/>
      <c r="R1191" s="9"/>
    </row>
    <row r="1192" ht="15" customHeight="1">
      <c r="A1192" s="378"/>
      <c r="B1192" s="378"/>
      <c r="C1192" s="378"/>
      <c r="D1192" s="378"/>
      <c r="E1192" s="378"/>
      <c r="F1192" s="378"/>
      <c r="G1192" s="378"/>
      <c r="H1192" s="648"/>
      <c r="I1192" s="9"/>
      <c r="J1192" s="10"/>
      <c r="L1192" s="9"/>
      <c r="M1192" s="9"/>
      <c r="O1192" s="9"/>
      <c r="P1192" s="9"/>
      <c r="Q1192" s="9"/>
      <c r="R1192" s="9"/>
    </row>
    <row r="1193" ht="15" customHeight="1">
      <c r="A1193" s="725" t="s">
        <v>818</v>
      </c>
      <c r="B1193" s="725"/>
      <c r="C1193" s="725"/>
      <c r="D1193" s="725"/>
      <c r="E1193" s="725"/>
      <c r="F1193" s="650" t="s">
        <v>1738</v>
      </c>
      <c r="G1193" s="650"/>
      <c r="H1193" s="650"/>
      <c r="I1193" s="726" t="s">
        <v>1402</v>
      </c>
      <c r="J1193" s="10"/>
      <c r="L1193" s="9"/>
      <c r="M1193" s="9"/>
      <c r="O1193" s="9"/>
      <c r="P1193" s="9"/>
      <c r="Q1193" s="9"/>
      <c r="R1193" s="9"/>
    </row>
    <row r="1194" ht="15" customHeight="1">
      <c r="A1194" s="725"/>
      <c r="B1194" s="725"/>
      <c r="C1194" s="725"/>
      <c r="D1194" s="725"/>
      <c r="E1194" s="725"/>
      <c r="F1194" s="727" t="s">
        <v>406</v>
      </c>
      <c r="G1194" s="728" t="s">
        <v>820</v>
      </c>
      <c r="H1194" s="729" t="s">
        <v>821</v>
      </c>
      <c r="I1194" s="726"/>
      <c r="J1194" s="10"/>
      <c r="L1194" s="9"/>
      <c r="M1194" s="9"/>
      <c r="O1194" s="9"/>
      <c r="P1194" s="9"/>
      <c r="Q1194" s="9"/>
      <c r="R1194" s="9"/>
    </row>
    <row r="1195" ht="15" customHeight="1">
      <c r="A1195" s="730" t="s">
        <v>1746</v>
      </c>
      <c r="B1195" s="730"/>
      <c r="C1195" s="730"/>
      <c r="D1195" s="730"/>
      <c r="E1195" s="730"/>
      <c r="F1195" s="655" t="n">
        <v>86863</v>
      </c>
      <c r="G1195" s="656" t="n">
        <v>93109</v>
      </c>
      <c r="H1195" s="657"/>
      <c r="I1195" s="658" t="n">
        <f aca="false">AVERAGE(F1195,G1195,H1195)</f>
        <v>89986</v>
      </c>
      <c r="J1195" s="10"/>
      <c r="L1195" s="9"/>
      <c r="M1195" s="9"/>
      <c r="O1195" s="9"/>
      <c r="P1195" s="9"/>
      <c r="Q1195" s="9"/>
      <c r="R1195" s="9"/>
    </row>
    <row r="1196" ht="135" customHeight="1">
      <c r="A1196" s="681" t="s">
        <v>1747</v>
      </c>
      <c r="B1196" s="681"/>
      <c r="C1196" s="681"/>
      <c r="D1196" s="681"/>
      <c r="E1196" s="681"/>
      <c r="F1196" s="682"/>
      <c r="G1196" s="683"/>
      <c r="H1196" s="684"/>
      <c r="I1196" s="685"/>
      <c r="J1196" s="10"/>
      <c r="L1196" s="9"/>
      <c r="M1196" s="9"/>
      <c r="O1196" s="9"/>
      <c r="P1196" s="9"/>
      <c r="Q1196" s="9"/>
      <c r="R1196" s="9"/>
    </row>
    <row r="1197" ht="15" customHeight="1">
      <c r="A1197" s="730" t="s">
        <v>1748</v>
      </c>
      <c r="B1197" s="730"/>
      <c r="C1197" s="730"/>
      <c r="D1197" s="730"/>
      <c r="E1197" s="730"/>
      <c r="F1197" s="655" t="n">
        <v>73371</v>
      </c>
      <c r="G1197" s="656" t="n">
        <v>71086</v>
      </c>
      <c r="H1197" s="657"/>
      <c r="I1197" s="658" t="n">
        <f aca="false">AVERAGE(F1197,G1197,H1197)</f>
        <v>72228.5</v>
      </c>
      <c r="J1197" s="10"/>
      <c r="L1197" s="9"/>
      <c r="M1197" s="9"/>
      <c r="O1197" s="9"/>
      <c r="P1197" s="9"/>
      <c r="Q1197" s="9"/>
      <c r="R1197" s="9"/>
    </row>
    <row r="1198" ht="47.25" customHeight="1">
      <c r="A1198" s="681" t="s">
        <v>1749</v>
      </c>
      <c r="B1198" s="681"/>
      <c r="C1198" s="681"/>
      <c r="D1198" s="681"/>
      <c r="E1198" s="681"/>
      <c r="F1198" s="682"/>
      <c r="G1198" s="683"/>
      <c r="H1198" s="684"/>
      <c r="I1198" s="685"/>
      <c r="J1198" s="10"/>
      <c r="L1198" s="9"/>
      <c r="M1198" s="9"/>
      <c r="O1198" s="9"/>
      <c r="P1198" s="9"/>
      <c r="Q1198" s="9"/>
      <c r="R1198" s="9"/>
    </row>
    <row r="1199" ht="15" customHeight="1">
      <c r="A1199" s="731" t="s">
        <v>864</v>
      </c>
      <c r="B1199" s="731"/>
      <c r="C1199" s="731"/>
      <c r="D1199" s="731"/>
      <c r="E1199" s="731"/>
      <c r="F1199" s="706" t="n">
        <v>1618</v>
      </c>
      <c r="G1199" s="707" t="n">
        <v>1599</v>
      </c>
      <c r="H1199" s="708"/>
      <c r="I1199" s="709" t="n">
        <f aca="false">AVERAGE(F1199,G1199,H1199)</f>
        <v>1608.5</v>
      </c>
      <c r="J1199" s="10"/>
      <c r="L1199" s="9"/>
      <c r="M1199" s="9"/>
      <c r="O1199" s="9"/>
      <c r="P1199" s="9"/>
      <c r="Q1199" s="9"/>
      <c r="R1199" s="9"/>
    </row>
    <row r="1200" ht="15" customHeight="1">
      <c r="A1200" s="681" t="s">
        <v>1750</v>
      </c>
      <c r="B1200" s="681"/>
      <c r="C1200" s="681"/>
      <c r="D1200" s="681"/>
      <c r="E1200" s="681"/>
      <c r="F1200" s="682"/>
      <c r="G1200" s="683"/>
      <c r="H1200" s="684"/>
      <c r="I1200" s="685"/>
      <c r="J1200" s="10"/>
      <c r="L1200" s="9"/>
      <c r="M1200" s="9"/>
      <c r="O1200" s="9"/>
      <c r="P1200" s="9"/>
      <c r="Q1200" s="9"/>
      <c r="R1200" s="9"/>
    </row>
    <row r="1201" ht="15" customHeight="1">
      <c r="A1201"/>
      <c r="D1201"/>
      <c r="E1201"/>
      <c r="F1201"/>
      <c r="G1201"/>
      <c r="H1201" s="648"/>
      <c r="I1201" s="9"/>
      <c r="J1201" s="10"/>
      <c r="L1201" s="9"/>
      <c r="M1201" s="9"/>
      <c r="O1201" s="9"/>
      <c r="P1201" s="9"/>
      <c r="Q1201" s="9"/>
      <c r="R1201" s="9"/>
    </row>
    <row r="1202" ht="15" customHeight="1">
      <c r="A1202"/>
      <c r="D1202"/>
      <c r="E1202"/>
      <c r="F1202"/>
      <c r="G1202"/>
      <c r="H1202" s="648"/>
      <c r="I1202" s="9"/>
      <c r="J1202" s="10"/>
      <c r="L1202" s="9"/>
      <c r="M1202" s="9"/>
      <c r="O1202" s="9"/>
      <c r="P1202" s="9"/>
      <c r="Q1202" s="9"/>
      <c r="R1202" s="9"/>
    </row>
    <row r="1203" ht="15" customHeight="1">
      <c r="A1203" s="378" t="s">
        <v>1751</v>
      </c>
      <c r="B1203" s="378"/>
      <c r="C1203" s="378"/>
      <c r="D1203" s="378"/>
      <c r="E1203" s="378"/>
      <c r="F1203" s="378"/>
      <c r="G1203" s="378"/>
      <c r="H1203" s="648"/>
      <c r="I1203" s="9"/>
      <c r="J1203" s="10"/>
      <c r="L1203" s="9" t="s">
        <v>1712</v>
      </c>
      <c r="M1203" s="9"/>
      <c r="O1203" s="9"/>
      <c r="P1203" s="9"/>
      <c r="Q1203" s="9"/>
      <c r="R1203" s="9"/>
    </row>
    <row r="1204" ht="15" customHeight="1">
      <c r="A1204" s="378"/>
      <c r="B1204" s="378"/>
      <c r="C1204" s="378"/>
      <c r="D1204" s="378"/>
      <c r="E1204" s="378"/>
      <c r="F1204" s="378"/>
      <c r="G1204" s="378"/>
      <c r="H1204" s="648"/>
      <c r="I1204" s="9"/>
      <c r="J1204" s="10"/>
      <c r="L1204" s="9"/>
      <c r="M1204" s="9"/>
      <c r="O1204" s="9"/>
      <c r="P1204" s="9"/>
      <c r="Q1204" s="9"/>
      <c r="R1204" s="9"/>
    </row>
    <row r="1205" ht="15" customHeight="1">
      <c r="A1205" s="725" t="s">
        <v>818</v>
      </c>
      <c r="B1205" s="725"/>
      <c r="C1205" s="725"/>
      <c r="D1205" s="725"/>
      <c r="E1205" s="725"/>
      <c r="F1205" s="650" t="s">
        <v>1738</v>
      </c>
      <c r="G1205" s="650"/>
      <c r="H1205" s="650"/>
      <c r="I1205" s="726" t="s">
        <v>1402</v>
      </c>
      <c r="J1205" s="10"/>
      <c r="L1205" s="9"/>
      <c r="M1205" s="9"/>
      <c r="O1205" s="9"/>
      <c r="P1205" s="9"/>
      <c r="Q1205" s="9"/>
      <c r="R1205" s="9"/>
    </row>
    <row r="1206" ht="15.75" customHeight="1">
      <c r="A1206" s="725"/>
      <c r="B1206" s="725"/>
      <c r="C1206" s="725"/>
      <c r="D1206" s="725"/>
      <c r="E1206" s="725"/>
      <c r="F1206" s="727" t="s">
        <v>406</v>
      </c>
      <c r="G1206" s="728" t="s">
        <v>820</v>
      </c>
      <c r="H1206" s="729" t="s">
        <v>821</v>
      </c>
      <c r="I1206" s="726"/>
      <c r="J1206" s="10"/>
      <c r="L1206" s="9"/>
      <c r="M1206" s="9"/>
      <c r="O1206" s="9"/>
      <c r="P1206" s="9"/>
      <c r="Q1206" s="9"/>
      <c r="R1206" s="9"/>
    </row>
    <row r="1207" ht="15" customHeight="1">
      <c r="A1207" s="732" t="s">
        <v>1752</v>
      </c>
      <c r="B1207" s="732"/>
      <c r="C1207" s="732"/>
      <c r="D1207" s="732"/>
      <c r="E1207" s="732"/>
      <c r="F1207" s="722" t="n">
        <v>663116</v>
      </c>
      <c r="G1207" s="723" t="n">
        <v>632142</v>
      </c>
      <c r="H1207" s="724"/>
      <c r="I1207" s="718" t="n">
        <f aca="false">AVERAGE(F1207,G1207,H1207)</f>
        <v>647629</v>
      </c>
      <c r="J1207" s="10"/>
      <c r="L1207" s="9"/>
      <c r="M1207" s="9"/>
      <c r="O1207" s="9"/>
      <c r="P1207" s="9"/>
      <c r="Q1207" s="9"/>
      <c r="R1207" s="9"/>
    </row>
    <row r="1208" ht="15" customHeight="1">
      <c r="A1208" s="681" t="s">
        <v>1753</v>
      </c>
      <c r="B1208" s="681"/>
      <c r="C1208" s="681"/>
      <c r="D1208" s="681"/>
      <c r="E1208" s="681"/>
      <c r="F1208" s="682"/>
      <c r="G1208" s="683"/>
      <c r="H1208" s="684"/>
      <c r="I1208" s="685"/>
      <c r="J1208" s="10"/>
      <c r="L1208" s="9"/>
      <c r="M1208" s="9"/>
      <c r="O1208" s="9"/>
      <c r="P1208" s="9"/>
      <c r="Q1208" s="9"/>
      <c r="R1208" s="9"/>
    </row>
    <row r="1209" ht="15" customHeight="1">
      <c r="A1209" s="733"/>
      <c r="B1209" s="734"/>
      <c r="C1209" s="734"/>
      <c r="D1209" s="734"/>
      <c r="E1209" s="734"/>
      <c r="F1209" s="735"/>
      <c r="G1209" s="736"/>
      <c r="H1209" s="737"/>
      <c r="I1209" s="9"/>
      <c r="J1209" s="10"/>
      <c r="L1209" s="9"/>
      <c r="M1209" s="9"/>
      <c r="O1209" s="9"/>
      <c r="P1209" s="9"/>
      <c r="Q1209" s="9"/>
      <c r="R1209" s="9"/>
    </row>
    <row r="1210" ht="15.75" customHeight="1">
      <c r="A1210" s="715" t="s">
        <v>870</v>
      </c>
      <c r="B1210" s="715"/>
      <c r="C1210" s="715"/>
      <c r="D1210" s="715"/>
      <c r="E1210" s="715"/>
      <c r="F1210" s="655" t="n">
        <v>541560</v>
      </c>
      <c r="G1210" s="656" t="n">
        <v>514095</v>
      </c>
      <c r="H1210" s="657"/>
      <c r="I1210" s="658" t="n">
        <f aca="false">AVERAGE(F1210,G1210,H1210)</f>
        <v>527827.5</v>
      </c>
      <c r="J1210" s="10"/>
      <c r="L1210" s="9"/>
      <c r="M1210" s="9"/>
      <c r="O1210" s="9"/>
      <c r="P1210" s="9"/>
      <c r="Q1210" s="9"/>
      <c r="R1210" s="9"/>
    </row>
    <row r="1211" ht="16.5" customHeight="1">
      <c r="A1211" s="738" t="s">
        <v>871</v>
      </c>
      <c r="B1211" s="738"/>
      <c r="C1211" s="738"/>
      <c r="D1211" s="738"/>
      <c r="E1211" s="738"/>
      <c r="F1211" s="739" t="n">
        <v>0</v>
      </c>
      <c r="G1211" s="740" t="n">
        <v>0</v>
      </c>
      <c r="H1211" s="741"/>
      <c r="I1211" s="742" t="n">
        <f aca="false">AVERAGE(F1211,G1211,H1211)</f>
        <v>0</v>
      </c>
      <c r="J1211" s="10"/>
      <c r="L1211" s="9"/>
      <c r="M1211" s="9"/>
      <c r="O1211" s="9"/>
      <c r="P1211" s="9"/>
      <c r="Q1211" s="9"/>
      <c r="R1211" s="9"/>
    </row>
    <row r="1212" ht="15.75" customHeight="1">
      <c r="A1212" s="705" t="s">
        <v>1754</v>
      </c>
      <c r="B1212" s="705"/>
      <c r="C1212" s="705"/>
      <c r="D1212" s="705"/>
      <c r="E1212" s="705"/>
      <c r="F1212" s="743" t="n">
        <f aca="false">F1195+F1210+F1211</f>
        <v>628423</v>
      </c>
      <c r="G1212" s="743" t="n">
        <f aca="false">G1195+G1210+G1211</f>
        <v>607204</v>
      </c>
      <c r="H1212" s="744" t="n">
        <f aca="false">H1195+H1210+H1211</f>
        <v>0</v>
      </c>
      <c r="I1212" s="658" t="n">
        <f aca="false">I1195+I1210+I1211</f>
        <v>617813.5</v>
      </c>
      <c r="J1212" s="10"/>
      <c r="L1212" s="9"/>
      <c r="M1212" s="9"/>
      <c r="O1212" s="9"/>
      <c r="P1212" s="9"/>
      <c r="Q1212" s="9"/>
      <c r="R1212" s="9"/>
    </row>
    <row r="1213" ht="15.75" customHeight="1">
      <c r="A1213" s="681" t="s">
        <v>1755</v>
      </c>
      <c r="B1213" s="681"/>
      <c r="C1213" s="681"/>
      <c r="D1213" s="681"/>
      <c r="E1213" s="681"/>
      <c r="F1213" s="682"/>
      <c r="G1213" s="683"/>
      <c r="H1213" s="684"/>
      <c r="I1213" s="685"/>
      <c r="J1213" s="10"/>
      <c r="L1213" s="9"/>
      <c r="M1213" s="9"/>
      <c r="O1213" s="9"/>
      <c r="P1213" s="9"/>
      <c r="Q1213" s="9"/>
      <c r="R1213" s="9"/>
    </row>
    <row r="1214" ht="15" customHeight="1">
      <c r="A1214" s="22"/>
      <c r="B1214" s="22"/>
      <c r="C1214" s="44"/>
      <c r="D1214" s="44"/>
      <c r="E1214" s="9"/>
      <c r="F1214" s="9"/>
      <c r="G1214" s="9"/>
      <c r="H1214" s="648"/>
      <c r="I1214" s="9"/>
      <c r="J1214" s="10"/>
      <c r="L1214" s="9"/>
      <c r="M1214" s="9"/>
      <c r="O1214" s="9"/>
      <c r="P1214" s="9"/>
      <c r="Q1214" s="9"/>
      <c r="R1214" s="9"/>
    </row>
    <row r="1215" ht="15" customHeight="1">
      <c r="A1215" s="401"/>
      <c r="B1215" s="401"/>
      <c r="C1215" s="401"/>
      <c r="D1215" s="401"/>
      <c r="E1215" s="401"/>
      <c r="F1215" s="401"/>
      <c r="G1215" s="401"/>
      <c r="H1215" s="648"/>
      <c r="K1215" s="633"/>
      <c r="L1215" s="745"/>
      <c r="N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c r="EK1215"/>
      <c r="EL1215"/>
      <c r="EM1215"/>
      <c r="EN1215"/>
      <c r="EO1215"/>
      <c r="EP1215"/>
      <c r="EQ1215"/>
      <c r="ER1215"/>
      <c r="ES1215"/>
      <c r="ET1215"/>
      <c r="EU1215"/>
      <c r="EV1215"/>
      <c r="EW1215"/>
      <c r="EX1215"/>
      <c r="EY1215"/>
      <c r="EZ1215"/>
      <c r="FA1215"/>
      <c r="FB1215"/>
      <c r="FC1215"/>
      <c r="FD1215"/>
      <c r="FE1215"/>
      <c r="FF1215"/>
      <c r="FG1215"/>
      <c r="FH1215"/>
      <c r="FI1215"/>
      <c r="FJ1215"/>
      <c r="FK1215"/>
      <c r="FL1215"/>
      <c r="FM1215"/>
      <c r="FN1215"/>
      <c r="FO1215"/>
      <c r="FP1215"/>
      <c r="FQ1215"/>
      <c r="FR1215"/>
      <c r="FS1215"/>
      <c r="FT1215"/>
      <c r="FU1215"/>
      <c r="FV1215"/>
      <c r="FW1215"/>
      <c r="FX1215"/>
      <c r="FY1215"/>
      <c r="FZ1215"/>
      <c r="GA1215"/>
      <c r="GB1215"/>
      <c r="GC1215"/>
      <c r="GD1215"/>
      <c r="GE1215"/>
      <c r="GF1215"/>
      <c r="GG1215"/>
      <c r="GH1215"/>
      <c r="GI1215"/>
      <c r="GJ1215"/>
      <c r="GK1215"/>
      <c r="GL1215"/>
      <c r="GM1215"/>
      <c r="GN1215"/>
      <c r="GO1215"/>
      <c r="GP1215"/>
      <c r="GQ1215"/>
      <c r="GR1215"/>
      <c r="GS1215"/>
      <c r="GT1215"/>
      <c r="GU1215"/>
      <c r="GV1215"/>
      <c r="GW1215"/>
      <c r="GX1215"/>
      <c r="GY1215"/>
      <c r="GZ1215"/>
      <c r="HA1215"/>
      <c r="HB1215"/>
      <c r="HC1215"/>
      <c r="HD1215"/>
      <c r="HE1215"/>
      <c r="HF1215"/>
      <c r="HG1215"/>
      <c r="HH1215"/>
      <c r="HI1215"/>
      <c r="HJ1215"/>
      <c r="HK1215"/>
      <c r="HL1215"/>
      <c r="HM1215"/>
      <c r="HN1215"/>
      <c r="HO1215"/>
      <c r="HP1215"/>
      <c r="HQ1215"/>
      <c r="HR1215"/>
      <c r="HS1215"/>
      <c r="HT1215"/>
      <c r="HU1215"/>
      <c r="HV1215"/>
      <c r="HW1215"/>
      <c r="HX1215"/>
      <c r="HY1215"/>
      <c r="HZ1215"/>
      <c r="IA1215"/>
      <c r="IB1215"/>
      <c r="IC1215"/>
      <c r="ID1215"/>
      <c r="IE1215"/>
      <c r="IF1215"/>
      <c r="IG1215"/>
      <c r="IH1215"/>
      <c r="II1215"/>
      <c r="IJ1215"/>
      <c r="IK1215"/>
      <c r="IL1215"/>
      <c r="IM1215"/>
      <c r="IN1215"/>
      <c r="IO1215"/>
      <c r="IP1215"/>
      <c r="IQ1215"/>
      <c r="IR1215"/>
      <c r="IS1215"/>
      <c r="IT1215"/>
      <c r="IU1215"/>
      <c r="IV1215"/>
    </row>
    <row r="1216" ht="15.75" customHeight="1">
      <c r="A1216" s="1071" t="s">
        <v>1756</v>
      </c>
      <c r="B1216" s="1071"/>
      <c r="C1216" s="1071"/>
      <c r="D1216" s="1071"/>
      <c r="E1216" s="1071"/>
      <c r="F1216" s="1071"/>
      <c r="G1216" s="1071"/>
      <c r="H1216" s="42"/>
      <c r="I1216" s="42"/>
      <c r="J1216" s="42"/>
      <c r="K1216" s="1072"/>
      <c r="L1216" s="1073" t="s">
        <v>1712</v>
      </c>
      <c r="N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c r="EK1216"/>
      <c r="EL1216"/>
      <c r="EM1216"/>
      <c r="EN1216"/>
      <c r="EO1216"/>
      <c r="EP1216"/>
      <c r="EQ1216"/>
      <c r="ER1216"/>
      <c r="ES1216"/>
      <c r="ET1216"/>
      <c r="EU1216"/>
      <c r="EV1216"/>
      <c r="EW1216"/>
      <c r="EX1216"/>
      <c r="EY1216"/>
      <c r="EZ1216"/>
      <c r="FA1216"/>
      <c r="FB1216"/>
      <c r="FC1216"/>
      <c r="FD1216"/>
      <c r="FE1216"/>
      <c r="FF1216"/>
      <c r="FG1216"/>
      <c r="FH1216"/>
      <c r="FI1216"/>
      <c r="FJ1216"/>
      <c r="FK1216"/>
      <c r="FL1216"/>
      <c r="FM1216"/>
      <c r="FN1216"/>
      <c r="FO1216"/>
      <c r="FP1216"/>
      <c r="FQ1216"/>
      <c r="FR1216"/>
      <c r="FS1216"/>
      <c r="FT1216"/>
      <c r="FU1216"/>
      <c r="FV1216"/>
      <c r="FW1216"/>
      <c r="FX1216"/>
      <c r="FY1216"/>
      <c r="FZ1216"/>
      <c r="GA1216"/>
      <c r="GB1216"/>
      <c r="GC1216"/>
      <c r="GD1216"/>
      <c r="GE1216"/>
      <c r="GF1216"/>
      <c r="GG1216"/>
      <c r="GH1216"/>
      <c r="GI1216"/>
      <c r="GJ1216"/>
      <c r="GK1216"/>
      <c r="GL1216"/>
      <c r="GM1216"/>
      <c r="GN1216"/>
      <c r="GO1216"/>
      <c r="GP1216"/>
      <c r="GQ1216"/>
      <c r="GR1216"/>
      <c r="GS1216"/>
      <c r="GT1216"/>
      <c r="GU1216"/>
      <c r="GV1216"/>
      <c r="GW1216"/>
      <c r="GX1216"/>
      <c r="GY1216"/>
      <c r="GZ1216"/>
      <c r="HA1216"/>
      <c r="HB1216"/>
      <c r="HC1216"/>
      <c r="HD1216"/>
      <c r="HE1216"/>
      <c r="HF1216"/>
      <c r="HG1216"/>
      <c r="HH1216"/>
      <c r="HI1216"/>
      <c r="HJ1216"/>
      <c r="HK1216"/>
      <c r="HL1216"/>
      <c r="HM1216"/>
      <c r="HN1216"/>
      <c r="HO1216"/>
      <c r="HP1216"/>
      <c r="HQ1216"/>
      <c r="HR1216"/>
      <c r="HS1216"/>
      <c r="HT1216"/>
      <c r="HU1216"/>
      <c r="HV1216"/>
      <c r="HW1216"/>
      <c r="HX1216"/>
      <c r="HY1216"/>
      <c r="HZ1216"/>
      <c r="IA1216"/>
      <c r="IB1216"/>
      <c r="IC1216"/>
      <c r="ID1216"/>
      <c r="IE1216"/>
      <c r="IF1216"/>
      <c r="IG1216"/>
      <c r="IH1216"/>
      <c r="II1216"/>
      <c r="IJ1216"/>
      <c r="IK1216"/>
      <c r="IL1216"/>
      <c r="IM1216"/>
      <c r="IN1216"/>
      <c r="IO1216"/>
      <c r="IP1216"/>
      <c r="IQ1216"/>
      <c r="IR1216"/>
      <c r="IS1216"/>
      <c r="IT1216"/>
      <c r="IU1216"/>
      <c r="IV1216"/>
    </row>
    <row r="1217" ht="15.75" customHeight="1">
      <c r="A1217" s="378"/>
      <c r="B1217" s="378"/>
      <c r="C1217" s="378"/>
      <c r="D1217" s="378"/>
      <c r="E1217" s="378"/>
      <c r="F1217" s="378"/>
      <c r="G1217" s="378"/>
      <c r="H1217"/>
      <c r="I1217"/>
      <c r="J1217"/>
      <c r="K1217" s="1076"/>
      <c r="L1217" s="880"/>
      <c r="N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c r="EK1217"/>
      <c r="EL1217"/>
      <c r="EM1217"/>
      <c r="EN1217"/>
      <c r="EO1217"/>
      <c r="EP1217"/>
      <c r="EQ1217"/>
      <c r="ER1217"/>
      <c r="ES1217"/>
      <c r="ET1217"/>
      <c r="EU1217"/>
      <c r="EV1217"/>
      <c r="EW1217"/>
      <c r="EX1217"/>
      <c r="EY1217"/>
      <c r="EZ1217"/>
      <c r="FA1217"/>
      <c r="FB1217"/>
      <c r="FC1217"/>
      <c r="FD1217"/>
      <c r="FE1217"/>
      <c r="FF1217"/>
      <c r="FG1217"/>
      <c r="FH1217"/>
      <c r="FI1217"/>
      <c r="FJ1217"/>
      <c r="FK1217"/>
      <c r="FL1217"/>
      <c r="FM1217"/>
      <c r="FN1217"/>
      <c r="FO1217"/>
      <c r="FP1217"/>
      <c r="FQ1217"/>
      <c r="FR1217"/>
      <c r="FS1217"/>
      <c r="FT1217"/>
      <c r="FU1217"/>
      <c r="FV1217"/>
      <c r="FW1217"/>
      <c r="FX1217"/>
      <c r="FY1217"/>
      <c r="FZ1217"/>
      <c r="GA1217"/>
      <c r="GB1217"/>
      <c r="GC1217"/>
      <c r="GD1217"/>
      <c r="GE1217"/>
      <c r="GF1217"/>
      <c r="GG1217"/>
      <c r="GH1217"/>
      <c r="GI1217"/>
      <c r="GJ1217"/>
      <c r="GK1217"/>
      <c r="GL1217"/>
      <c r="GM1217"/>
      <c r="GN1217"/>
      <c r="GO1217"/>
      <c r="GP1217"/>
      <c r="GQ1217"/>
      <c r="GR1217"/>
      <c r="GS1217"/>
      <c r="GT1217"/>
      <c r="GU1217"/>
      <c r="GV1217"/>
      <c r="GW1217"/>
      <c r="GX1217"/>
      <c r="GY1217"/>
      <c r="GZ1217"/>
      <c r="HA1217"/>
      <c r="HB1217"/>
      <c r="HC1217"/>
      <c r="HD1217"/>
      <c r="HE1217"/>
      <c r="HF1217"/>
      <c r="HG1217"/>
      <c r="HH1217"/>
      <c r="HI1217"/>
      <c r="HJ1217"/>
      <c r="HK1217"/>
      <c r="HL1217"/>
      <c r="HM1217"/>
      <c r="HN1217"/>
      <c r="HO1217"/>
      <c r="HP1217"/>
      <c r="HQ1217"/>
      <c r="HR1217"/>
      <c r="HS1217"/>
      <c r="HT1217"/>
      <c r="HU1217"/>
      <c r="HV1217"/>
      <c r="HW1217"/>
      <c r="HX1217"/>
      <c r="HY1217"/>
      <c r="HZ1217"/>
      <c r="IA1217"/>
      <c r="IB1217"/>
      <c r="IC1217"/>
      <c r="ID1217"/>
      <c r="IE1217"/>
      <c r="IF1217"/>
      <c r="IG1217"/>
      <c r="IH1217"/>
      <c r="II1217"/>
      <c r="IJ1217"/>
      <c r="IK1217"/>
      <c r="IL1217"/>
      <c r="IM1217"/>
      <c r="IN1217"/>
      <c r="IO1217"/>
      <c r="IP1217"/>
      <c r="IQ1217"/>
      <c r="IR1217"/>
      <c r="IS1217"/>
      <c r="IT1217"/>
      <c r="IU1217"/>
      <c r="IV1217"/>
    </row>
    <row r="1218" ht="15" customHeight="1">
      <c r="A1218" s="474" t="s">
        <v>1757</v>
      </c>
      <c r="B1218" s="474"/>
      <c r="C1218" s="835" t="s">
        <v>1758</v>
      </c>
      <c r="D1218" s="746" t="n">
        <f aca="false">(0.25*I1169)+I1197</f>
        <v>90484.125</v>
      </c>
      <c r="E1218" s="745"/>
      <c r="F1218" s="401"/>
      <c r="G1218" s="401"/>
      <c r="H1218" s="648"/>
      <c r="K1218"/>
      <c r="N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c r="EK1218"/>
      <c r="EL1218"/>
      <c r="EM1218"/>
      <c r="EN1218"/>
      <c r="EO1218"/>
      <c r="EP1218"/>
      <c r="EQ1218"/>
      <c r="ER1218"/>
      <c r="ES1218"/>
      <c r="ET1218"/>
      <c r="EU1218"/>
      <c r="EV1218"/>
      <c r="EW1218"/>
      <c r="EX1218"/>
      <c r="EY1218"/>
      <c r="EZ1218"/>
      <c r="FA1218"/>
      <c r="FB1218"/>
      <c r="FC1218"/>
      <c r="FD1218"/>
      <c r="FE1218"/>
      <c r="FF1218"/>
      <c r="FG1218"/>
      <c r="FH1218"/>
      <c r="FI1218"/>
      <c r="FJ1218"/>
      <c r="FK1218"/>
      <c r="FL1218"/>
      <c r="FM1218"/>
      <c r="FN1218"/>
      <c r="FO1218"/>
      <c r="FP1218"/>
      <c r="FQ1218"/>
      <c r="FR1218"/>
      <c r="FS1218"/>
      <c r="FT1218"/>
      <c r="FU1218"/>
      <c r="FV1218"/>
      <c r="FW1218"/>
      <c r="FX1218"/>
      <c r="FY1218"/>
      <c r="FZ1218"/>
      <c r="GA1218"/>
      <c r="GB1218"/>
      <c r="GC1218"/>
      <c r="GD1218"/>
      <c r="GE1218"/>
      <c r="GF1218"/>
      <c r="GG1218"/>
      <c r="GH1218"/>
      <c r="GI1218"/>
      <c r="GJ1218"/>
      <c r="GK1218"/>
      <c r="GL1218"/>
      <c r="GM1218"/>
      <c r="GN1218"/>
      <c r="GO1218"/>
      <c r="GP1218"/>
      <c r="GQ1218"/>
      <c r="GR1218"/>
      <c r="GS1218"/>
      <c r="GT1218"/>
      <c r="GU1218"/>
      <c r="GV1218"/>
      <c r="GW1218"/>
      <c r="GX1218"/>
      <c r="GY1218"/>
      <c r="GZ1218"/>
      <c r="HA1218"/>
      <c r="HB1218"/>
      <c r="HC1218"/>
      <c r="HD1218"/>
      <c r="HE1218"/>
      <c r="HF1218"/>
      <c r="HG1218"/>
      <c r="HH1218"/>
      <c r="HI1218"/>
      <c r="HJ1218"/>
      <c r="HK1218"/>
      <c r="HL1218"/>
      <c r="HM1218"/>
      <c r="HN1218"/>
      <c r="HO1218"/>
      <c r="HP1218"/>
      <c r="HQ1218"/>
      <c r="HR1218"/>
      <c r="HS1218"/>
      <c r="HT1218"/>
      <c r="HU1218"/>
      <c r="HV1218"/>
      <c r="HW1218"/>
      <c r="HX1218"/>
      <c r="HY1218"/>
      <c r="HZ1218"/>
      <c r="IA1218"/>
      <c r="IB1218"/>
      <c r="IC1218"/>
      <c r="ID1218"/>
      <c r="IE1218"/>
      <c r="IF1218"/>
      <c r="IG1218"/>
      <c r="IH1218"/>
      <c r="II1218"/>
      <c r="IJ1218"/>
      <c r="IK1218"/>
      <c r="IL1218"/>
      <c r="IM1218"/>
      <c r="IN1218"/>
      <c r="IO1218"/>
      <c r="IP1218"/>
      <c r="IQ1218"/>
      <c r="IR1218"/>
      <c r="IS1218"/>
      <c r="IT1218"/>
      <c r="IU1218"/>
      <c r="IV1218"/>
    </row>
    <row r="1219" ht="15" customHeight="1">
      <c r="A1219" s="401"/>
      <c r="B1219"/>
      <c r="C1219"/>
      <c r="D1219" s="390"/>
      <c r="E1219" s="745"/>
      <c r="F1219" s="401"/>
      <c r="G1219" s="401"/>
      <c r="H1219" s="648"/>
      <c r="K1219"/>
      <c r="N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c r="EK1219"/>
      <c r="EL1219"/>
      <c r="EM1219"/>
      <c r="EN1219"/>
      <c r="EO1219"/>
      <c r="EP1219"/>
      <c r="EQ1219"/>
      <c r="ER1219"/>
      <c r="ES1219"/>
      <c r="ET1219"/>
      <c r="EU1219"/>
      <c r="EV1219"/>
      <c r="EW1219"/>
      <c r="EX1219"/>
      <c r="EY1219"/>
      <c r="EZ1219"/>
      <c r="FA1219"/>
      <c r="FB1219"/>
      <c r="FC1219"/>
      <c r="FD1219"/>
      <c r="FE1219"/>
      <c r="FF1219"/>
      <c r="FG1219"/>
      <c r="FH1219"/>
      <c r="FI1219"/>
      <c r="FJ1219"/>
      <c r="FK1219"/>
      <c r="FL1219"/>
      <c r="FM1219"/>
      <c r="FN1219"/>
      <c r="FO1219"/>
      <c r="FP1219"/>
      <c r="FQ1219"/>
      <c r="FR1219"/>
      <c r="FS1219"/>
      <c r="FT1219"/>
      <c r="FU1219"/>
      <c r="FV1219"/>
      <c r="FW1219"/>
      <c r="FX1219"/>
      <c r="FY1219"/>
      <c r="FZ1219"/>
      <c r="GA1219"/>
      <c r="GB1219"/>
      <c r="GC1219"/>
      <c r="GD1219"/>
      <c r="GE1219"/>
      <c r="GF1219"/>
      <c r="GG1219"/>
      <c r="GH1219"/>
      <c r="GI1219"/>
      <c r="GJ1219"/>
      <c r="GK1219"/>
      <c r="GL1219"/>
      <c r="GM1219"/>
      <c r="GN1219"/>
      <c r="GO1219"/>
      <c r="GP1219"/>
      <c r="GQ1219"/>
      <c r="GR1219"/>
      <c r="GS1219"/>
      <c r="GT1219"/>
      <c r="GU1219"/>
      <c r="GV1219"/>
      <c r="GW1219"/>
      <c r="GX1219"/>
      <c r="GY1219"/>
      <c r="GZ1219"/>
      <c r="HA1219"/>
      <c r="HB1219"/>
      <c r="HC1219"/>
      <c r="HD1219"/>
      <c r="HE1219"/>
      <c r="HF1219"/>
      <c r="HG1219"/>
      <c r="HH1219"/>
      <c r="HI1219"/>
      <c r="HJ1219"/>
      <c r="HK1219"/>
      <c r="HL1219"/>
      <c r="HM1219"/>
      <c r="HN1219"/>
      <c r="HO1219"/>
      <c r="HP1219"/>
      <c r="HQ1219"/>
      <c r="HR1219"/>
      <c r="HS1219"/>
      <c r="HT1219"/>
      <c r="HU1219"/>
      <c r="HV1219"/>
      <c r="HW1219"/>
      <c r="HX1219"/>
      <c r="HY1219"/>
      <c r="HZ1219"/>
      <c r="IA1219"/>
      <c r="IB1219"/>
      <c r="IC1219"/>
      <c r="ID1219"/>
      <c r="IE1219"/>
      <c r="IF1219"/>
      <c r="IG1219"/>
      <c r="IH1219"/>
      <c r="II1219"/>
      <c r="IJ1219"/>
      <c r="IK1219"/>
      <c r="IL1219"/>
      <c r="IM1219"/>
      <c r="IN1219"/>
      <c r="IO1219"/>
      <c r="IP1219"/>
      <c r="IQ1219"/>
      <c r="IR1219"/>
      <c r="IS1219"/>
      <c r="IT1219"/>
      <c r="IU1219"/>
      <c r="IV1219"/>
    </row>
    <row r="1220" ht="15" customHeight="1">
      <c r="A1220" s="474" t="s">
        <v>1759</v>
      </c>
      <c r="B1220" s="474"/>
      <c r="C1220" s="835" t="s">
        <v>1760</v>
      </c>
      <c r="D1220" s="746" t="n">
        <f aca="false">(I1187-D1218)/C38</f>
        <v>21219.375</v>
      </c>
      <c r="E1220" s="745"/>
      <c r="F1220" s="401"/>
      <c r="G1220" s="401"/>
      <c r="H1220" s="648"/>
      <c r="K1220"/>
      <c r="N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c r="EK1220"/>
      <c r="EL1220"/>
      <c r="EM1220"/>
      <c r="EN1220"/>
      <c r="EO1220"/>
      <c r="EP1220"/>
      <c r="EQ1220"/>
      <c r="ER1220"/>
      <c r="ES1220"/>
      <c r="ET1220"/>
      <c r="EU1220"/>
      <c r="EV1220"/>
      <c r="EW1220"/>
      <c r="EX1220"/>
      <c r="EY1220"/>
      <c r="EZ1220"/>
      <c r="FA1220"/>
      <c r="FB1220"/>
      <c r="FC1220"/>
      <c r="FD1220"/>
      <c r="FE1220"/>
      <c r="FF1220"/>
      <c r="FG1220"/>
      <c r="FH1220"/>
      <c r="FI1220"/>
      <c r="FJ1220"/>
      <c r="FK1220"/>
      <c r="FL1220"/>
      <c r="FM1220"/>
      <c r="FN1220"/>
      <c r="FO1220"/>
      <c r="FP1220"/>
      <c r="FQ1220"/>
      <c r="FR1220"/>
      <c r="FS1220"/>
      <c r="FT1220"/>
      <c r="FU1220"/>
      <c r="FV1220"/>
      <c r="FW1220"/>
      <c r="FX1220"/>
      <c r="FY1220"/>
      <c r="FZ1220"/>
      <c r="GA1220"/>
      <c r="GB1220"/>
      <c r="GC1220"/>
      <c r="GD1220"/>
      <c r="GE1220"/>
      <c r="GF1220"/>
      <c r="GG1220"/>
      <c r="GH1220"/>
      <c r="GI1220"/>
      <c r="GJ1220"/>
      <c r="GK1220"/>
      <c r="GL1220"/>
      <c r="GM1220"/>
      <c r="GN1220"/>
      <c r="GO1220"/>
      <c r="GP1220"/>
      <c r="GQ1220"/>
      <c r="GR1220"/>
      <c r="GS1220"/>
      <c r="GT1220"/>
      <c r="GU1220"/>
      <c r="GV1220"/>
      <c r="GW1220"/>
      <c r="GX1220"/>
      <c r="GY1220"/>
      <c r="GZ1220"/>
      <c r="HA1220"/>
      <c r="HB1220"/>
      <c r="HC1220"/>
      <c r="HD1220"/>
      <c r="HE1220"/>
      <c r="HF1220"/>
      <c r="HG1220"/>
      <c r="HH1220"/>
      <c r="HI1220"/>
      <c r="HJ1220"/>
      <c r="HK1220"/>
      <c r="HL1220"/>
      <c r="HM1220"/>
      <c r="HN1220"/>
      <c r="HO1220"/>
      <c r="HP1220"/>
      <c r="HQ1220"/>
      <c r="HR1220"/>
      <c r="HS1220"/>
      <c r="HT1220"/>
      <c r="HU1220"/>
      <c r="HV1220"/>
      <c r="HW1220"/>
      <c r="HX1220"/>
      <c r="HY1220"/>
      <c r="HZ1220"/>
      <c r="IA1220"/>
      <c r="IB1220"/>
      <c r="IC1220"/>
      <c r="ID1220"/>
      <c r="IE1220"/>
      <c r="IF1220"/>
      <c r="IG1220"/>
      <c r="IH1220"/>
      <c r="II1220"/>
      <c r="IJ1220"/>
      <c r="IK1220"/>
      <c r="IL1220"/>
      <c r="IM1220"/>
      <c r="IN1220"/>
      <c r="IO1220"/>
      <c r="IP1220"/>
      <c r="IQ1220"/>
      <c r="IR1220"/>
      <c r="IS1220"/>
      <c r="IT1220"/>
      <c r="IU1220"/>
      <c r="IV1220"/>
    </row>
    <row r="1221" ht="15" customHeight="1">
      <c r="A1221" s="401"/>
      <c r="B1221" s="10"/>
      <c r="C1221"/>
      <c r="D1221" s="633"/>
      <c r="E1221" s="745"/>
      <c r="F1221" s="401"/>
      <c r="G1221" s="401"/>
      <c r="H1221" s="648"/>
      <c r="K1221"/>
      <c r="N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c r="EK1221"/>
      <c r="EL1221"/>
      <c r="EM1221"/>
      <c r="EN1221"/>
      <c r="EO1221"/>
      <c r="EP1221"/>
      <c r="EQ1221"/>
      <c r="ER1221"/>
      <c r="ES1221"/>
      <c r="ET1221"/>
      <c r="EU1221"/>
      <c r="EV1221"/>
      <c r="EW1221"/>
      <c r="EX1221"/>
      <c r="EY1221"/>
      <c r="EZ1221"/>
      <c r="FA1221"/>
      <c r="FB1221"/>
      <c r="FC1221"/>
      <c r="FD1221"/>
      <c r="FE1221"/>
      <c r="FF1221"/>
      <c r="FG1221"/>
      <c r="FH1221"/>
      <c r="FI1221"/>
      <c r="FJ1221"/>
      <c r="FK1221"/>
      <c r="FL1221"/>
      <c r="FM1221"/>
      <c r="FN1221"/>
      <c r="FO1221"/>
      <c r="FP1221"/>
      <c r="FQ1221"/>
      <c r="FR1221"/>
      <c r="FS1221"/>
      <c r="FT1221"/>
      <c r="FU1221"/>
      <c r="FV1221"/>
      <c r="FW1221"/>
      <c r="FX1221"/>
      <c r="FY1221"/>
      <c r="FZ1221"/>
      <c r="GA1221"/>
      <c r="GB1221"/>
      <c r="GC1221"/>
      <c r="GD1221"/>
      <c r="GE1221"/>
      <c r="GF1221"/>
      <c r="GG1221"/>
      <c r="GH1221"/>
      <c r="GI1221"/>
      <c r="GJ1221"/>
      <c r="GK1221"/>
      <c r="GL1221"/>
      <c r="GM1221"/>
      <c r="GN1221"/>
      <c r="GO1221"/>
      <c r="GP1221"/>
      <c r="GQ1221"/>
      <c r="GR1221"/>
      <c r="GS1221"/>
      <c r="GT1221"/>
      <c r="GU1221"/>
      <c r="GV1221"/>
      <c r="GW1221"/>
      <c r="GX1221"/>
      <c r="GY1221"/>
      <c r="GZ1221"/>
      <c r="HA1221"/>
      <c r="HB1221"/>
      <c r="HC1221"/>
      <c r="HD1221"/>
      <c r="HE1221"/>
      <c r="HF1221"/>
      <c r="HG1221"/>
      <c r="HH1221"/>
      <c r="HI1221"/>
      <c r="HJ1221"/>
      <c r="HK1221"/>
      <c r="HL1221"/>
      <c r="HM1221"/>
      <c r="HN1221"/>
      <c r="HO1221"/>
      <c r="HP1221"/>
      <c r="HQ1221"/>
      <c r="HR1221"/>
      <c r="HS1221"/>
      <c r="HT1221"/>
      <c r="HU1221"/>
      <c r="HV1221"/>
      <c r="HW1221"/>
      <c r="HX1221"/>
      <c r="HY1221"/>
      <c r="HZ1221"/>
      <c r="IA1221"/>
      <c r="IB1221"/>
      <c r="IC1221"/>
      <c r="ID1221"/>
      <c r="IE1221"/>
      <c r="IF1221"/>
      <c r="IG1221"/>
      <c r="IH1221"/>
      <c r="II1221"/>
      <c r="IJ1221"/>
      <c r="IK1221"/>
      <c r="IL1221"/>
      <c r="IM1221"/>
      <c r="IN1221"/>
      <c r="IO1221"/>
      <c r="IP1221"/>
      <c r="IQ1221"/>
      <c r="IR1221"/>
      <c r="IS1221"/>
      <c r="IT1221"/>
      <c r="IU1221"/>
      <c r="IV1221"/>
    </row>
    <row r="1222" ht="15" customHeight="1">
      <c r="A1222" s="297" t="s">
        <v>1761</v>
      </c>
      <c r="B1222" s="297"/>
      <c r="C1222" s="43"/>
      <c r="D1222" s="747" t="n">
        <v>1185.35</v>
      </c>
      <c r="E1222" s="745"/>
      <c r="F1222" s="297" t="s">
        <v>1762</v>
      </c>
      <c r="G1222" s="297"/>
      <c r="H1222" s="746" t="n">
        <f aca="false">D1222*12</f>
        <v>14224.2</v>
      </c>
      <c r="K1222"/>
      <c r="N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c r="EK1222"/>
      <c r="EL1222"/>
      <c r="EM1222"/>
      <c r="EN1222"/>
      <c r="EO1222"/>
      <c r="EP1222"/>
      <c r="EQ1222"/>
      <c r="ER1222"/>
      <c r="ES1222"/>
      <c r="ET1222"/>
      <c r="EU1222"/>
      <c r="EV1222"/>
      <c r="EW1222"/>
      <c r="EX1222"/>
      <c r="EY1222"/>
      <c r="EZ1222"/>
      <c r="FA1222"/>
      <c r="FB1222"/>
      <c r="FC1222"/>
      <c r="FD1222"/>
      <c r="FE1222"/>
      <c r="FF1222"/>
      <c r="FG1222"/>
      <c r="FH1222"/>
      <c r="FI1222"/>
      <c r="FJ1222"/>
      <c r="FK1222"/>
      <c r="FL1222"/>
      <c r="FM1222"/>
      <c r="FN1222"/>
      <c r="FO1222"/>
      <c r="FP1222"/>
      <c r="FQ1222"/>
      <c r="FR1222"/>
      <c r="FS1222"/>
      <c r="FT1222"/>
      <c r="FU1222"/>
      <c r="FV1222"/>
      <c r="FW1222"/>
      <c r="FX1222"/>
      <c r="FY1222"/>
      <c r="FZ1222"/>
      <c r="GA1222"/>
      <c r="GB1222"/>
      <c r="GC1222"/>
      <c r="GD1222"/>
      <c r="GE1222"/>
      <c r="GF1222"/>
      <c r="GG1222"/>
      <c r="GH1222"/>
      <c r="GI1222"/>
      <c r="GJ1222"/>
      <c r="GK1222"/>
      <c r="GL1222"/>
      <c r="GM1222"/>
      <c r="GN1222"/>
      <c r="GO1222"/>
      <c r="GP1222"/>
      <c r="GQ1222"/>
      <c r="GR1222"/>
      <c r="GS1222"/>
      <c r="GT1222"/>
      <c r="GU1222"/>
      <c r="GV1222"/>
      <c r="GW1222"/>
      <c r="GX1222"/>
      <c r="GY1222"/>
      <c r="GZ1222"/>
      <c r="HA1222"/>
      <c r="HB1222"/>
      <c r="HC1222"/>
      <c r="HD1222"/>
      <c r="HE1222"/>
      <c r="HF1222"/>
      <c r="HG1222"/>
      <c r="HH1222"/>
      <c r="HI1222"/>
      <c r="HJ1222"/>
      <c r="HK1222"/>
      <c r="HL1222"/>
      <c r="HM1222"/>
      <c r="HN1222"/>
      <c r="HO1222"/>
      <c r="HP1222"/>
      <c r="HQ1222"/>
      <c r="HR1222"/>
      <c r="HS1222"/>
      <c r="HT1222"/>
      <c r="HU1222"/>
      <c r="HV1222"/>
      <c r="HW1222"/>
      <c r="HX1222"/>
      <c r="HY1222"/>
      <c r="HZ1222"/>
      <c r="IA1222"/>
      <c r="IB1222"/>
      <c r="IC1222"/>
      <c r="ID1222"/>
      <c r="IE1222"/>
      <c r="IF1222"/>
      <c r="IG1222"/>
      <c r="IH1222"/>
      <c r="II1222"/>
      <c r="IJ1222"/>
      <c r="IK1222"/>
      <c r="IL1222"/>
      <c r="IM1222"/>
      <c r="IN1222"/>
      <c r="IO1222"/>
      <c r="IP1222"/>
      <c r="IQ1222"/>
      <c r="IR1222"/>
      <c r="IS1222"/>
      <c r="IT1222"/>
      <c r="IU1222"/>
      <c r="IV1222"/>
    </row>
    <row r="1223" ht="15.75" customHeight="1">
      <c r="A1223" s="401"/>
      <c r="B1223"/>
      <c r="C1223"/>
      <c r="D1223" s="633"/>
      <c r="E1223" s="745"/>
      <c r="F1223" s="401"/>
      <c r="G1223" s="401"/>
      <c r="H1223" s="648"/>
      <c r="K1223"/>
      <c r="N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c r="EK1223"/>
      <c r="EL1223"/>
      <c r="EM1223"/>
      <c r="EN1223"/>
      <c r="EO1223"/>
      <c r="EP1223"/>
      <c r="EQ1223"/>
      <c r="ER1223"/>
      <c r="ES1223"/>
      <c r="ET1223"/>
      <c r="EU1223"/>
      <c r="EV1223"/>
      <c r="EW1223"/>
      <c r="EX1223"/>
      <c r="EY1223"/>
      <c r="EZ1223"/>
      <c r="FA1223"/>
      <c r="FB1223"/>
      <c r="FC1223"/>
      <c r="FD1223"/>
      <c r="FE1223"/>
      <c r="FF1223"/>
      <c r="FG1223"/>
      <c r="FH1223"/>
      <c r="FI1223"/>
      <c r="FJ1223"/>
      <c r="FK1223"/>
      <c r="FL1223"/>
      <c r="FM1223"/>
      <c r="FN1223"/>
      <c r="FO1223"/>
      <c r="FP1223"/>
      <c r="FQ1223"/>
      <c r="FR1223"/>
      <c r="FS1223"/>
      <c r="FT1223"/>
      <c r="FU1223"/>
      <c r="FV1223"/>
      <c r="FW1223"/>
      <c r="FX1223"/>
      <c r="FY1223"/>
      <c r="FZ1223"/>
      <c r="GA1223"/>
      <c r="GB1223"/>
      <c r="GC1223"/>
      <c r="GD1223"/>
      <c r="GE1223"/>
      <c r="GF1223"/>
      <c r="GG1223"/>
      <c r="GH1223"/>
      <c r="GI1223"/>
      <c r="GJ1223"/>
      <c r="GK1223"/>
      <c r="GL1223"/>
      <c r="GM1223"/>
      <c r="GN1223"/>
      <c r="GO1223"/>
      <c r="GP1223"/>
      <c r="GQ1223"/>
      <c r="GR1223"/>
      <c r="GS1223"/>
      <c r="GT1223"/>
      <c r="GU1223"/>
      <c r="GV1223"/>
      <c r="GW1223"/>
      <c r="GX1223"/>
      <c r="GY1223"/>
      <c r="GZ1223"/>
      <c r="HA1223"/>
      <c r="HB1223"/>
      <c r="HC1223"/>
      <c r="HD1223"/>
      <c r="HE1223"/>
      <c r="HF1223"/>
      <c r="HG1223"/>
      <c r="HH1223"/>
      <c r="HI1223"/>
      <c r="HJ1223"/>
      <c r="HK1223"/>
      <c r="HL1223"/>
      <c r="HM1223"/>
      <c r="HN1223"/>
      <c r="HO1223"/>
      <c r="HP1223"/>
      <c r="HQ1223"/>
      <c r="HR1223"/>
      <c r="HS1223"/>
      <c r="HT1223"/>
      <c r="HU1223"/>
      <c r="HV1223"/>
      <c r="HW1223"/>
      <c r="HX1223"/>
      <c r="HY1223"/>
      <c r="HZ1223"/>
      <c r="IA1223"/>
      <c r="IB1223"/>
      <c r="IC1223"/>
      <c r="ID1223"/>
      <c r="IE1223"/>
      <c r="IF1223"/>
      <c r="IG1223"/>
      <c r="IH1223"/>
      <c r="II1223"/>
      <c r="IJ1223"/>
      <c r="IK1223"/>
      <c r="IL1223"/>
      <c r="IM1223"/>
      <c r="IN1223"/>
      <c r="IO1223"/>
      <c r="IP1223"/>
      <c r="IQ1223"/>
      <c r="IR1223"/>
      <c r="IS1223"/>
      <c r="IT1223"/>
      <c r="IU1223"/>
      <c r="IV1223"/>
    </row>
    <row r="1224" ht="15" customHeight="1">
      <c r="A1224" s="401"/>
      <c r="B1224" s="10"/>
      <c r="C1224" s="1099" t="s">
        <v>1763</v>
      </c>
      <c r="D1224" s="626" t="n">
        <f aca="false">D1220/H1222</f>
        <v>1.49177985405155</v>
      </c>
      <c r="E1224" s="745"/>
      <c r="F1224" s="401"/>
      <c r="G1224" s="401"/>
      <c r="H1224" s="648"/>
      <c r="K1224"/>
      <c r="N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c r="EI1224"/>
      <c r="EJ1224"/>
      <c r="EK1224"/>
      <c r="EL1224"/>
      <c r="EM1224"/>
      <c r="EN1224"/>
      <c r="EO1224"/>
      <c r="EP1224"/>
      <c r="EQ1224"/>
      <c r="ER1224"/>
      <c r="ES1224"/>
      <c r="ET1224"/>
      <c r="EU1224"/>
      <c r="EV1224"/>
      <c r="EW1224"/>
      <c r="EX1224"/>
      <c r="EY1224"/>
      <c r="EZ1224"/>
      <c r="FA1224"/>
      <c r="FB1224"/>
      <c r="FC1224"/>
      <c r="FD1224"/>
      <c r="FE1224"/>
      <c r="FF1224"/>
      <c r="FG1224"/>
      <c r="FH1224"/>
      <c r="FI1224"/>
      <c r="FJ1224"/>
      <c r="FK1224"/>
      <c r="FL1224"/>
      <c r="FM1224"/>
      <c r="FN1224"/>
      <c r="FO1224"/>
      <c r="FP1224"/>
      <c r="FQ1224"/>
      <c r="FR1224"/>
      <c r="FS1224"/>
      <c r="FT1224"/>
      <c r="FU1224"/>
      <c r="FV1224"/>
      <c r="FW1224"/>
      <c r="FX1224"/>
      <c r="FY1224"/>
      <c r="FZ1224"/>
      <c r="GA1224"/>
      <c r="GB1224"/>
      <c r="GC1224"/>
      <c r="GD1224"/>
      <c r="GE1224"/>
      <c r="GF1224"/>
      <c r="GG1224"/>
      <c r="GH1224"/>
      <c r="GI1224"/>
      <c r="GJ1224"/>
      <c r="GK1224"/>
      <c r="GL1224"/>
      <c r="GM1224"/>
      <c r="GN1224"/>
      <c r="GO1224"/>
      <c r="GP1224"/>
      <c r="GQ1224"/>
      <c r="GR1224"/>
      <c r="GS1224"/>
      <c r="GT1224"/>
      <c r="GU1224"/>
      <c r="GV1224"/>
      <c r="GW1224"/>
      <c r="GX1224"/>
      <c r="GY1224"/>
      <c r="GZ1224"/>
      <c r="HA1224"/>
      <c r="HB1224"/>
      <c r="HC1224"/>
      <c r="HD1224"/>
      <c r="HE1224"/>
      <c r="HF1224"/>
      <c r="HG1224"/>
      <c r="HH1224"/>
      <c r="HI1224"/>
      <c r="HJ1224"/>
      <c r="HK1224"/>
      <c r="HL1224"/>
      <c r="HM1224"/>
      <c r="HN1224"/>
      <c r="HO1224"/>
      <c r="HP1224"/>
      <c r="HQ1224"/>
      <c r="HR1224"/>
      <c r="HS1224"/>
      <c r="HT1224"/>
      <c r="HU1224"/>
      <c r="HV1224"/>
      <c r="HW1224"/>
      <c r="HX1224"/>
      <c r="HY1224"/>
      <c r="HZ1224"/>
      <c r="IA1224"/>
      <c r="IB1224"/>
      <c r="IC1224"/>
      <c r="ID1224"/>
      <c r="IE1224"/>
      <c r="IF1224"/>
      <c r="IG1224"/>
      <c r="IH1224"/>
      <c r="II1224"/>
      <c r="IJ1224"/>
      <c r="IK1224"/>
      <c r="IL1224"/>
      <c r="IM1224"/>
      <c r="IN1224"/>
      <c r="IO1224"/>
      <c r="IP1224"/>
      <c r="IQ1224"/>
      <c r="IR1224"/>
      <c r="IS1224"/>
      <c r="IT1224"/>
      <c r="IU1224"/>
      <c r="IV1224"/>
    </row>
    <row r="1225" ht="15.75" customHeight="1">
      <c r="A1225" s="401"/>
      <c r="B1225" s="10"/>
      <c r="C1225" s="1099"/>
      <c r="D1225" s="626"/>
      <c r="E1225" s="745"/>
      <c r="F1225" s="401"/>
      <c r="G1225" s="401"/>
      <c r="H1225" s="648"/>
      <c r="K1225"/>
      <c r="N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c r="EK1225"/>
      <c r="EL1225"/>
      <c r="EM1225"/>
      <c r="EN1225"/>
      <c r="EO1225"/>
      <c r="EP1225"/>
      <c r="EQ1225"/>
      <c r="ER1225"/>
      <c r="ES1225"/>
      <c r="ET1225"/>
      <c r="EU1225"/>
      <c r="EV1225"/>
      <c r="EW1225"/>
      <c r="EX1225"/>
      <c r="EY1225"/>
      <c r="EZ1225"/>
      <c r="FA1225"/>
      <c r="FB1225"/>
      <c r="FC1225"/>
      <c r="FD1225"/>
      <c r="FE1225"/>
      <c r="FF1225"/>
      <c r="FG1225"/>
      <c r="FH1225"/>
      <c r="FI1225"/>
      <c r="FJ1225"/>
      <c r="FK1225"/>
      <c r="FL1225"/>
      <c r="FM1225"/>
      <c r="FN1225"/>
      <c r="FO1225"/>
      <c r="FP1225"/>
      <c r="FQ1225"/>
      <c r="FR1225"/>
      <c r="FS1225"/>
      <c r="FT1225"/>
      <c r="FU1225"/>
      <c r="FV1225"/>
      <c r="FW1225"/>
      <c r="FX1225"/>
      <c r="FY1225"/>
      <c r="FZ1225"/>
      <c r="GA1225"/>
      <c r="GB1225"/>
      <c r="GC1225"/>
      <c r="GD1225"/>
      <c r="GE1225"/>
      <c r="GF1225"/>
      <c r="GG1225"/>
      <c r="GH1225"/>
      <c r="GI1225"/>
      <c r="GJ1225"/>
      <c r="GK1225"/>
      <c r="GL1225"/>
      <c r="GM1225"/>
      <c r="GN1225"/>
      <c r="GO1225"/>
      <c r="GP1225"/>
      <c r="GQ1225"/>
      <c r="GR1225"/>
      <c r="GS1225"/>
      <c r="GT1225"/>
      <c r="GU1225"/>
      <c r="GV1225"/>
      <c r="GW1225"/>
      <c r="GX1225"/>
      <c r="GY1225"/>
      <c r="GZ1225"/>
      <c r="HA1225"/>
      <c r="HB1225"/>
      <c r="HC1225"/>
      <c r="HD1225"/>
      <c r="HE1225"/>
      <c r="HF1225"/>
      <c r="HG1225"/>
      <c r="HH1225"/>
      <c r="HI1225"/>
      <c r="HJ1225"/>
      <c r="HK1225"/>
      <c r="HL1225"/>
      <c r="HM1225"/>
      <c r="HN1225"/>
      <c r="HO1225"/>
      <c r="HP1225"/>
      <c r="HQ1225"/>
      <c r="HR1225"/>
      <c r="HS1225"/>
      <c r="HT1225"/>
      <c r="HU1225"/>
      <c r="HV1225"/>
      <c r="HW1225"/>
      <c r="HX1225"/>
      <c r="HY1225"/>
      <c r="HZ1225"/>
      <c r="IA1225"/>
      <c r="IB1225"/>
      <c r="IC1225"/>
      <c r="ID1225"/>
      <c r="IE1225"/>
      <c r="IF1225"/>
      <c r="IG1225"/>
      <c r="IH1225"/>
      <c r="II1225"/>
      <c r="IJ1225"/>
      <c r="IK1225"/>
      <c r="IL1225"/>
      <c r="IM1225"/>
      <c r="IN1225"/>
      <c r="IO1225"/>
      <c r="IP1225"/>
      <c r="IQ1225"/>
      <c r="IR1225"/>
      <c r="IS1225"/>
      <c r="IT1225"/>
      <c r="IU1225"/>
      <c r="IV1225"/>
    </row>
    <row r="1226" ht="15" customHeight="1">
      <c r="A1226" s="401"/>
      <c r="D1226" s="633"/>
      <c r="E1226" s="745"/>
      <c r="F1226" s="401"/>
      <c r="G1226" s="401"/>
      <c r="H1226" s="648"/>
      <c r="I1226" s="9"/>
      <c r="J1226" s="10"/>
      <c r="L1226" s="9"/>
      <c r="M1226" s="9"/>
      <c r="O1226" s="9"/>
      <c r="P1226" s="9"/>
      <c r="Q1226" s="9"/>
      <c r="R1226" s="9"/>
    </row>
    <row r="1227" ht="15.75" customHeight="1">
      <c r="A1227" s="401"/>
      <c r="B1227" s="9"/>
      <c r="C1227" s="9"/>
      <c r="D1227" s="633"/>
      <c r="E1227" s="745"/>
      <c r="F1227" s="401"/>
      <c r="G1227" s="401"/>
      <c r="H1227" s="648"/>
      <c r="I1227" s="9"/>
      <c r="J1227" s="10"/>
      <c r="L1227" s="9"/>
      <c r="M1227" s="9"/>
      <c r="O1227" s="9"/>
      <c r="P1227" s="9"/>
      <c r="Q1227" s="9"/>
      <c r="R1227" s="9"/>
    </row>
    <row r="1228" ht="28.5" customHeight="1">
      <c r="A1228" s="1133" t="s">
        <v>873</v>
      </c>
      <c r="B1228" s="1133"/>
      <c r="C1228" s="1133"/>
      <c r="D1228" s="600" t="n">
        <v>4</v>
      </c>
      <c r="E1228" s="798"/>
      <c r="F1228" s="9"/>
      <c r="G1228" s="9"/>
      <c r="I1228" s="9"/>
      <c r="J1228" s="10"/>
      <c r="K1228" s="634"/>
      <c r="L1228" s="748"/>
      <c r="M1228" s="9"/>
      <c r="O1228" s="9"/>
      <c r="P1228" s="9"/>
      <c r="Q1228" s="9"/>
      <c r="R1228" s="9"/>
    </row>
    <row r="1229" ht="15" customHeight="1">
      <c r="A1229" s="401"/>
      <c r="D1229" s="633"/>
      <c r="E1229" s="745"/>
      <c r="F1229" s="401"/>
      <c r="G1229" s="401"/>
      <c r="H1229" s="648"/>
      <c r="K1229" s="44"/>
      <c r="N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c r="EI1229"/>
      <c r="EJ1229"/>
      <c r="EK1229"/>
      <c r="EL1229"/>
      <c r="EM1229"/>
      <c r="EN1229"/>
      <c r="EO1229"/>
      <c r="EP1229"/>
      <c r="EQ1229"/>
      <c r="ER1229"/>
      <c r="ES1229"/>
      <c r="ET1229"/>
      <c r="EU1229"/>
      <c r="EV1229"/>
      <c r="EW1229"/>
      <c r="EX1229"/>
      <c r="EY1229"/>
      <c r="EZ1229"/>
      <c r="FA1229"/>
      <c r="FB1229"/>
      <c r="FC1229"/>
      <c r="FD1229"/>
      <c r="FE1229"/>
      <c r="FF1229"/>
      <c r="FG1229"/>
      <c r="FH1229"/>
      <c r="FI1229"/>
      <c r="FJ1229"/>
      <c r="FK1229"/>
      <c r="FL1229"/>
      <c r="FM1229"/>
      <c r="FN1229"/>
      <c r="FO1229"/>
      <c r="FP1229"/>
      <c r="FQ1229"/>
      <c r="FR1229"/>
      <c r="FS1229"/>
      <c r="FT1229"/>
      <c r="FU1229"/>
      <c r="FV1229"/>
      <c r="FW1229"/>
      <c r="FX1229"/>
      <c r="FY1229"/>
      <c r="FZ1229"/>
      <c r="GA1229"/>
      <c r="GB1229"/>
      <c r="GC1229"/>
      <c r="GD1229"/>
      <c r="GE1229"/>
      <c r="GF1229"/>
      <c r="GG1229"/>
      <c r="GH1229"/>
      <c r="GI1229"/>
      <c r="GJ1229"/>
      <c r="GK1229"/>
      <c r="GL1229"/>
      <c r="GM1229"/>
      <c r="GN1229"/>
      <c r="GO1229"/>
      <c r="GP1229"/>
      <c r="GQ1229"/>
      <c r="GR1229"/>
      <c r="GS1229"/>
      <c r="GT1229"/>
      <c r="GU1229"/>
      <c r="GV1229"/>
      <c r="GW1229"/>
      <c r="GX1229"/>
      <c r="GY1229"/>
      <c r="GZ1229"/>
      <c r="HA1229"/>
      <c r="HB1229"/>
      <c r="HC1229"/>
      <c r="HD1229"/>
      <c r="HE1229"/>
      <c r="HF1229"/>
      <c r="HG1229"/>
      <c r="HH1229"/>
      <c r="HI1229"/>
      <c r="HJ1229"/>
      <c r="HK1229"/>
      <c r="HL1229"/>
      <c r="HM1229"/>
      <c r="HN1229"/>
      <c r="HO1229"/>
      <c r="HP1229"/>
      <c r="HQ1229"/>
      <c r="HR1229"/>
      <c r="HS1229"/>
      <c r="HT1229"/>
      <c r="HU1229"/>
      <c r="HV1229"/>
      <c r="HW1229"/>
      <c r="HX1229"/>
      <c r="HY1229"/>
      <c r="HZ1229"/>
      <c r="IA1229"/>
      <c r="IB1229"/>
      <c r="IC1229"/>
      <c r="ID1229"/>
      <c r="IE1229"/>
      <c r="IF1229"/>
      <c r="IG1229"/>
      <c r="IH1229"/>
      <c r="II1229"/>
      <c r="IJ1229"/>
      <c r="IK1229"/>
      <c r="IL1229"/>
      <c r="IM1229"/>
      <c r="IN1229"/>
      <c r="IO1229"/>
      <c r="IP1229"/>
      <c r="IQ1229"/>
      <c r="IR1229"/>
      <c r="IS1229"/>
      <c r="IT1229"/>
      <c r="IU1229"/>
      <c r="IV1229"/>
    </row>
    <row r="1230" ht="15.75" customHeight="1">
      <c r="A1230" s="401"/>
      <c r="B1230"/>
      <c r="C1230"/>
      <c r="D1230"/>
      <c r="E1230"/>
      <c r="F1230" s="401"/>
      <c r="G1230" s="401"/>
      <c r="H1230" s="648"/>
      <c r="K1230" s="44"/>
      <c r="N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c r="EK1230"/>
      <c r="EL1230"/>
      <c r="EM1230"/>
      <c r="EN1230"/>
      <c r="EO1230"/>
      <c r="EP1230"/>
      <c r="EQ1230"/>
      <c r="ER1230"/>
      <c r="ES1230"/>
      <c r="ET1230"/>
      <c r="EU1230"/>
      <c r="EV1230"/>
      <c r="EW1230"/>
      <c r="EX1230"/>
      <c r="EY1230"/>
      <c r="EZ1230"/>
      <c r="FA1230"/>
      <c r="FB1230"/>
      <c r="FC1230"/>
      <c r="FD1230"/>
      <c r="FE1230"/>
      <c r="FF1230"/>
      <c r="FG1230"/>
      <c r="FH1230"/>
      <c r="FI1230"/>
      <c r="FJ1230"/>
      <c r="FK1230"/>
      <c r="FL1230"/>
      <c r="FM1230"/>
      <c r="FN1230"/>
      <c r="FO1230"/>
      <c r="FP1230"/>
      <c r="FQ1230"/>
      <c r="FR1230"/>
      <c r="FS1230"/>
      <c r="FT1230"/>
      <c r="FU1230"/>
      <c r="FV1230"/>
      <c r="FW1230"/>
      <c r="FX1230"/>
      <c r="FY1230"/>
      <c r="FZ1230"/>
      <c r="GA1230"/>
      <c r="GB1230"/>
      <c r="GC1230"/>
      <c r="GD1230"/>
      <c r="GE1230"/>
      <c r="GF1230"/>
      <c r="GG1230"/>
      <c r="GH1230"/>
      <c r="GI1230"/>
      <c r="GJ1230"/>
      <c r="GK1230"/>
      <c r="GL1230"/>
      <c r="GM1230"/>
      <c r="GN1230"/>
      <c r="GO1230"/>
      <c r="GP1230"/>
      <c r="GQ1230"/>
      <c r="GR1230"/>
      <c r="GS1230"/>
      <c r="GT1230"/>
      <c r="GU1230"/>
      <c r="GV1230"/>
      <c r="GW1230"/>
      <c r="GX1230"/>
      <c r="GY1230"/>
      <c r="GZ1230"/>
      <c r="HA1230"/>
      <c r="HB1230"/>
      <c r="HC1230"/>
      <c r="HD1230"/>
      <c r="HE1230"/>
      <c r="HF1230"/>
      <c r="HG1230"/>
      <c r="HH1230"/>
      <c r="HI1230"/>
      <c r="HJ1230"/>
      <c r="HK1230"/>
      <c r="HL1230"/>
      <c r="HM1230"/>
      <c r="HN1230"/>
      <c r="HO1230"/>
      <c r="HP1230"/>
      <c r="HQ1230"/>
      <c r="HR1230"/>
      <c r="HS1230"/>
      <c r="HT1230"/>
      <c r="HU1230"/>
      <c r="HV1230"/>
      <c r="HW1230"/>
      <c r="HX1230"/>
      <c r="HY1230"/>
      <c r="HZ1230"/>
      <c r="IA1230"/>
      <c r="IB1230"/>
      <c r="IC1230"/>
      <c r="ID1230"/>
      <c r="IE1230"/>
      <c r="IF1230"/>
      <c r="IG1230"/>
      <c r="IH1230"/>
      <c r="II1230"/>
      <c r="IJ1230"/>
      <c r="IK1230"/>
      <c r="IL1230"/>
      <c r="IM1230"/>
      <c r="IN1230"/>
      <c r="IO1230"/>
      <c r="IP1230"/>
      <c r="IQ1230"/>
      <c r="IR1230"/>
      <c r="IS1230"/>
      <c r="IT1230"/>
      <c r="IU1230"/>
      <c r="IV1230"/>
    </row>
    <row r="1231" ht="16.5" customHeight="1">
      <c r="A1231" s="1071" t="s">
        <v>1764</v>
      </c>
      <c r="B1231" s="1071"/>
      <c r="C1231" s="1071"/>
      <c r="D1231" s="1071"/>
      <c r="E1231" s="1071"/>
      <c r="F1231" s="1071"/>
      <c r="G1231" s="1071"/>
      <c r="H1231" s="42"/>
      <c r="I1231" s="42"/>
      <c r="J1231" s="42"/>
      <c r="K1231" s="1072"/>
      <c r="L1231" s="1073"/>
      <c r="N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c r="EI1231"/>
      <c r="EJ1231"/>
      <c r="EK1231"/>
      <c r="EL1231"/>
      <c r="EM1231"/>
      <c r="EN1231"/>
      <c r="EO1231"/>
      <c r="EP1231"/>
      <c r="EQ1231"/>
      <c r="ER1231"/>
      <c r="ES1231"/>
      <c r="ET1231"/>
      <c r="EU1231"/>
      <c r="EV1231"/>
      <c r="EW1231"/>
      <c r="EX1231"/>
      <c r="EY1231"/>
      <c r="EZ1231"/>
      <c r="FA1231"/>
      <c r="FB1231"/>
      <c r="FC1231"/>
      <c r="FD1231"/>
      <c r="FE1231"/>
      <c r="FF1231"/>
      <c r="FG1231"/>
      <c r="FH1231"/>
      <c r="FI1231"/>
      <c r="FJ1231"/>
      <c r="FK1231"/>
      <c r="FL1231"/>
      <c r="FM1231"/>
      <c r="FN1231"/>
      <c r="FO1231"/>
      <c r="FP1231"/>
      <c r="FQ1231"/>
      <c r="FR1231"/>
      <c r="FS1231"/>
      <c r="FT1231"/>
      <c r="FU1231"/>
      <c r="FV1231"/>
      <c r="FW1231"/>
      <c r="FX1231"/>
      <c r="FY1231"/>
      <c r="FZ1231"/>
      <c r="GA1231"/>
      <c r="GB1231"/>
      <c r="GC1231"/>
      <c r="GD1231"/>
      <c r="GE1231"/>
      <c r="GF1231"/>
      <c r="GG1231"/>
      <c r="GH1231"/>
      <c r="GI1231"/>
      <c r="GJ1231"/>
      <c r="GK1231"/>
      <c r="GL1231"/>
      <c r="GM1231"/>
      <c r="GN1231"/>
      <c r="GO1231"/>
      <c r="GP1231"/>
      <c r="GQ1231"/>
      <c r="GR1231"/>
      <c r="GS1231"/>
      <c r="GT1231"/>
      <c r="GU1231"/>
      <c r="GV1231"/>
      <c r="GW1231"/>
      <c r="GX1231"/>
      <c r="GY1231"/>
      <c r="GZ1231"/>
      <c r="HA1231"/>
      <c r="HB1231"/>
      <c r="HC1231"/>
      <c r="HD1231"/>
      <c r="HE1231"/>
      <c r="HF1231"/>
      <c r="HG1231"/>
      <c r="HH1231"/>
      <c r="HI1231"/>
      <c r="HJ1231"/>
      <c r="HK1231"/>
      <c r="HL1231"/>
      <c r="HM1231"/>
      <c r="HN1231"/>
      <c r="HO1231"/>
      <c r="HP1231"/>
      <c r="HQ1231"/>
      <c r="HR1231"/>
      <c r="HS1231"/>
      <c r="HT1231"/>
      <c r="HU1231"/>
      <c r="HV1231"/>
      <c r="HW1231"/>
      <c r="HX1231"/>
      <c r="HY1231"/>
      <c r="HZ1231"/>
      <c r="IA1231"/>
      <c r="IB1231"/>
      <c r="IC1231"/>
      <c r="ID1231"/>
      <c r="IE1231"/>
      <c r="IF1231"/>
      <c r="IG1231"/>
      <c r="IH1231"/>
      <c r="II1231"/>
      <c r="IJ1231"/>
      <c r="IK1231"/>
      <c r="IL1231"/>
      <c r="IM1231"/>
      <c r="IN1231"/>
      <c r="IO1231"/>
      <c r="IP1231"/>
      <c r="IQ1231"/>
      <c r="IR1231"/>
      <c r="IS1231"/>
      <c r="IT1231"/>
      <c r="IU1231"/>
      <c r="IV1231"/>
    </row>
    <row r="1232" ht="16.5" customHeight="1">
      <c r="A1232" s="378"/>
      <c r="B1232" s="378"/>
      <c r="C1232" s="378"/>
      <c r="D1232" s="378"/>
      <c r="E1232" s="378"/>
      <c r="F1232" s="378"/>
      <c r="G1232" s="378"/>
      <c r="H1232" s="648"/>
      <c r="K1232" s="633"/>
      <c r="L1232" s="745"/>
      <c r="N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c r="EK1232"/>
      <c r="EL1232"/>
      <c r="EM1232"/>
      <c r="EN1232"/>
      <c r="EO1232"/>
      <c r="EP1232"/>
      <c r="EQ1232"/>
      <c r="ER1232"/>
      <c r="ES1232"/>
      <c r="ET1232"/>
      <c r="EU1232"/>
      <c r="EV1232"/>
      <c r="EW1232"/>
      <c r="EX1232"/>
      <c r="EY1232"/>
      <c r="EZ1232"/>
      <c r="FA1232"/>
      <c r="FB1232"/>
      <c r="FC1232"/>
      <c r="FD1232"/>
      <c r="FE1232"/>
      <c r="FF1232"/>
      <c r="FG1232"/>
      <c r="FH1232"/>
      <c r="FI1232"/>
      <c r="FJ1232"/>
      <c r="FK1232"/>
      <c r="FL1232"/>
      <c r="FM1232"/>
      <c r="FN1232"/>
      <c r="FO1232"/>
      <c r="FP1232"/>
      <c r="FQ1232"/>
      <c r="FR1232"/>
      <c r="FS1232"/>
      <c r="FT1232"/>
      <c r="FU1232"/>
      <c r="FV1232"/>
      <c r="FW1232"/>
      <c r="FX1232"/>
      <c r="FY1232"/>
      <c r="FZ1232"/>
      <c r="GA1232"/>
      <c r="GB1232"/>
      <c r="GC1232"/>
      <c r="GD1232"/>
      <c r="GE1232"/>
      <c r="GF1232"/>
      <c r="GG1232"/>
      <c r="GH1232"/>
      <c r="GI1232"/>
      <c r="GJ1232"/>
      <c r="GK1232"/>
      <c r="GL1232"/>
      <c r="GM1232"/>
      <c r="GN1232"/>
      <c r="GO1232"/>
      <c r="GP1232"/>
      <c r="GQ1232"/>
      <c r="GR1232"/>
      <c r="GS1232"/>
      <c r="GT1232"/>
      <c r="GU1232"/>
      <c r="GV1232"/>
      <c r="GW1232"/>
      <c r="GX1232"/>
      <c r="GY1232"/>
      <c r="GZ1232"/>
      <c r="HA1232"/>
      <c r="HB1232"/>
      <c r="HC1232"/>
      <c r="HD1232"/>
      <c r="HE1232"/>
      <c r="HF1232"/>
      <c r="HG1232"/>
      <c r="HH1232"/>
      <c r="HI1232"/>
      <c r="HJ1232"/>
      <c r="HK1232"/>
      <c r="HL1232"/>
      <c r="HM1232"/>
      <c r="HN1232"/>
      <c r="HO1232"/>
      <c r="HP1232"/>
      <c r="HQ1232"/>
      <c r="HR1232"/>
      <c r="HS1232"/>
      <c r="HT1232"/>
      <c r="HU1232"/>
      <c r="HV1232"/>
      <c r="HW1232"/>
      <c r="HX1232"/>
      <c r="HY1232"/>
      <c r="HZ1232"/>
      <c r="IA1232"/>
      <c r="IB1232"/>
      <c r="IC1232"/>
      <c r="ID1232"/>
      <c r="IE1232"/>
      <c r="IF1232"/>
      <c r="IG1232"/>
      <c r="IH1232"/>
      <c r="II1232"/>
      <c r="IJ1232"/>
      <c r="IK1232"/>
      <c r="IL1232"/>
      <c r="IM1232"/>
      <c r="IN1232"/>
      <c r="IO1232"/>
      <c r="IP1232"/>
      <c r="IQ1232"/>
      <c r="IR1232"/>
      <c r="IS1232"/>
      <c r="IT1232"/>
      <c r="IU1232"/>
      <c r="IV1232"/>
    </row>
    <row r="1233" ht="15" customHeight="1">
      <c r="A1233" s="749" t="s">
        <v>1765</v>
      </c>
      <c r="B1233" s="749"/>
      <c r="C1233" s="835" t="s">
        <v>1766</v>
      </c>
      <c r="D1233" s="750" t="n">
        <f aca="false">(I1199+I1197)/I1187</f>
        <v>0.661008831415309</v>
      </c>
      <c r="E1233" s="401"/>
      <c r="F1233" s="401"/>
      <c r="G1233" s="401"/>
      <c r="H1233" s="648"/>
      <c r="K1233" s="44"/>
      <c r="N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c r="EK1233"/>
      <c r="EL1233"/>
      <c r="EM1233"/>
      <c r="EN1233"/>
      <c r="EO1233"/>
      <c r="EP1233"/>
      <c r="EQ1233"/>
      <c r="ER1233"/>
      <c r="ES1233"/>
      <c r="ET1233"/>
      <c r="EU1233"/>
      <c r="EV1233"/>
      <c r="EW1233"/>
      <c r="EX1233"/>
      <c r="EY1233"/>
      <c r="EZ1233"/>
      <c r="FA1233"/>
      <c r="FB1233"/>
      <c r="FC1233"/>
      <c r="FD1233"/>
      <c r="FE1233"/>
      <c r="FF1233"/>
      <c r="FG1233"/>
      <c r="FH1233"/>
      <c r="FI1233"/>
      <c r="FJ1233"/>
      <c r="FK1233"/>
      <c r="FL1233"/>
      <c r="FM1233"/>
      <c r="FN1233"/>
      <c r="FO1233"/>
      <c r="FP1233"/>
      <c r="FQ1233"/>
      <c r="FR1233"/>
      <c r="FS1233"/>
      <c r="FT1233"/>
      <c r="FU1233"/>
      <c r="FV1233"/>
      <c r="FW1233"/>
      <c r="FX1233"/>
      <c r="FY1233"/>
      <c r="FZ1233"/>
      <c r="GA1233"/>
      <c r="GB1233"/>
      <c r="GC1233"/>
      <c r="GD1233"/>
      <c r="GE1233"/>
      <c r="GF1233"/>
      <c r="GG1233"/>
      <c r="GH1233"/>
      <c r="GI1233"/>
      <c r="GJ1233"/>
      <c r="GK1233"/>
      <c r="GL1233"/>
      <c r="GM1233"/>
      <c r="GN1233"/>
      <c r="GO1233"/>
      <c r="GP1233"/>
      <c r="GQ1233"/>
      <c r="GR1233"/>
      <c r="GS1233"/>
      <c r="GT1233"/>
      <c r="GU1233"/>
      <c r="GV1233"/>
      <c r="GW1233"/>
      <c r="GX1233"/>
      <c r="GY1233"/>
      <c r="GZ1233"/>
      <c r="HA1233"/>
      <c r="HB1233"/>
      <c r="HC1233"/>
      <c r="HD1233"/>
      <c r="HE1233"/>
      <c r="HF1233"/>
      <c r="HG1233"/>
      <c r="HH1233"/>
      <c r="HI1233"/>
      <c r="HJ1233"/>
      <c r="HK1233"/>
      <c r="HL1233"/>
      <c r="HM1233"/>
      <c r="HN1233"/>
      <c r="HO1233"/>
      <c r="HP1233"/>
      <c r="HQ1233"/>
      <c r="HR1233"/>
      <c r="HS1233"/>
      <c r="HT1233"/>
      <c r="HU1233"/>
      <c r="HV1233"/>
      <c r="HW1233"/>
      <c r="HX1233"/>
      <c r="HY1233"/>
      <c r="HZ1233"/>
      <c r="IA1233"/>
      <c r="IB1233"/>
      <c r="IC1233"/>
      <c r="ID1233"/>
      <c r="IE1233"/>
      <c r="IF1233"/>
      <c r="IG1233"/>
      <c r="IH1233"/>
      <c r="II1233"/>
      <c r="IJ1233"/>
      <c r="IK1233"/>
      <c r="IL1233"/>
      <c r="IM1233"/>
      <c r="IN1233"/>
      <c r="IO1233"/>
      <c r="IP1233"/>
      <c r="IQ1233"/>
      <c r="IR1233"/>
      <c r="IS1233"/>
      <c r="IT1233"/>
      <c r="IU1233"/>
      <c r="IV1233"/>
    </row>
    <row r="1234" ht="15" customHeight="1">
      <c r="A1234" s="499"/>
      <c r="B1234" s="578"/>
      <c r="C1234" s="401"/>
      <c r="D1234" s="401"/>
      <c r="E1234" s="401"/>
      <c r="F1234" s="401"/>
      <c r="G1234" s="401"/>
      <c r="H1234" s="648"/>
      <c r="K1234" s="4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c r="EQ1234"/>
      <c r="ER1234"/>
      <c r="ES1234"/>
      <c r="ET1234"/>
      <c r="EU1234"/>
      <c r="EV1234"/>
      <c r="EW1234"/>
      <c r="EX1234"/>
      <c r="EY1234"/>
      <c r="EZ1234"/>
      <c r="FA1234"/>
      <c r="FB1234"/>
      <c r="FC1234"/>
      <c r="FD1234"/>
      <c r="FE1234"/>
      <c r="FF1234"/>
      <c r="FG1234"/>
      <c r="FH1234"/>
      <c r="FI1234"/>
      <c r="FJ1234"/>
      <c r="FK1234"/>
      <c r="FL1234"/>
      <c r="FM1234"/>
      <c r="FN1234"/>
      <c r="FO1234"/>
      <c r="FP1234"/>
      <c r="FQ1234"/>
      <c r="FR1234"/>
      <c r="FS1234"/>
      <c r="FT1234"/>
      <c r="FU1234"/>
      <c r="FV1234"/>
      <c r="FW1234"/>
      <c r="FX1234"/>
      <c r="FY1234"/>
      <c r="FZ1234"/>
      <c r="GA1234"/>
      <c r="GB1234"/>
      <c r="GC1234"/>
      <c r="GD1234"/>
      <c r="GE1234"/>
      <c r="GF1234"/>
      <c r="GG1234"/>
      <c r="GH1234"/>
      <c r="GI1234"/>
      <c r="GJ1234"/>
      <c r="GK1234"/>
      <c r="GL1234"/>
      <c r="GM1234"/>
      <c r="GN1234"/>
      <c r="GO1234"/>
      <c r="GP1234"/>
      <c r="GQ1234"/>
      <c r="GR1234"/>
      <c r="GS1234"/>
      <c r="GT1234"/>
      <c r="GU1234"/>
      <c r="GV1234"/>
      <c r="GW1234"/>
      <c r="GX1234"/>
      <c r="GY1234"/>
      <c r="GZ1234"/>
      <c r="HA1234"/>
      <c r="HB1234"/>
      <c r="HC1234"/>
      <c r="HD1234"/>
      <c r="HE1234"/>
      <c r="HF1234"/>
      <c r="HG1234"/>
      <c r="HH1234"/>
      <c r="HI1234"/>
      <c r="HJ1234"/>
      <c r="HK1234"/>
      <c r="HL1234"/>
      <c r="HM1234"/>
      <c r="HN1234"/>
      <c r="HO1234"/>
      <c r="HP1234"/>
      <c r="HQ1234"/>
      <c r="HR1234"/>
      <c r="HS1234"/>
      <c r="HT1234"/>
      <c r="HU1234"/>
      <c r="HV1234"/>
      <c r="HW1234"/>
      <c r="HX1234"/>
      <c r="HY1234"/>
      <c r="HZ1234"/>
      <c r="IA1234"/>
      <c r="IB1234"/>
      <c r="IC1234"/>
      <c r="ID1234"/>
      <c r="IE1234"/>
      <c r="IF1234"/>
      <c r="IG1234"/>
      <c r="IH1234"/>
      <c r="II1234"/>
      <c r="IJ1234"/>
      <c r="IK1234"/>
      <c r="IL1234"/>
      <c r="IM1234"/>
      <c r="IN1234"/>
      <c r="IO1234"/>
      <c r="IP1234"/>
      <c r="IQ1234"/>
      <c r="IR1234"/>
      <c r="IS1234"/>
      <c r="IT1234"/>
      <c r="IU1234"/>
      <c r="IV1234"/>
    </row>
    <row r="1235" ht="15" customHeight="1">
      <c r="A1235" s="499"/>
      <c r="B1235" s="578"/>
      <c r="C1235" s="401"/>
      <c r="D1235" s="401"/>
      <c r="E1235" s="401"/>
      <c r="F1235" s="401"/>
      <c r="G1235" s="401"/>
      <c r="H1235" s="648"/>
      <c r="K1235" s="44"/>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c r="EK1235"/>
      <c r="EL1235"/>
      <c r="EM1235"/>
      <c r="EN1235"/>
      <c r="EO1235"/>
      <c r="EP1235"/>
      <c r="EQ1235"/>
      <c r="ER1235"/>
      <c r="ES1235"/>
      <c r="ET1235"/>
      <c r="EU1235"/>
      <c r="EV1235"/>
      <c r="EW1235"/>
      <c r="EX1235"/>
      <c r="EY1235"/>
      <c r="EZ1235"/>
      <c r="FA1235"/>
      <c r="FB1235"/>
      <c r="FC1235"/>
      <c r="FD1235"/>
      <c r="FE1235"/>
      <c r="FF1235"/>
      <c r="FG1235"/>
      <c r="FH1235"/>
      <c r="FI1235"/>
      <c r="FJ1235"/>
      <c r="FK1235"/>
      <c r="FL1235"/>
      <c r="FM1235"/>
      <c r="FN1235"/>
      <c r="FO1235"/>
      <c r="FP1235"/>
      <c r="FQ1235"/>
      <c r="FR1235"/>
      <c r="FS1235"/>
      <c r="FT1235"/>
      <c r="FU1235"/>
      <c r="FV1235"/>
      <c r="FW1235"/>
      <c r="FX1235"/>
      <c r="FY1235"/>
      <c r="FZ1235"/>
      <c r="GA1235"/>
      <c r="GB1235"/>
      <c r="GC1235"/>
      <c r="GD1235"/>
      <c r="GE1235"/>
      <c r="GF1235"/>
      <c r="GG1235"/>
      <c r="GH1235"/>
      <c r="GI1235"/>
      <c r="GJ1235"/>
      <c r="GK1235"/>
      <c r="GL1235"/>
      <c r="GM1235"/>
      <c r="GN1235"/>
      <c r="GO1235"/>
      <c r="GP1235"/>
      <c r="GQ1235"/>
      <c r="GR1235"/>
      <c r="GS1235"/>
      <c r="GT1235"/>
      <c r="GU1235"/>
      <c r="GV1235"/>
      <c r="GW1235"/>
      <c r="GX1235"/>
      <c r="GY1235"/>
      <c r="GZ1235"/>
      <c r="HA1235"/>
      <c r="HB1235"/>
      <c r="HC1235"/>
      <c r="HD1235"/>
      <c r="HE1235"/>
      <c r="HF1235"/>
      <c r="HG1235"/>
      <c r="HH1235"/>
      <c r="HI1235"/>
      <c r="HJ1235"/>
      <c r="HK1235"/>
      <c r="HL1235"/>
      <c r="HM1235"/>
      <c r="HN1235"/>
      <c r="HO1235"/>
      <c r="HP1235"/>
      <c r="HQ1235"/>
      <c r="HR1235"/>
      <c r="HS1235"/>
      <c r="HT1235"/>
      <c r="HU1235"/>
      <c r="HV1235"/>
      <c r="HW1235"/>
      <c r="HX1235"/>
      <c r="HY1235"/>
      <c r="HZ1235"/>
      <c r="IA1235"/>
      <c r="IB1235"/>
      <c r="IC1235"/>
      <c r="ID1235"/>
      <c r="IE1235"/>
      <c r="IF1235"/>
      <c r="IG1235"/>
      <c r="IH1235"/>
      <c r="II1235"/>
      <c r="IJ1235"/>
      <c r="IK1235"/>
      <c r="IL1235"/>
      <c r="IM1235"/>
      <c r="IN1235"/>
      <c r="IO1235"/>
      <c r="IP1235"/>
      <c r="IQ1235"/>
      <c r="IR1235"/>
      <c r="IS1235"/>
      <c r="IT1235"/>
      <c r="IU1235"/>
      <c r="IV1235"/>
    </row>
    <row r="1236" ht="16.5" customHeight="1">
      <c r="A1236" s="1071" t="s">
        <v>1767</v>
      </c>
      <c r="B1236" s="1071"/>
      <c r="C1236" s="1071"/>
      <c r="D1236" s="1071"/>
      <c r="E1236" s="1071"/>
      <c r="F1236" s="1071"/>
      <c r="G1236" s="1071"/>
      <c r="H1236" s="42"/>
      <c r="I1236" s="42"/>
      <c r="J1236" s="42"/>
      <c r="K1236" s="1072"/>
      <c r="L1236" s="1073"/>
      <c r="M1236" s="751"/>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c r="EK1236"/>
      <c r="EL1236"/>
      <c r="EM1236"/>
      <c r="EN1236"/>
      <c r="EO1236"/>
      <c r="EP1236"/>
      <c r="EQ1236"/>
      <c r="ER1236"/>
      <c r="ES1236"/>
      <c r="ET1236"/>
      <c r="EU1236"/>
      <c r="EV1236"/>
      <c r="EW1236"/>
      <c r="EX1236"/>
      <c r="EY1236"/>
      <c r="EZ1236"/>
      <c r="FA1236"/>
      <c r="FB1236"/>
      <c r="FC1236"/>
      <c r="FD1236"/>
      <c r="FE1236"/>
      <c r="FF1236"/>
      <c r="FG1236"/>
      <c r="FH1236"/>
      <c r="FI1236"/>
      <c r="FJ1236"/>
      <c r="FK1236"/>
      <c r="FL1236"/>
      <c r="FM1236"/>
      <c r="FN1236"/>
      <c r="FO1236"/>
      <c r="FP1236"/>
      <c r="FQ1236"/>
      <c r="FR1236"/>
      <c r="FS1236"/>
      <c r="FT1236"/>
      <c r="FU1236"/>
      <c r="FV1236"/>
      <c r="FW1236"/>
      <c r="FX1236"/>
      <c r="FY1236"/>
      <c r="FZ1236"/>
      <c r="GA1236"/>
      <c r="GB1236"/>
      <c r="GC1236"/>
      <c r="GD1236"/>
      <c r="GE1236"/>
      <c r="GF1236"/>
      <c r="GG1236"/>
      <c r="GH1236"/>
      <c r="GI1236"/>
      <c r="GJ1236"/>
      <c r="GK1236"/>
      <c r="GL1236"/>
      <c r="GM1236"/>
      <c r="GN1236"/>
      <c r="GO1236"/>
      <c r="GP1236"/>
      <c r="GQ1236"/>
      <c r="GR1236"/>
      <c r="GS1236"/>
      <c r="GT1236"/>
      <c r="GU1236"/>
      <c r="GV1236"/>
      <c r="GW1236"/>
      <c r="GX1236"/>
      <c r="GY1236"/>
      <c r="GZ1236"/>
      <c r="HA1236"/>
      <c r="HB1236"/>
      <c r="HC1236"/>
      <c r="HD1236"/>
      <c r="HE1236"/>
      <c r="HF1236"/>
      <c r="HG1236"/>
      <c r="HH1236"/>
      <c r="HI1236"/>
      <c r="HJ1236"/>
      <c r="HK1236"/>
      <c r="HL1236"/>
      <c r="HM1236"/>
      <c r="HN1236"/>
      <c r="HO1236"/>
      <c r="HP1236"/>
      <c r="HQ1236"/>
      <c r="HR1236"/>
      <c r="HS1236"/>
      <c r="HT1236"/>
      <c r="HU1236"/>
      <c r="HV1236"/>
      <c r="HW1236"/>
      <c r="HX1236"/>
      <c r="HY1236"/>
      <c r="HZ1236"/>
      <c r="IA1236"/>
      <c r="IB1236"/>
      <c r="IC1236"/>
      <c r="ID1236"/>
      <c r="IE1236"/>
      <c r="IF1236"/>
      <c r="IG1236"/>
      <c r="IH1236"/>
      <c r="II1236"/>
      <c r="IJ1236"/>
      <c r="IK1236"/>
      <c r="IL1236"/>
      <c r="IM1236"/>
      <c r="IN1236"/>
      <c r="IO1236"/>
      <c r="IP1236"/>
      <c r="IQ1236"/>
      <c r="IR1236"/>
      <c r="IS1236"/>
      <c r="IT1236"/>
      <c r="IU1236"/>
      <c r="IV1236"/>
    </row>
    <row r="1237" ht="16.5" customHeight="1">
      <c r="A1237" s="378"/>
      <c r="B1237" s="378"/>
      <c r="C1237" s="378"/>
      <c r="D1237" s="378"/>
      <c r="E1237" s="378"/>
      <c r="F1237" s="378"/>
      <c r="G1237" s="378"/>
      <c r="H1237" s="648"/>
      <c r="K1237" s="633"/>
      <c r="L1237" s="745"/>
      <c r="M1237" s="751"/>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c r="EK1237"/>
      <c r="EL1237"/>
      <c r="EM1237"/>
      <c r="EN1237"/>
      <c r="EO1237"/>
      <c r="EP1237"/>
      <c r="EQ1237"/>
      <c r="ER1237"/>
      <c r="ES1237"/>
      <c r="ET1237"/>
      <c r="EU1237"/>
      <c r="EV1237"/>
      <c r="EW1237"/>
      <c r="EX1237"/>
      <c r="EY1237"/>
      <c r="EZ1237"/>
      <c r="FA1237"/>
      <c r="FB1237"/>
      <c r="FC1237"/>
      <c r="FD1237"/>
      <c r="FE1237"/>
      <c r="FF1237"/>
      <c r="FG1237"/>
      <c r="FH1237"/>
      <c r="FI1237"/>
      <c r="FJ1237"/>
      <c r="FK1237"/>
      <c r="FL1237"/>
      <c r="FM1237"/>
      <c r="FN1237"/>
      <c r="FO1237"/>
      <c r="FP1237"/>
      <c r="FQ1237"/>
      <c r="FR1237"/>
      <c r="FS1237"/>
      <c r="FT1237"/>
      <c r="FU1237"/>
      <c r="FV1237"/>
      <c r="FW1237"/>
      <c r="FX1237"/>
      <c r="FY1237"/>
      <c r="FZ1237"/>
      <c r="GA1237"/>
      <c r="GB1237"/>
      <c r="GC1237"/>
      <c r="GD1237"/>
      <c r="GE1237"/>
      <c r="GF1237"/>
      <c r="GG1237"/>
      <c r="GH1237"/>
      <c r="GI1237"/>
      <c r="GJ1237"/>
      <c r="GK1237"/>
      <c r="GL1237"/>
      <c r="GM1237"/>
      <c r="GN1237"/>
      <c r="GO1237"/>
      <c r="GP1237"/>
      <c r="GQ1237"/>
      <c r="GR1237"/>
      <c r="GS1237"/>
      <c r="GT1237"/>
      <c r="GU1237"/>
      <c r="GV1237"/>
      <c r="GW1237"/>
      <c r="GX1237"/>
      <c r="GY1237"/>
      <c r="GZ1237"/>
      <c r="HA1237"/>
      <c r="HB1237"/>
      <c r="HC1237"/>
      <c r="HD1237"/>
      <c r="HE1237"/>
      <c r="HF1237"/>
      <c r="HG1237"/>
      <c r="HH1237"/>
      <c r="HI1237"/>
      <c r="HJ1237"/>
      <c r="HK1237"/>
      <c r="HL1237"/>
      <c r="HM1237"/>
      <c r="HN1237"/>
      <c r="HO1237"/>
      <c r="HP1237"/>
      <c r="HQ1237"/>
      <c r="HR1237"/>
      <c r="HS1237"/>
      <c r="HT1237"/>
      <c r="HU1237"/>
      <c r="HV1237"/>
      <c r="HW1237"/>
      <c r="HX1237"/>
      <c r="HY1237"/>
      <c r="HZ1237"/>
      <c r="IA1237"/>
      <c r="IB1237"/>
      <c r="IC1237"/>
      <c r="ID1237"/>
      <c r="IE1237"/>
      <c r="IF1237"/>
      <c r="IG1237"/>
      <c r="IH1237"/>
      <c r="II1237"/>
      <c r="IJ1237"/>
      <c r="IK1237"/>
      <c r="IL1237"/>
      <c r="IM1237"/>
      <c r="IN1237"/>
      <c r="IO1237"/>
      <c r="IP1237"/>
      <c r="IQ1237"/>
      <c r="IR1237"/>
      <c r="IS1237"/>
      <c r="IT1237"/>
      <c r="IU1237"/>
      <c r="IV1237"/>
    </row>
    <row r="1238" ht="15" customHeight="1">
      <c r="A1238" s="749" t="s">
        <v>1768</v>
      </c>
      <c r="B1238" s="749"/>
      <c r="C1238" s="835" t="s">
        <v>1769</v>
      </c>
      <c r="D1238" s="750" t="n">
        <f aca="false">I1195/I1212</f>
        <v>0.145652369202033</v>
      </c>
      <c r="G1238" s="401"/>
      <c r="H1238" s="648"/>
      <c r="K1238" s="44"/>
      <c r="M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c r="EK1238"/>
      <c r="EL1238"/>
      <c r="EM1238"/>
      <c r="EN1238"/>
      <c r="EO1238"/>
      <c r="EP1238"/>
      <c r="EQ1238"/>
      <c r="ER1238"/>
      <c r="ES1238"/>
      <c r="ET1238"/>
      <c r="EU1238"/>
      <c r="EV1238"/>
      <c r="EW1238"/>
      <c r="EX1238"/>
      <c r="EY1238"/>
      <c r="EZ1238"/>
      <c r="FA1238"/>
      <c r="FB1238"/>
      <c r="FC1238"/>
      <c r="FD1238"/>
      <c r="FE1238"/>
      <c r="FF1238"/>
      <c r="FG1238"/>
      <c r="FH1238"/>
      <c r="FI1238"/>
      <c r="FJ1238"/>
      <c r="FK1238"/>
      <c r="FL1238"/>
      <c r="FM1238"/>
      <c r="FN1238"/>
      <c r="FO1238"/>
      <c r="FP1238"/>
      <c r="FQ1238"/>
      <c r="FR1238"/>
      <c r="FS1238"/>
      <c r="FT1238"/>
      <c r="FU1238"/>
      <c r="FV1238"/>
      <c r="FW1238"/>
      <c r="FX1238"/>
      <c r="FY1238"/>
      <c r="FZ1238"/>
      <c r="GA1238"/>
      <c r="GB1238"/>
      <c r="GC1238"/>
      <c r="GD1238"/>
      <c r="GE1238"/>
      <c r="GF1238"/>
      <c r="GG1238"/>
      <c r="GH1238"/>
      <c r="GI1238"/>
      <c r="GJ1238"/>
      <c r="GK1238"/>
      <c r="GL1238"/>
      <c r="GM1238"/>
      <c r="GN1238"/>
      <c r="GO1238"/>
      <c r="GP1238"/>
      <c r="GQ1238"/>
      <c r="GR1238"/>
      <c r="GS1238"/>
      <c r="GT1238"/>
      <c r="GU1238"/>
      <c r="GV1238"/>
      <c r="GW1238"/>
      <c r="GX1238"/>
      <c r="GY1238"/>
      <c r="GZ1238"/>
      <c r="HA1238"/>
      <c r="HB1238"/>
      <c r="HC1238"/>
      <c r="HD1238"/>
      <c r="HE1238"/>
      <c r="HF1238"/>
      <c r="HG1238"/>
      <c r="HH1238"/>
      <c r="HI1238"/>
      <c r="HJ1238"/>
      <c r="HK1238"/>
      <c r="HL1238"/>
      <c r="HM1238"/>
      <c r="HN1238"/>
      <c r="HO1238"/>
      <c r="HP1238"/>
      <c r="HQ1238"/>
      <c r="HR1238"/>
      <c r="HS1238"/>
      <c r="HT1238"/>
      <c r="HU1238"/>
      <c r="HV1238"/>
      <c r="HW1238"/>
      <c r="HX1238"/>
      <c r="HY1238"/>
      <c r="HZ1238"/>
      <c r="IA1238"/>
      <c r="IB1238"/>
      <c r="IC1238"/>
      <c r="ID1238"/>
      <c r="IE1238"/>
      <c r="IF1238"/>
      <c r="IG1238"/>
      <c r="IH1238"/>
      <c r="II1238"/>
      <c r="IJ1238"/>
      <c r="IK1238"/>
      <c r="IL1238"/>
      <c r="IM1238"/>
      <c r="IN1238"/>
      <c r="IO1238"/>
      <c r="IP1238"/>
      <c r="IQ1238"/>
      <c r="IR1238"/>
      <c r="IS1238"/>
      <c r="IT1238"/>
      <c r="IU1238"/>
      <c r="IV1238"/>
    </row>
    <row r="1239" ht="15" customHeight="1">
      <c r="A1239" s="752"/>
      <c r="B1239" s="9"/>
      <c r="C1239" s="401"/>
      <c r="D1239" s="9"/>
      <c r="E1239" s="401"/>
      <c r="F1239" s="753"/>
      <c r="G1239" s="401"/>
      <c r="H1239" s="648"/>
      <c r="K1239" s="44"/>
      <c r="M1239" s="751"/>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c r="EK1239"/>
      <c r="EL1239"/>
      <c r="EM1239"/>
      <c r="EN1239"/>
      <c r="EO1239"/>
      <c r="EP1239"/>
      <c r="EQ1239"/>
      <c r="ER1239"/>
      <c r="ES1239"/>
      <c r="ET1239"/>
      <c r="EU1239"/>
      <c r="EV1239"/>
      <c r="EW1239"/>
      <c r="EX1239"/>
      <c r="EY1239"/>
      <c r="EZ1239"/>
      <c r="FA1239"/>
      <c r="FB1239"/>
      <c r="FC1239"/>
      <c r="FD1239"/>
      <c r="FE1239"/>
      <c r="FF1239"/>
      <c r="FG1239"/>
      <c r="FH1239"/>
      <c r="FI1239"/>
      <c r="FJ1239"/>
      <c r="FK1239"/>
      <c r="FL1239"/>
      <c r="FM1239"/>
      <c r="FN1239"/>
      <c r="FO1239"/>
      <c r="FP1239"/>
      <c r="FQ1239"/>
      <c r="FR1239"/>
      <c r="FS1239"/>
      <c r="FT1239"/>
      <c r="FU1239"/>
      <c r="FV1239"/>
      <c r="FW1239"/>
      <c r="FX1239"/>
      <c r="FY1239"/>
      <c r="FZ1239"/>
      <c r="GA1239"/>
      <c r="GB1239"/>
      <c r="GC1239"/>
      <c r="GD1239"/>
      <c r="GE1239"/>
      <c r="GF1239"/>
      <c r="GG1239"/>
      <c r="GH1239"/>
      <c r="GI1239"/>
      <c r="GJ1239"/>
      <c r="GK1239"/>
      <c r="GL1239"/>
      <c r="GM1239"/>
      <c r="GN1239"/>
      <c r="GO1239"/>
      <c r="GP1239"/>
      <c r="GQ1239"/>
      <c r="GR1239"/>
      <c r="GS1239"/>
      <c r="GT1239"/>
      <c r="GU1239"/>
      <c r="GV1239"/>
      <c r="GW1239"/>
      <c r="GX1239"/>
      <c r="GY1239"/>
      <c r="GZ1239"/>
      <c r="HA1239"/>
      <c r="HB1239"/>
      <c r="HC1239"/>
      <c r="HD1239"/>
      <c r="HE1239"/>
      <c r="HF1239"/>
      <c r="HG1239"/>
      <c r="HH1239"/>
      <c r="HI1239"/>
      <c r="HJ1239"/>
      <c r="HK1239"/>
      <c r="HL1239"/>
      <c r="HM1239"/>
      <c r="HN1239"/>
      <c r="HO1239"/>
      <c r="HP1239"/>
      <c r="HQ1239"/>
      <c r="HR1239"/>
      <c r="HS1239"/>
      <c r="HT1239"/>
      <c r="HU1239"/>
      <c r="HV1239"/>
      <c r="HW1239"/>
      <c r="HX1239"/>
      <c r="HY1239"/>
      <c r="HZ1239"/>
      <c r="IA1239"/>
      <c r="IB1239"/>
      <c r="IC1239"/>
      <c r="ID1239"/>
      <c r="IE1239"/>
      <c r="IF1239"/>
      <c r="IG1239"/>
      <c r="IH1239"/>
      <c r="II1239"/>
      <c r="IJ1239"/>
      <c r="IK1239"/>
      <c r="IL1239"/>
      <c r="IM1239"/>
      <c r="IN1239"/>
      <c r="IO1239"/>
      <c r="IP1239"/>
      <c r="IQ1239"/>
      <c r="IR1239"/>
      <c r="IS1239"/>
      <c r="IT1239"/>
      <c r="IU1239"/>
      <c r="IV1239"/>
    </row>
    <row r="1240" ht="15" customHeight="1">
      <c r="A1240" s="752"/>
      <c r="B1240" s="9"/>
      <c r="C1240" s="401"/>
      <c r="D1240" s="9"/>
      <c r="E1240" s="401"/>
      <c r="F1240" s="753"/>
      <c r="G1240" s="401"/>
      <c r="H1240" s="648"/>
      <c r="K1240" s="44"/>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c r="EK1240"/>
      <c r="EL1240"/>
      <c r="EM1240"/>
      <c r="EN1240"/>
      <c r="EO1240"/>
      <c r="EP1240"/>
      <c r="EQ1240"/>
      <c r="ER1240"/>
      <c r="ES1240"/>
      <c r="ET1240"/>
      <c r="EU1240"/>
      <c r="EV1240"/>
      <c r="EW1240"/>
      <c r="EX1240"/>
      <c r="EY1240"/>
      <c r="EZ1240"/>
      <c r="FA1240"/>
      <c r="FB1240"/>
      <c r="FC1240"/>
      <c r="FD1240"/>
      <c r="FE1240"/>
      <c r="FF1240"/>
      <c r="FG1240"/>
      <c r="FH1240"/>
      <c r="FI1240"/>
      <c r="FJ1240"/>
      <c r="FK1240"/>
      <c r="FL1240"/>
      <c r="FM1240"/>
      <c r="FN1240"/>
      <c r="FO1240"/>
      <c r="FP1240"/>
      <c r="FQ1240"/>
      <c r="FR1240"/>
      <c r="FS1240"/>
      <c r="FT1240"/>
      <c r="FU1240"/>
      <c r="FV1240"/>
      <c r="FW1240"/>
      <c r="FX1240"/>
      <c r="FY1240"/>
      <c r="FZ1240"/>
      <c r="GA1240"/>
      <c r="GB1240"/>
      <c r="GC1240"/>
      <c r="GD1240"/>
      <c r="GE1240"/>
      <c r="GF1240"/>
      <c r="GG1240"/>
      <c r="GH1240"/>
      <c r="GI1240"/>
      <c r="GJ1240"/>
      <c r="GK1240"/>
      <c r="GL1240"/>
      <c r="GM1240"/>
      <c r="GN1240"/>
      <c r="GO1240"/>
      <c r="GP1240"/>
      <c r="GQ1240"/>
      <c r="GR1240"/>
      <c r="GS1240"/>
      <c r="GT1240"/>
      <c r="GU1240"/>
      <c r="GV1240"/>
      <c r="GW1240"/>
      <c r="GX1240"/>
      <c r="GY1240"/>
      <c r="GZ1240"/>
      <c r="HA1240"/>
      <c r="HB1240"/>
      <c r="HC1240"/>
      <c r="HD1240"/>
      <c r="HE1240"/>
      <c r="HF1240"/>
      <c r="HG1240"/>
      <c r="HH1240"/>
      <c r="HI1240"/>
      <c r="HJ1240"/>
      <c r="HK1240"/>
      <c r="HL1240"/>
      <c r="HM1240"/>
      <c r="HN1240"/>
      <c r="HO1240"/>
      <c r="HP1240"/>
      <c r="HQ1240"/>
      <c r="HR1240"/>
      <c r="HS1240"/>
      <c r="HT1240"/>
      <c r="HU1240"/>
      <c r="HV1240"/>
      <c r="HW1240"/>
      <c r="HX1240"/>
      <c r="HY1240"/>
      <c r="HZ1240"/>
      <c r="IA1240"/>
      <c r="IB1240"/>
      <c r="IC1240"/>
      <c r="ID1240"/>
      <c r="IE1240"/>
      <c r="IF1240"/>
      <c r="IG1240"/>
      <c r="IH1240"/>
      <c r="II1240"/>
      <c r="IJ1240"/>
      <c r="IK1240"/>
      <c r="IL1240"/>
      <c r="IM1240"/>
      <c r="IN1240"/>
      <c r="IO1240"/>
      <c r="IP1240"/>
      <c r="IQ1240"/>
      <c r="IR1240"/>
      <c r="IS1240"/>
      <c r="IT1240"/>
      <c r="IU1240"/>
      <c r="IV1240"/>
    </row>
    <row r="1241" ht="15.75" customHeight="1">
      <c r="A1241" s="1071" t="s">
        <v>1770</v>
      </c>
      <c r="B1241" s="1071"/>
      <c r="C1241" s="1071"/>
      <c r="D1241" s="1071"/>
      <c r="E1241" s="1071"/>
      <c r="F1241" s="1071"/>
      <c r="G1241" s="1071"/>
      <c r="H1241" s="42"/>
      <c r="I1241" s="42"/>
      <c r="J1241" s="42"/>
      <c r="K1241" s="1072"/>
      <c r="L1241" s="1073" t="s">
        <v>1771</v>
      </c>
      <c r="M1241" s="933"/>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c r="EK1241"/>
      <c r="EL1241"/>
      <c r="EM1241"/>
      <c r="EN1241"/>
      <c r="EO1241"/>
      <c r="EP1241"/>
      <c r="EQ1241"/>
      <c r="ER1241"/>
      <c r="ES1241"/>
      <c r="ET1241"/>
      <c r="EU1241"/>
      <c r="EV1241"/>
      <c r="EW1241"/>
      <c r="EX1241"/>
      <c r="EY1241"/>
      <c r="EZ1241"/>
      <c r="FA1241"/>
      <c r="FB1241"/>
      <c r="FC1241"/>
      <c r="FD1241"/>
      <c r="FE1241"/>
      <c r="FF1241"/>
      <c r="FG1241"/>
      <c r="FH1241"/>
      <c r="FI1241"/>
      <c r="FJ1241"/>
      <c r="FK1241"/>
      <c r="FL1241"/>
      <c r="FM1241"/>
      <c r="FN1241"/>
      <c r="FO1241"/>
      <c r="FP1241"/>
      <c r="FQ1241"/>
      <c r="FR1241"/>
      <c r="FS1241"/>
      <c r="FT1241"/>
      <c r="FU1241"/>
      <c r="FV1241"/>
      <c r="FW1241"/>
      <c r="FX1241"/>
      <c r="FY1241"/>
      <c r="FZ1241"/>
      <c r="GA1241"/>
      <c r="GB1241"/>
      <c r="GC1241"/>
      <c r="GD1241"/>
      <c r="GE1241"/>
      <c r="GF1241"/>
      <c r="GG1241"/>
      <c r="GH1241"/>
      <c r="GI1241"/>
      <c r="GJ1241"/>
      <c r="GK1241"/>
      <c r="GL1241"/>
      <c r="GM1241"/>
      <c r="GN1241"/>
      <c r="GO1241"/>
      <c r="GP1241"/>
      <c r="GQ1241"/>
      <c r="GR1241"/>
      <c r="GS1241"/>
      <c r="GT1241"/>
      <c r="GU1241"/>
      <c r="GV1241"/>
      <c r="GW1241"/>
      <c r="GX1241"/>
      <c r="GY1241"/>
      <c r="GZ1241"/>
      <c r="HA1241"/>
      <c r="HB1241"/>
      <c r="HC1241"/>
      <c r="HD1241"/>
      <c r="HE1241"/>
      <c r="HF1241"/>
      <c r="HG1241"/>
      <c r="HH1241"/>
      <c r="HI1241"/>
      <c r="HJ1241"/>
      <c r="HK1241"/>
      <c r="HL1241"/>
      <c r="HM1241"/>
      <c r="HN1241"/>
      <c r="HO1241"/>
      <c r="HP1241"/>
      <c r="HQ1241"/>
      <c r="HR1241"/>
      <c r="HS1241"/>
      <c r="HT1241"/>
      <c r="HU1241"/>
      <c r="HV1241"/>
      <c r="HW1241"/>
      <c r="HX1241"/>
      <c r="HY1241"/>
      <c r="HZ1241"/>
      <c r="IA1241"/>
      <c r="IB1241"/>
      <c r="IC1241"/>
      <c r="ID1241"/>
      <c r="IE1241"/>
      <c r="IF1241"/>
      <c r="IG1241"/>
      <c r="IH1241"/>
      <c r="II1241"/>
      <c r="IJ1241"/>
      <c r="IK1241"/>
      <c r="IL1241"/>
      <c r="IM1241"/>
      <c r="IN1241"/>
      <c r="IO1241"/>
      <c r="IP1241"/>
      <c r="IQ1241"/>
      <c r="IR1241"/>
      <c r="IS1241"/>
      <c r="IT1241"/>
      <c r="IU1241"/>
      <c r="IV1241"/>
    </row>
    <row r="1242" ht="15.75" customHeight="1">
      <c r="A1242" s="378"/>
      <c r="B1242" s="378"/>
      <c r="C1242" s="378"/>
      <c r="D1242" s="378"/>
      <c r="E1242" s="378"/>
      <c r="F1242" s="378"/>
      <c r="G1242" s="378"/>
      <c r="H1242"/>
      <c r="I1242"/>
      <c r="J1242"/>
      <c r="K1242" s="1076"/>
      <c r="L1242" s="880"/>
      <c r="M1242" s="933"/>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c r="EK1242"/>
      <c r="EL1242"/>
      <c r="EM1242"/>
      <c r="EN1242"/>
      <c r="EO1242"/>
      <c r="EP1242"/>
      <c r="EQ1242"/>
      <c r="ER1242"/>
      <c r="ES1242"/>
      <c r="ET1242"/>
      <c r="EU1242"/>
      <c r="EV1242"/>
      <c r="EW1242"/>
      <c r="EX1242"/>
      <c r="EY1242"/>
      <c r="EZ1242"/>
      <c r="FA1242"/>
      <c r="FB1242"/>
      <c r="FC1242"/>
      <c r="FD1242"/>
      <c r="FE1242"/>
      <c r="FF1242"/>
      <c r="FG1242"/>
      <c r="FH1242"/>
      <c r="FI1242"/>
      <c r="FJ1242"/>
      <c r="FK1242"/>
      <c r="FL1242"/>
      <c r="FM1242"/>
      <c r="FN1242"/>
      <c r="FO1242"/>
      <c r="FP1242"/>
      <c r="FQ1242"/>
      <c r="FR1242"/>
      <c r="FS1242"/>
      <c r="FT1242"/>
      <c r="FU1242"/>
      <c r="FV1242"/>
      <c r="FW1242"/>
      <c r="FX1242"/>
      <c r="FY1242"/>
      <c r="FZ1242"/>
      <c r="GA1242"/>
      <c r="GB1242"/>
      <c r="GC1242"/>
      <c r="GD1242"/>
      <c r="GE1242"/>
      <c r="GF1242"/>
      <c r="GG1242"/>
      <c r="GH1242"/>
      <c r="GI1242"/>
      <c r="GJ1242"/>
      <c r="GK1242"/>
      <c r="GL1242"/>
      <c r="GM1242"/>
      <c r="GN1242"/>
      <c r="GO1242"/>
      <c r="GP1242"/>
      <c r="GQ1242"/>
      <c r="GR1242"/>
      <c r="GS1242"/>
      <c r="GT1242"/>
      <c r="GU1242"/>
      <c r="GV1242"/>
      <c r="GW1242"/>
      <c r="GX1242"/>
      <c r="GY1242"/>
      <c r="GZ1242"/>
      <c r="HA1242"/>
      <c r="HB1242"/>
      <c r="HC1242"/>
      <c r="HD1242"/>
      <c r="HE1242"/>
      <c r="HF1242"/>
      <c r="HG1242"/>
      <c r="HH1242"/>
      <c r="HI1242"/>
      <c r="HJ1242"/>
      <c r="HK1242"/>
      <c r="HL1242"/>
      <c r="HM1242"/>
      <c r="HN1242"/>
      <c r="HO1242"/>
      <c r="HP1242"/>
      <c r="HQ1242"/>
      <c r="HR1242"/>
      <c r="HS1242"/>
      <c r="HT1242"/>
      <c r="HU1242"/>
      <c r="HV1242"/>
      <c r="HW1242"/>
      <c r="HX1242"/>
      <c r="HY1242"/>
      <c r="HZ1242"/>
      <c r="IA1242"/>
      <c r="IB1242"/>
      <c r="IC1242"/>
      <c r="ID1242"/>
      <c r="IE1242"/>
      <c r="IF1242"/>
      <c r="IG1242"/>
      <c r="IH1242"/>
      <c r="II1242"/>
      <c r="IJ1242"/>
      <c r="IK1242"/>
      <c r="IL1242"/>
      <c r="IM1242"/>
      <c r="IN1242"/>
      <c r="IO1242"/>
      <c r="IP1242"/>
      <c r="IQ1242"/>
      <c r="IR1242"/>
      <c r="IS1242"/>
      <c r="IT1242"/>
      <c r="IU1242"/>
      <c r="IV1242"/>
    </row>
    <row r="1243" ht="36" customHeight="1">
      <c r="A1243" s="12"/>
      <c r="B1243" s="821"/>
      <c r="C1243" s="821"/>
      <c r="D1243" s="821"/>
      <c r="E1243" s="754" t="s">
        <v>1772</v>
      </c>
      <c r="F1243" s="754" t="s">
        <v>1773</v>
      </c>
      <c r="G1243" s="755" t="s">
        <v>1774</v>
      </c>
      <c r="I1243" s="10"/>
      <c r="J1243" s="9"/>
      <c r="K1243" s="633"/>
      <c r="L1243" s="756"/>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c r="EK1243"/>
      <c r="EL1243"/>
      <c r="EM1243"/>
      <c r="EN1243"/>
      <c r="EO1243"/>
      <c r="EP1243"/>
      <c r="EQ1243"/>
      <c r="ER1243"/>
      <c r="ES1243"/>
      <c r="ET1243"/>
      <c r="EU1243"/>
      <c r="EV1243"/>
      <c r="EW1243"/>
      <c r="EX1243"/>
      <c r="EY1243"/>
      <c r="EZ1243"/>
      <c r="FA1243"/>
      <c r="FB1243"/>
      <c r="FC1243"/>
      <c r="FD1243"/>
      <c r="FE1243"/>
      <c r="FF1243"/>
      <c r="FG1243"/>
      <c r="FH1243"/>
      <c r="FI1243"/>
      <c r="FJ1243"/>
      <c r="FK1243"/>
      <c r="FL1243"/>
      <c r="FM1243"/>
      <c r="FN1243"/>
      <c r="FO1243"/>
      <c r="FP1243"/>
      <c r="FQ1243"/>
      <c r="FR1243"/>
      <c r="FS1243"/>
      <c r="FT1243"/>
      <c r="FU1243"/>
      <c r="FV1243"/>
      <c r="FW1243"/>
      <c r="FX1243"/>
      <c r="FY1243"/>
      <c r="FZ1243"/>
      <c r="GA1243"/>
      <c r="GB1243"/>
      <c r="GC1243"/>
      <c r="GD1243"/>
      <c r="GE1243"/>
      <c r="GF1243"/>
      <c r="GG1243"/>
      <c r="GH1243"/>
      <c r="GI1243"/>
      <c r="GJ1243"/>
      <c r="GK1243"/>
      <c r="GL1243"/>
      <c r="GM1243"/>
      <c r="GN1243"/>
      <c r="GO1243"/>
      <c r="GP1243"/>
      <c r="GQ1243"/>
      <c r="GR1243"/>
      <c r="GS1243"/>
      <c r="GT1243"/>
      <c r="GU1243"/>
      <c r="GV1243"/>
      <c r="GW1243"/>
      <c r="GX1243"/>
      <c r="GY1243"/>
      <c r="GZ1243"/>
      <c r="HA1243"/>
      <c r="HB1243"/>
      <c r="HC1243"/>
      <c r="HD1243"/>
      <c r="HE1243"/>
      <c r="HF1243"/>
      <c r="HG1243"/>
      <c r="HH1243"/>
      <c r="HI1243"/>
      <c r="HJ1243"/>
      <c r="HK1243"/>
      <c r="HL1243"/>
      <c r="HM1243"/>
      <c r="HN1243"/>
      <c r="HO1243"/>
      <c r="HP1243"/>
      <c r="HQ1243"/>
      <c r="HR1243"/>
      <c r="HS1243"/>
      <c r="HT1243"/>
      <c r="HU1243"/>
      <c r="HV1243"/>
      <c r="HW1243"/>
      <c r="HX1243"/>
      <c r="HY1243"/>
      <c r="HZ1243"/>
      <c r="IA1243"/>
      <c r="IB1243"/>
      <c r="IC1243"/>
      <c r="ID1243"/>
      <c r="IE1243"/>
      <c r="IF1243"/>
      <c r="IG1243"/>
      <c r="IH1243"/>
      <c r="II1243"/>
      <c r="IJ1243"/>
      <c r="IK1243"/>
      <c r="IL1243"/>
      <c r="IM1243"/>
      <c r="IN1243"/>
      <c r="IO1243"/>
      <c r="IP1243"/>
      <c r="IQ1243"/>
      <c r="IR1243"/>
      <c r="IS1243"/>
      <c r="IT1243"/>
      <c r="IU1243"/>
      <c r="IV1243"/>
    </row>
    <row r="1244" ht="13.9" customHeight="1">
      <c r="A1244" s="12"/>
      <c r="B1244" s="821"/>
      <c r="C1244" s="821"/>
      <c r="D1244" s="821"/>
      <c r="E1244" s="757" t="s">
        <v>900</v>
      </c>
      <c r="F1244" s="758" t="s">
        <v>1130</v>
      </c>
      <c r="G1244" s="759" t="s">
        <v>900</v>
      </c>
      <c r="I1244" s="10"/>
      <c r="J1244" s="9"/>
      <c r="K1244" s="633"/>
      <c r="L1244" s="756"/>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c r="EQ1244"/>
      <c r="ER1244"/>
      <c r="ES1244"/>
      <c r="ET1244"/>
      <c r="EU1244"/>
      <c r="EV1244"/>
      <c r="EW1244"/>
      <c r="EX1244"/>
      <c r="EY1244"/>
      <c r="EZ1244"/>
      <c r="FA1244"/>
      <c r="FB1244"/>
      <c r="FC1244"/>
      <c r="FD1244"/>
      <c r="FE1244"/>
      <c r="FF1244"/>
      <c r="FG1244"/>
      <c r="FH1244"/>
      <c r="FI1244"/>
      <c r="FJ1244"/>
      <c r="FK1244"/>
      <c r="FL1244"/>
      <c r="FM1244"/>
      <c r="FN1244"/>
      <c r="FO1244"/>
      <c r="FP1244"/>
      <c r="FQ1244"/>
      <c r="FR1244"/>
      <c r="FS1244"/>
      <c r="FT1244"/>
      <c r="FU1244"/>
      <c r="FV1244"/>
      <c r="FW1244"/>
      <c r="FX1244"/>
      <c r="FY1244"/>
      <c r="FZ1244"/>
      <c r="GA1244"/>
      <c r="GB1244"/>
      <c r="GC1244"/>
      <c r="GD1244"/>
      <c r="GE1244"/>
      <c r="GF1244"/>
      <c r="GG1244"/>
      <c r="GH1244"/>
      <c r="GI1244"/>
      <c r="GJ1244"/>
      <c r="GK1244"/>
      <c r="GL1244"/>
      <c r="GM1244"/>
      <c r="GN1244"/>
      <c r="GO1244"/>
      <c r="GP1244"/>
      <c r="GQ1244"/>
      <c r="GR1244"/>
      <c r="GS1244"/>
      <c r="GT1244"/>
      <c r="GU1244"/>
      <c r="GV1244"/>
      <c r="GW1244"/>
      <c r="GX1244"/>
      <c r="GY1244"/>
      <c r="GZ1244"/>
      <c r="HA1244"/>
      <c r="HB1244"/>
      <c r="HC1244"/>
      <c r="HD1244"/>
      <c r="HE1244"/>
      <c r="HF1244"/>
      <c r="HG1244"/>
      <c r="HH1244"/>
      <c r="HI1244"/>
      <c r="HJ1244"/>
      <c r="HK1244"/>
      <c r="HL1244"/>
      <c r="HM1244"/>
      <c r="HN1244"/>
      <c r="HO1244"/>
      <c r="HP1244"/>
      <c r="HQ1244"/>
      <c r="HR1244"/>
      <c r="HS1244"/>
      <c r="HT1244"/>
      <c r="HU1244"/>
      <c r="HV1244"/>
      <c r="HW1244"/>
      <c r="HX1244"/>
      <c r="HY1244"/>
      <c r="HZ1244"/>
      <c r="IA1244"/>
      <c r="IB1244"/>
      <c r="IC1244"/>
      <c r="ID1244"/>
      <c r="IE1244"/>
      <c r="IF1244"/>
      <c r="IG1244"/>
      <c r="IH1244"/>
      <c r="II1244"/>
      <c r="IJ1244"/>
      <c r="IK1244"/>
      <c r="IL1244"/>
      <c r="IM1244"/>
      <c r="IN1244"/>
      <c r="IO1244"/>
      <c r="IP1244"/>
      <c r="IQ1244"/>
      <c r="IR1244"/>
      <c r="IS1244"/>
      <c r="IT1244"/>
      <c r="IU1244"/>
      <c r="IV1244"/>
    </row>
    <row r="1245" ht="15" customHeight="1">
      <c r="A1245" s="760" t="s">
        <v>1775</v>
      </c>
      <c r="B1245" s="761"/>
      <c r="C1245" s="761"/>
      <c r="D1245" s="761"/>
      <c r="E1245" s="762" t="n">
        <f aca="false">SUM(E1246:E1249)</f>
        <v>216</v>
      </c>
      <c r="F1245" s="763"/>
      <c r="G1245" s="764" t="n">
        <v>216</v>
      </c>
      <c r="I1245" s="584"/>
      <c r="J1245"/>
      <c r="K1245" s="765"/>
      <c r="L1245" s="756"/>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c r="EK1245"/>
      <c r="EL1245"/>
      <c r="EM1245"/>
      <c r="EN1245"/>
      <c r="EO1245"/>
      <c r="EP1245"/>
      <c r="EQ1245"/>
      <c r="ER1245"/>
      <c r="ES1245"/>
      <c r="ET1245"/>
      <c r="EU1245"/>
      <c r="EV1245"/>
      <c r="EW1245"/>
      <c r="EX1245"/>
      <c r="EY1245"/>
      <c r="EZ1245"/>
      <c r="FA1245"/>
      <c r="FB1245"/>
      <c r="FC1245"/>
      <c r="FD1245"/>
      <c r="FE1245"/>
      <c r="FF1245"/>
      <c r="FG1245"/>
      <c r="FH1245"/>
      <c r="FI1245"/>
      <c r="FJ1245"/>
      <c r="FK1245"/>
      <c r="FL1245"/>
      <c r="FM1245"/>
      <c r="FN1245"/>
      <c r="FO1245"/>
      <c r="FP1245"/>
      <c r="FQ1245"/>
      <c r="FR1245"/>
      <c r="FS1245"/>
      <c r="FT1245"/>
      <c r="FU1245"/>
      <c r="FV1245"/>
      <c r="FW1245"/>
      <c r="FX1245"/>
      <c r="FY1245"/>
      <c r="FZ1245"/>
      <c r="GA1245"/>
      <c r="GB1245"/>
      <c r="GC1245"/>
      <c r="GD1245"/>
      <c r="GE1245"/>
      <c r="GF1245"/>
      <c r="GG1245"/>
      <c r="GH1245"/>
      <c r="GI1245"/>
      <c r="GJ1245"/>
      <c r="GK1245"/>
      <c r="GL1245"/>
      <c r="GM1245"/>
      <c r="GN1245"/>
      <c r="GO1245"/>
      <c r="GP1245"/>
      <c r="GQ1245"/>
      <c r="GR1245"/>
      <c r="GS1245"/>
      <c r="GT1245"/>
      <c r="GU1245"/>
      <c r="GV1245"/>
      <c r="GW1245"/>
      <c r="GX1245"/>
      <c r="GY1245"/>
      <c r="GZ1245"/>
      <c r="HA1245"/>
      <c r="HB1245"/>
      <c r="HC1245"/>
      <c r="HD1245"/>
      <c r="HE1245"/>
      <c r="HF1245"/>
      <c r="HG1245"/>
      <c r="HH1245"/>
      <c r="HI1245"/>
      <c r="HJ1245"/>
      <c r="HK1245"/>
      <c r="HL1245"/>
      <c r="HM1245"/>
      <c r="HN1245"/>
      <c r="HO1245"/>
      <c r="HP1245"/>
      <c r="HQ1245"/>
      <c r="HR1245"/>
      <c r="HS1245"/>
      <c r="HT1245"/>
      <c r="HU1245"/>
      <c r="HV1245"/>
      <c r="HW1245"/>
      <c r="HX1245"/>
      <c r="HY1245"/>
      <c r="HZ1245"/>
      <c r="IA1245"/>
      <c r="IB1245"/>
      <c r="IC1245"/>
      <c r="ID1245"/>
      <c r="IE1245"/>
      <c r="IF1245"/>
      <c r="IG1245"/>
      <c r="IH1245"/>
      <c r="II1245"/>
      <c r="IJ1245"/>
      <c r="IK1245"/>
      <c r="IL1245"/>
      <c r="IM1245"/>
      <c r="IN1245"/>
      <c r="IO1245"/>
      <c r="IP1245"/>
      <c r="IQ1245"/>
      <c r="IR1245"/>
      <c r="IS1245"/>
      <c r="IT1245"/>
      <c r="IU1245"/>
      <c r="IV1245"/>
    </row>
    <row r="1246" ht="15" customHeight="1">
      <c r="A1246" s="766" t="s">
        <v>902</v>
      </c>
      <c r="B1246" s="767"/>
      <c r="C1246" s="767"/>
      <c r="D1246" s="767"/>
      <c r="E1246" s="585" t="n">
        <v>27</v>
      </c>
      <c r="F1246" s="763" t="n">
        <f aca="false">E1246/$E$1304</f>
        <v>0.075</v>
      </c>
      <c r="G1246" s="768"/>
      <c r="H1246"/>
      <c r="I1246"/>
      <c r="J1246"/>
      <c r="K1246"/>
      <c r="L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c r="EK1246"/>
      <c r="EL1246"/>
      <c r="EM1246"/>
      <c r="EN1246"/>
      <c r="EO1246"/>
      <c r="EP1246"/>
      <c r="EQ1246"/>
      <c r="ER1246"/>
      <c r="ES1246"/>
      <c r="ET1246"/>
      <c r="EU1246"/>
      <c r="EV1246"/>
      <c r="EW1246"/>
      <c r="EX1246"/>
      <c r="EY1246"/>
      <c r="EZ1246"/>
      <c r="FA1246"/>
      <c r="FB1246"/>
      <c r="FC1246"/>
      <c r="FD1246"/>
      <c r="FE1246"/>
      <c r="FF1246"/>
      <c r="FG1246"/>
      <c r="FH1246"/>
      <c r="FI1246"/>
      <c r="FJ1246"/>
      <c r="FK1246"/>
      <c r="FL1246"/>
      <c r="FM1246"/>
      <c r="FN1246"/>
      <c r="FO1246"/>
      <c r="FP1246"/>
      <c r="FQ1246"/>
      <c r="FR1246"/>
      <c r="FS1246"/>
      <c r="FT1246"/>
      <c r="FU1246"/>
      <c r="FV1246"/>
      <c r="FW1246"/>
      <c r="FX1246"/>
      <c r="FY1246"/>
      <c r="FZ1246"/>
      <c r="GA1246"/>
      <c r="GB1246"/>
      <c r="GC1246"/>
      <c r="GD1246"/>
      <c r="GE1246"/>
      <c r="GF1246"/>
      <c r="GG1246"/>
      <c r="GH1246"/>
      <c r="GI1246"/>
      <c r="GJ1246"/>
      <c r="GK1246"/>
      <c r="GL1246"/>
      <c r="GM1246"/>
      <c r="GN1246"/>
      <c r="GO1246"/>
      <c r="GP1246"/>
      <c r="GQ1246"/>
      <c r="GR1246"/>
      <c r="GS1246"/>
      <c r="GT1246"/>
      <c r="GU1246"/>
      <c r="GV1246"/>
      <c r="GW1246"/>
      <c r="GX1246"/>
      <c r="GY1246"/>
      <c r="GZ1246"/>
      <c r="HA1246"/>
      <c r="HB1246"/>
      <c r="HC1246"/>
      <c r="HD1246"/>
      <c r="HE1246"/>
      <c r="HF1246"/>
      <c r="HG1246"/>
      <c r="HH1246"/>
      <c r="HI1246"/>
      <c r="HJ1246"/>
      <c r="HK1246"/>
      <c r="HL1246"/>
      <c r="HM1246"/>
      <c r="HN1246"/>
      <c r="HO1246"/>
      <c r="HP1246"/>
      <c r="HQ1246"/>
      <c r="HR1246"/>
      <c r="HS1246"/>
      <c r="HT1246"/>
      <c r="HU1246"/>
      <c r="HV1246"/>
      <c r="HW1246"/>
      <c r="HX1246"/>
      <c r="HY1246"/>
      <c r="HZ1246"/>
      <c r="IA1246"/>
      <c r="IB1246"/>
      <c r="IC1246"/>
      <c r="ID1246"/>
      <c r="IE1246"/>
      <c r="IF1246"/>
      <c r="IG1246"/>
      <c r="IH1246"/>
      <c r="II1246"/>
      <c r="IJ1246"/>
      <c r="IK1246"/>
      <c r="IL1246"/>
      <c r="IM1246"/>
      <c r="IN1246"/>
      <c r="IO1246"/>
      <c r="IP1246"/>
      <c r="IQ1246"/>
      <c r="IR1246"/>
      <c r="IS1246"/>
      <c r="IT1246"/>
      <c r="IU1246"/>
      <c r="IV1246"/>
    </row>
    <row r="1247" ht="15" customHeight="1">
      <c r="A1247" s="766" t="s">
        <v>1776</v>
      </c>
      <c r="B1247" s="767"/>
      <c r="C1247" s="767"/>
      <c r="D1247" s="767"/>
      <c r="E1247" s="585" t="n">
        <v>162</v>
      </c>
      <c r="F1247" s="763" t="n">
        <f aca="false">E1247/$E$1304</f>
        <v>0.45</v>
      </c>
      <c r="G1247" s="769"/>
      <c r="J1247" s="584"/>
      <c r="K1247" s="634"/>
      <c r="L1247" s="1069"/>
      <c r="M1247"/>
      <c r="O1247"/>
      <c r="P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c r="GE1247"/>
      <c r="GF1247"/>
      <c r="GG1247"/>
      <c r="GH1247"/>
      <c r="GI1247"/>
      <c r="GJ1247"/>
      <c r="GK1247"/>
      <c r="GL1247"/>
      <c r="GM1247"/>
      <c r="GN1247"/>
      <c r="GO1247"/>
      <c r="GP1247"/>
      <c r="GQ1247"/>
      <c r="GR1247"/>
      <c r="GS1247"/>
      <c r="GT1247"/>
      <c r="GU1247"/>
      <c r="GV1247"/>
      <c r="GW1247"/>
      <c r="GX1247"/>
      <c r="GY1247"/>
      <c r="GZ1247"/>
      <c r="HA1247"/>
      <c r="HB1247"/>
      <c r="HC1247"/>
      <c r="HD1247"/>
      <c r="HE1247"/>
      <c r="HF1247"/>
      <c r="HG1247"/>
      <c r="HH1247"/>
      <c r="HI1247"/>
      <c r="HJ1247"/>
      <c r="HK1247"/>
      <c r="HL1247"/>
      <c r="HM1247"/>
      <c r="HN1247"/>
      <c r="HO1247"/>
      <c r="HP1247"/>
      <c r="HQ1247"/>
      <c r="HR1247"/>
      <c r="HS1247"/>
      <c r="HT1247"/>
      <c r="HU1247"/>
      <c r="HV1247"/>
      <c r="HW1247"/>
      <c r="HX1247"/>
      <c r="HY1247"/>
      <c r="HZ1247"/>
      <c r="IA1247"/>
      <c r="IB1247"/>
      <c r="IC1247"/>
      <c r="ID1247"/>
      <c r="IE1247"/>
      <c r="IF1247"/>
      <c r="IG1247"/>
      <c r="IH1247"/>
      <c r="II1247"/>
      <c r="IJ1247"/>
      <c r="IK1247"/>
      <c r="IL1247"/>
      <c r="IM1247"/>
      <c r="IN1247"/>
      <c r="IO1247"/>
      <c r="IP1247"/>
      <c r="IQ1247"/>
      <c r="IR1247"/>
      <c r="IS1247"/>
      <c r="IT1247"/>
      <c r="IU1247"/>
      <c r="IV1247"/>
    </row>
    <row r="1248" ht="15" customHeight="1">
      <c r="A1248" s="766" t="s">
        <v>904</v>
      </c>
      <c r="B1248" s="767"/>
      <c r="C1248" s="767"/>
      <c r="D1248" s="767"/>
      <c r="E1248" s="585" t="n">
        <v>27</v>
      </c>
      <c r="F1248" s="763" t="n">
        <f aca="false">E1248/$E$1304</f>
        <v>0.075</v>
      </c>
      <c r="G1248" s="769"/>
      <c r="J1248" s="584"/>
      <c r="K1248" s="634"/>
      <c r="L1248" s="1069"/>
      <c r="M1248"/>
      <c r="O1248"/>
      <c r="P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c r="EK1248"/>
      <c r="EL1248"/>
      <c r="EM1248"/>
      <c r="EN1248"/>
      <c r="EO1248"/>
      <c r="EP1248"/>
      <c r="EQ1248"/>
      <c r="ER1248"/>
      <c r="ES1248"/>
      <c r="ET1248"/>
      <c r="EU1248"/>
      <c r="EV1248"/>
      <c r="EW1248"/>
      <c r="EX1248"/>
      <c r="EY1248"/>
      <c r="EZ1248"/>
      <c r="FA1248"/>
      <c r="FB1248"/>
      <c r="FC1248"/>
      <c r="FD1248"/>
      <c r="FE1248"/>
      <c r="FF1248"/>
      <c r="FG1248"/>
      <c r="FH1248"/>
      <c r="FI1248"/>
      <c r="FJ1248"/>
      <c r="FK1248"/>
      <c r="FL1248"/>
      <c r="FM1248"/>
      <c r="FN1248"/>
      <c r="FO1248"/>
      <c r="FP1248"/>
      <c r="FQ1248"/>
      <c r="FR1248"/>
      <c r="FS1248"/>
      <c r="FT1248"/>
      <c r="FU1248"/>
      <c r="FV1248"/>
      <c r="FW1248"/>
      <c r="FX1248"/>
      <c r="FY1248"/>
      <c r="FZ1248"/>
      <c r="GA1248"/>
      <c r="GB1248"/>
      <c r="GC1248"/>
      <c r="GD1248"/>
      <c r="GE1248"/>
      <c r="GF1248"/>
      <c r="GG1248"/>
      <c r="GH1248"/>
      <c r="GI1248"/>
      <c r="GJ1248"/>
      <c r="GK1248"/>
      <c r="GL1248"/>
      <c r="GM1248"/>
      <c r="GN1248"/>
      <c r="GO1248"/>
      <c r="GP1248"/>
      <c r="GQ1248"/>
      <c r="GR1248"/>
      <c r="GS1248"/>
      <c r="GT1248"/>
      <c r="GU1248"/>
      <c r="GV1248"/>
      <c r="GW1248"/>
      <c r="GX1248"/>
      <c r="GY1248"/>
      <c r="GZ1248"/>
      <c r="HA1248"/>
      <c r="HB1248"/>
      <c r="HC1248"/>
      <c r="HD1248"/>
      <c r="HE1248"/>
      <c r="HF1248"/>
      <c r="HG1248"/>
      <c r="HH1248"/>
      <c r="HI1248"/>
      <c r="HJ1248"/>
      <c r="HK1248"/>
      <c r="HL1248"/>
      <c r="HM1248"/>
      <c r="HN1248"/>
      <c r="HO1248"/>
      <c r="HP1248"/>
      <c r="HQ1248"/>
      <c r="HR1248"/>
      <c r="HS1248"/>
      <c r="HT1248"/>
      <c r="HU1248"/>
      <c r="HV1248"/>
      <c r="HW1248"/>
      <c r="HX1248"/>
      <c r="HY1248"/>
      <c r="HZ1248"/>
      <c r="IA1248"/>
      <c r="IB1248"/>
      <c r="IC1248"/>
      <c r="ID1248"/>
      <c r="IE1248"/>
      <c r="IF1248"/>
      <c r="IG1248"/>
      <c r="IH1248"/>
      <c r="II1248"/>
      <c r="IJ1248"/>
      <c r="IK1248"/>
      <c r="IL1248"/>
      <c r="IM1248"/>
      <c r="IN1248"/>
      <c r="IO1248"/>
      <c r="IP1248"/>
      <c r="IQ1248"/>
      <c r="IR1248"/>
      <c r="IS1248"/>
      <c r="IT1248"/>
      <c r="IU1248"/>
      <c r="IV1248"/>
    </row>
    <row r="1249" ht="15" customHeight="1">
      <c r="A1249" s="770" t="s">
        <v>905</v>
      </c>
      <c r="B1249" s="767"/>
      <c r="C1249" s="767"/>
      <c r="D1249" s="767"/>
      <c r="E1249" s="585"/>
      <c r="F1249" s="763" t="n">
        <f aca="false">E1249/$E$1304</f>
        <v>0</v>
      </c>
      <c r="G1249" s="769"/>
      <c r="J1249" s="584"/>
      <c r="K1249" s="634"/>
      <c r="L1249" s="1069"/>
      <c r="M1249"/>
      <c r="O1249"/>
      <c r="P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c r="EK1249"/>
      <c r="EL1249"/>
      <c r="EM1249"/>
      <c r="EN1249"/>
      <c r="EO1249"/>
      <c r="EP1249"/>
      <c r="EQ1249"/>
      <c r="ER1249"/>
      <c r="ES1249"/>
      <c r="ET1249"/>
      <c r="EU1249"/>
      <c r="EV1249"/>
      <c r="EW1249"/>
      <c r="EX1249"/>
      <c r="EY1249"/>
      <c r="EZ1249"/>
      <c r="FA1249"/>
      <c r="FB1249"/>
      <c r="FC1249"/>
      <c r="FD1249"/>
      <c r="FE1249"/>
      <c r="FF1249"/>
      <c r="FG1249"/>
      <c r="FH1249"/>
      <c r="FI1249"/>
      <c r="FJ1249"/>
      <c r="FK1249"/>
      <c r="FL1249"/>
      <c r="FM1249"/>
      <c r="FN1249"/>
      <c r="FO1249"/>
      <c r="FP1249"/>
      <c r="FQ1249"/>
      <c r="FR1249"/>
      <c r="FS1249"/>
      <c r="FT1249"/>
      <c r="FU1249"/>
      <c r="FV1249"/>
      <c r="FW1249"/>
      <c r="FX1249"/>
      <c r="FY1249"/>
      <c r="FZ1249"/>
      <c r="GA1249"/>
      <c r="GB1249"/>
      <c r="GC1249"/>
      <c r="GD1249"/>
      <c r="GE1249"/>
      <c r="GF1249"/>
      <c r="GG1249"/>
      <c r="GH1249"/>
      <c r="GI1249"/>
      <c r="GJ1249"/>
      <c r="GK1249"/>
      <c r="GL1249"/>
      <c r="GM1249"/>
      <c r="GN1249"/>
      <c r="GO1249"/>
      <c r="GP1249"/>
      <c r="GQ1249"/>
      <c r="GR1249"/>
      <c r="GS1249"/>
      <c r="GT1249"/>
      <c r="GU1249"/>
      <c r="GV1249"/>
      <c r="GW1249"/>
      <c r="GX1249"/>
      <c r="GY1249"/>
      <c r="GZ1249"/>
      <c r="HA1249"/>
      <c r="HB1249"/>
      <c r="HC1249"/>
      <c r="HD1249"/>
      <c r="HE1249"/>
      <c r="HF1249"/>
      <c r="HG1249"/>
      <c r="HH1249"/>
      <c r="HI1249"/>
      <c r="HJ1249"/>
      <c r="HK1249"/>
      <c r="HL1249"/>
      <c r="HM1249"/>
      <c r="HN1249"/>
      <c r="HO1249"/>
      <c r="HP1249"/>
      <c r="HQ1249"/>
      <c r="HR1249"/>
      <c r="HS1249"/>
      <c r="HT1249"/>
      <c r="HU1249"/>
      <c r="HV1249"/>
      <c r="HW1249"/>
      <c r="HX1249"/>
      <c r="HY1249"/>
      <c r="HZ1249"/>
      <c r="IA1249"/>
      <c r="IB1249"/>
      <c r="IC1249"/>
      <c r="ID1249"/>
      <c r="IE1249"/>
      <c r="IF1249"/>
      <c r="IG1249"/>
      <c r="IH1249"/>
      <c r="II1249"/>
      <c r="IJ1249"/>
      <c r="IK1249"/>
      <c r="IL1249"/>
      <c r="IM1249"/>
      <c r="IN1249"/>
      <c r="IO1249"/>
      <c r="IP1249"/>
      <c r="IQ1249"/>
      <c r="IR1249"/>
      <c r="IS1249"/>
      <c r="IT1249"/>
      <c r="IU1249"/>
      <c r="IV1249"/>
    </row>
    <row r="1250" ht="30" customHeight="1">
      <c r="A1250" s="771" t="s">
        <v>1777</v>
      </c>
      <c r="B1250" s="771"/>
      <c r="C1250" s="771"/>
      <c r="D1250" s="771"/>
      <c r="E1250" s="772" t="n">
        <f aca="false">SUM(E1251:E1255)</f>
        <v>0</v>
      </c>
      <c r="F1250" s="763"/>
      <c r="G1250" s="764"/>
      <c r="H1250"/>
      <c r="I1250" s="773" t="s">
        <v>1778</v>
      </c>
      <c r="J1250" s="774" t="n">
        <f aca="false">MAX(G1245:G1302)/G1304</f>
        <v>0.6</v>
      </c>
      <c r="K1250" s="633"/>
      <c r="L1250" s="1069"/>
      <c r="M1250" s="646"/>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c r="GE1250"/>
      <c r="GF1250"/>
      <c r="GG1250"/>
      <c r="GH1250"/>
      <c r="GI1250"/>
      <c r="GJ1250"/>
      <c r="GK1250"/>
      <c r="GL1250"/>
      <c r="GM1250"/>
      <c r="GN1250"/>
      <c r="GO1250"/>
      <c r="GP1250"/>
      <c r="GQ1250"/>
      <c r="GR1250"/>
      <c r="GS1250"/>
      <c r="GT1250"/>
      <c r="GU1250"/>
      <c r="GV1250"/>
      <c r="GW1250"/>
      <c r="GX1250"/>
      <c r="GY1250"/>
      <c r="GZ1250"/>
      <c r="HA1250"/>
      <c r="HB1250"/>
      <c r="HC1250"/>
      <c r="HD1250"/>
      <c r="HE1250"/>
      <c r="HF1250"/>
      <c r="HG1250"/>
      <c r="HH1250"/>
      <c r="HI1250"/>
      <c r="HJ1250"/>
      <c r="HK1250"/>
      <c r="HL1250"/>
      <c r="HM1250"/>
      <c r="HN1250"/>
      <c r="HO1250"/>
      <c r="HP1250"/>
      <c r="HQ1250"/>
      <c r="HR1250"/>
      <c r="HS1250"/>
      <c r="HT1250"/>
      <c r="HU1250"/>
      <c r="HV1250"/>
      <c r="HW1250"/>
      <c r="HX1250"/>
      <c r="HY1250"/>
      <c r="HZ1250"/>
      <c r="IA1250"/>
      <c r="IB1250"/>
      <c r="IC1250"/>
      <c r="ID1250"/>
      <c r="IE1250"/>
      <c r="IF1250"/>
      <c r="IG1250"/>
      <c r="IH1250"/>
      <c r="II1250"/>
      <c r="IJ1250"/>
      <c r="IK1250"/>
      <c r="IL1250"/>
      <c r="IM1250"/>
      <c r="IN1250"/>
      <c r="IO1250"/>
      <c r="IP1250"/>
      <c r="IQ1250"/>
      <c r="IR1250"/>
      <c r="IS1250"/>
      <c r="IT1250"/>
      <c r="IU1250"/>
      <c r="IV1250"/>
    </row>
    <row r="1251" ht="15.75" customHeight="1">
      <c r="A1251" s="766" t="s">
        <v>907</v>
      </c>
      <c r="B1251" s="767"/>
      <c r="C1251" s="767"/>
      <c r="D1251" s="767"/>
      <c r="E1251" s="666"/>
      <c r="F1251" s="763" t="n">
        <f aca="false">E1251/$E$1304</f>
        <v>0</v>
      </c>
      <c r="G1251" s="775"/>
      <c r="H1251"/>
      <c r="I1251" s="773"/>
      <c r="J1251" s="774"/>
      <c r="K1251" s="634"/>
      <c r="L1251" s="1069"/>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c r="EK1251"/>
      <c r="EL1251"/>
      <c r="EM1251"/>
      <c r="EN1251"/>
      <c r="EO1251"/>
      <c r="EP1251"/>
      <c r="EQ1251"/>
      <c r="ER1251"/>
      <c r="ES1251"/>
      <c r="ET1251"/>
      <c r="EU1251"/>
      <c r="EV1251"/>
      <c r="EW1251"/>
      <c r="EX1251"/>
      <c r="EY1251"/>
      <c r="EZ1251"/>
      <c r="FA1251"/>
      <c r="FB1251"/>
      <c r="FC1251"/>
      <c r="FD1251"/>
      <c r="FE1251"/>
      <c r="FF1251"/>
      <c r="FG1251"/>
      <c r="FH1251"/>
      <c r="FI1251"/>
      <c r="FJ1251"/>
      <c r="FK1251"/>
      <c r="FL1251"/>
      <c r="FM1251"/>
      <c r="FN1251"/>
      <c r="FO1251"/>
      <c r="FP1251"/>
      <c r="FQ1251"/>
      <c r="FR1251"/>
      <c r="FS1251"/>
      <c r="FT1251"/>
      <c r="FU1251"/>
      <c r="FV1251"/>
      <c r="FW1251"/>
      <c r="FX1251"/>
      <c r="FY1251"/>
      <c r="FZ1251"/>
      <c r="GA1251"/>
      <c r="GB1251"/>
      <c r="GC1251"/>
      <c r="GD1251"/>
      <c r="GE1251"/>
      <c r="GF1251"/>
      <c r="GG1251"/>
      <c r="GH1251"/>
      <c r="GI1251"/>
      <c r="GJ1251"/>
      <c r="GK1251"/>
      <c r="GL1251"/>
      <c r="GM1251"/>
      <c r="GN1251"/>
      <c r="GO1251"/>
      <c r="GP1251"/>
      <c r="GQ1251"/>
      <c r="GR1251"/>
      <c r="GS1251"/>
      <c r="GT1251"/>
      <c r="GU1251"/>
      <c r="GV1251"/>
      <c r="GW1251"/>
      <c r="GX1251"/>
      <c r="GY1251"/>
      <c r="GZ1251"/>
      <c r="HA1251"/>
      <c r="HB1251"/>
      <c r="HC1251"/>
      <c r="HD1251"/>
      <c r="HE1251"/>
      <c r="HF1251"/>
      <c r="HG1251"/>
      <c r="HH1251"/>
      <c r="HI1251"/>
      <c r="HJ1251"/>
      <c r="HK1251"/>
      <c r="HL1251"/>
      <c r="HM1251"/>
      <c r="HN1251"/>
      <c r="HO1251"/>
      <c r="HP1251"/>
      <c r="HQ1251"/>
      <c r="HR1251"/>
      <c r="HS1251"/>
      <c r="HT1251"/>
      <c r="HU1251"/>
      <c r="HV1251"/>
      <c r="HW1251"/>
      <c r="HX1251"/>
      <c r="HY1251"/>
      <c r="HZ1251"/>
      <c r="IA1251"/>
      <c r="IB1251"/>
      <c r="IC1251"/>
      <c r="ID1251"/>
      <c r="IE1251"/>
      <c r="IF1251"/>
      <c r="IG1251"/>
      <c r="IH1251"/>
      <c r="II1251"/>
      <c r="IJ1251"/>
      <c r="IK1251"/>
      <c r="IL1251"/>
      <c r="IM1251"/>
      <c r="IN1251"/>
      <c r="IO1251"/>
      <c r="IP1251"/>
      <c r="IQ1251"/>
      <c r="IR1251"/>
      <c r="IS1251"/>
      <c r="IT1251"/>
      <c r="IU1251"/>
      <c r="IV1251"/>
    </row>
    <row r="1252" ht="15.75" customHeight="1">
      <c r="A1252" s="766" t="s">
        <v>908</v>
      </c>
      <c r="B1252" s="767"/>
      <c r="C1252" s="767"/>
      <c r="D1252" s="767"/>
      <c r="E1252" s="666"/>
      <c r="F1252" s="763" t="n">
        <f aca="false">E1252/$E$1304</f>
        <v>0</v>
      </c>
      <c r="G1252" s="775"/>
      <c r="H1252"/>
      <c r="I1252" s="773"/>
      <c r="J1252" s="774"/>
      <c r="K1252" s="634"/>
      <c r="L1252" s="1069"/>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c r="EK1252"/>
      <c r="EL1252"/>
      <c r="EM1252"/>
      <c r="EN1252"/>
      <c r="EO1252"/>
      <c r="EP1252"/>
      <c r="EQ1252"/>
      <c r="ER1252"/>
      <c r="ES1252"/>
      <c r="ET1252"/>
      <c r="EU1252"/>
      <c r="EV1252"/>
      <c r="EW1252"/>
      <c r="EX1252"/>
      <c r="EY1252"/>
      <c r="EZ1252"/>
      <c r="FA1252"/>
      <c r="FB1252"/>
      <c r="FC1252"/>
      <c r="FD1252"/>
      <c r="FE1252"/>
      <c r="FF1252"/>
      <c r="FG1252"/>
      <c r="FH1252"/>
      <c r="FI1252"/>
      <c r="FJ1252"/>
      <c r="FK1252"/>
      <c r="FL1252"/>
      <c r="FM1252"/>
      <c r="FN1252"/>
      <c r="FO1252"/>
      <c r="FP1252"/>
      <c r="FQ1252"/>
      <c r="FR1252"/>
      <c r="FS1252"/>
      <c r="FT1252"/>
      <c r="FU1252"/>
      <c r="FV1252"/>
      <c r="FW1252"/>
      <c r="FX1252"/>
      <c r="FY1252"/>
      <c r="FZ1252"/>
      <c r="GA1252"/>
      <c r="GB1252"/>
      <c r="GC1252"/>
      <c r="GD1252"/>
      <c r="GE1252"/>
      <c r="GF1252"/>
      <c r="GG1252"/>
      <c r="GH1252"/>
      <c r="GI1252"/>
      <c r="GJ1252"/>
      <c r="GK1252"/>
      <c r="GL1252"/>
      <c r="GM1252"/>
      <c r="GN1252"/>
      <c r="GO1252"/>
      <c r="GP1252"/>
      <c r="GQ1252"/>
      <c r="GR1252"/>
      <c r="GS1252"/>
      <c r="GT1252"/>
      <c r="GU1252"/>
      <c r="GV1252"/>
      <c r="GW1252"/>
      <c r="GX1252"/>
      <c r="GY1252"/>
      <c r="GZ1252"/>
      <c r="HA1252"/>
      <c r="HB1252"/>
      <c r="HC1252"/>
      <c r="HD1252"/>
      <c r="HE1252"/>
      <c r="HF1252"/>
      <c r="HG1252"/>
      <c r="HH1252"/>
      <c r="HI1252"/>
      <c r="HJ1252"/>
      <c r="HK1252"/>
      <c r="HL1252"/>
      <c r="HM1252"/>
      <c r="HN1252"/>
      <c r="HO1252"/>
      <c r="HP1252"/>
      <c r="HQ1252"/>
      <c r="HR1252"/>
      <c r="HS1252"/>
      <c r="HT1252"/>
      <c r="HU1252"/>
      <c r="HV1252"/>
      <c r="HW1252"/>
      <c r="HX1252"/>
      <c r="HY1252"/>
      <c r="HZ1252"/>
      <c r="IA1252"/>
      <c r="IB1252"/>
      <c r="IC1252"/>
      <c r="ID1252"/>
      <c r="IE1252"/>
      <c r="IF1252"/>
      <c r="IG1252"/>
      <c r="IH1252"/>
      <c r="II1252"/>
      <c r="IJ1252"/>
      <c r="IK1252"/>
      <c r="IL1252"/>
      <c r="IM1252"/>
      <c r="IN1252"/>
      <c r="IO1252"/>
      <c r="IP1252"/>
      <c r="IQ1252"/>
      <c r="IR1252"/>
      <c r="IS1252"/>
      <c r="IT1252"/>
      <c r="IU1252"/>
      <c r="IV1252"/>
    </row>
    <row r="1253" ht="15.75" customHeight="1">
      <c r="A1253" s="766" t="s">
        <v>1779</v>
      </c>
      <c r="B1253" s="767"/>
      <c r="C1253" s="767"/>
      <c r="D1253" s="767"/>
      <c r="E1253" s="666"/>
      <c r="F1253" s="763" t="n">
        <f aca="false">E1253/$E$1304</f>
        <v>0</v>
      </c>
      <c r="G1253" s="775"/>
      <c r="H1253"/>
      <c r="I1253" s="773"/>
      <c r="J1253" s="774"/>
      <c r="K1253" s="634"/>
      <c r="L1253" s="1069"/>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c r="EK1253"/>
      <c r="EL1253"/>
      <c r="EM1253"/>
      <c r="EN1253"/>
      <c r="EO1253"/>
      <c r="EP1253"/>
      <c r="EQ1253"/>
      <c r="ER1253"/>
      <c r="ES1253"/>
      <c r="ET1253"/>
      <c r="EU1253"/>
      <c r="EV1253"/>
      <c r="EW1253"/>
      <c r="EX1253"/>
      <c r="EY1253"/>
      <c r="EZ1253"/>
      <c r="FA1253"/>
      <c r="FB1253"/>
      <c r="FC1253"/>
      <c r="FD1253"/>
      <c r="FE1253"/>
      <c r="FF1253"/>
      <c r="FG1253"/>
      <c r="FH1253"/>
      <c r="FI1253"/>
      <c r="FJ1253"/>
      <c r="FK1253"/>
      <c r="FL1253"/>
      <c r="FM1253"/>
      <c r="FN1253"/>
      <c r="FO1253"/>
      <c r="FP1253"/>
      <c r="FQ1253"/>
      <c r="FR1253"/>
      <c r="FS1253"/>
      <c r="FT1253"/>
      <c r="FU1253"/>
      <c r="FV1253"/>
      <c r="FW1253"/>
      <c r="FX1253"/>
      <c r="FY1253"/>
      <c r="FZ1253"/>
      <c r="GA1253"/>
      <c r="GB1253"/>
      <c r="GC1253"/>
      <c r="GD1253"/>
      <c r="GE1253"/>
      <c r="GF1253"/>
      <c r="GG1253"/>
      <c r="GH1253"/>
      <c r="GI1253"/>
      <c r="GJ1253"/>
      <c r="GK1253"/>
      <c r="GL1253"/>
      <c r="GM1253"/>
      <c r="GN1253"/>
      <c r="GO1253"/>
      <c r="GP1253"/>
      <c r="GQ1253"/>
      <c r="GR1253"/>
      <c r="GS1253"/>
      <c r="GT1253"/>
      <c r="GU1253"/>
      <c r="GV1253"/>
      <c r="GW1253"/>
      <c r="GX1253"/>
      <c r="GY1253"/>
      <c r="GZ1253"/>
      <c r="HA1253"/>
      <c r="HB1253"/>
      <c r="HC1253"/>
      <c r="HD1253"/>
      <c r="HE1253"/>
      <c r="HF1253"/>
      <c r="HG1253"/>
      <c r="HH1253"/>
      <c r="HI1253"/>
      <c r="HJ1253"/>
      <c r="HK1253"/>
      <c r="HL1253"/>
      <c r="HM1253"/>
      <c r="HN1253"/>
      <c r="HO1253"/>
      <c r="HP1253"/>
      <c r="HQ1253"/>
      <c r="HR1253"/>
      <c r="HS1253"/>
      <c r="HT1253"/>
      <c r="HU1253"/>
      <c r="HV1253"/>
      <c r="HW1253"/>
      <c r="HX1253"/>
      <c r="HY1253"/>
      <c r="HZ1253"/>
      <c r="IA1253"/>
      <c r="IB1253"/>
      <c r="IC1253"/>
      <c r="ID1253"/>
      <c r="IE1253"/>
      <c r="IF1253"/>
      <c r="IG1253"/>
      <c r="IH1253"/>
      <c r="II1253"/>
      <c r="IJ1253"/>
      <c r="IK1253"/>
      <c r="IL1253"/>
      <c r="IM1253"/>
      <c r="IN1253"/>
      <c r="IO1253"/>
      <c r="IP1253"/>
      <c r="IQ1253"/>
      <c r="IR1253"/>
      <c r="IS1253"/>
      <c r="IT1253"/>
      <c r="IU1253"/>
      <c r="IV1253"/>
    </row>
    <row r="1254" ht="15.75" customHeight="1">
      <c r="A1254" s="766" t="s">
        <v>1779</v>
      </c>
      <c r="B1254" s="767"/>
      <c r="C1254" s="767"/>
      <c r="D1254" s="767"/>
      <c r="E1254" s="666"/>
      <c r="F1254" s="763" t="n">
        <f aca="false">E1254/$E$1304</f>
        <v>0</v>
      </c>
      <c r="G1254" s="775"/>
      <c r="H1254"/>
      <c r="I1254" s="773"/>
      <c r="J1254" s="774"/>
      <c r="K1254" s="634"/>
      <c r="L1254" s="1069"/>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c r="GE1254"/>
      <c r="GF1254"/>
      <c r="GG1254"/>
      <c r="GH1254"/>
      <c r="GI1254"/>
      <c r="GJ1254"/>
      <c r="GK1254"/>
      <c r="GL1254"/>
      <c r="GM1254"/>
      <c r="GN1254"/>
      <c r="GO1254"/>
      <c r="GP1254"/>
      <c r="GQ1254"/>
      <c r="GR1254"/>
      <c r="GS1254"/>
      <c r="GT1254"/>
      <c r="GU1254"/>
      <c r="GV1254"/>
      <c r="GW1254"/>
      <c r="GX1254"/>
      <c r="GY1254"/>
      <c r="GZ1254"/>
      <c r="HA1254"/>
      <c r="HB1254"/>
      <c r="HC1254"/>
      <c r="HD1254"/>
      <c r="HE1254"/>
      <c r="HF1254"/>
      <c r="HG1254"/>
      <c r="HH1254"/>
      <c r="HI1254"/>
      <c r="HJ1254"/>
      <c r="HK1254"/>
      <c r="HL1254"/>
      <c r="HM1254"/>
      <c r="HN1254"/>
      <c r="HO1254"/>
      <c r="HP1254"/>
      <c r="HQ1254"/>
      <c r="HR1254"/>
      <c r="HS1254"/>
      <c r="HT1254"/>
      <c r="HU1254"/>
      <c r="HV1254"/>
      <c r="HW1254"/>
      <c r="HX1254"/>
      <c r="HY1254"/>
      <c r="HZ1254"/>
      <c r="IA1254"/>
      <c r="IB1254"/>
      <c r="IC1254"/>
      <c r="ID1254"/>
      <c r="IE1254"/>
      <c r="IF1254"/>
      <c r="IG1254"/>
      <c r="IH1254"/>
      <c r="II1254"/>
      <c r="IJ1254"/>
      <c r="IK1254"/>
      <c r="IL1254"/>
      <c r="IM1254"/>
      <c r="IN1254"/>
      <c r="IO1254"/>
      <c r="IP1254"/>
      <c r="IQ1254"/>
      <c r="IR1254"/>
      <c r="IS1254"/>
      <c r="IT1254"/>
      <c r="IU1254"/>
      <c r="IV1254"/>
    </row>
    <row r="1255" ht="15.75" customHeight="1">
      <c r="A1255" s="766" t="s">
        <v>1779</v>
      </c>
      <c r="B1255" s="776"/>
      <c r="C1255" s="776"/>
      <c r="D1255" s="776"/>
      <c r="E1255" s="777"/>
      <c r="F1255" s="778" t="n">
        <f aca="false">E1255/$E$1304</f>
        <v>0</v>
      </c>
      <c r="G1255" s="775"/>
      <c r="H1255"/>
      <c r="I1255" s="773"/>
      <c r="J1255" s="774"/>
      <c r="K1255" s="634"/>
      <c r="L1255" s="1069"/>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c r="GE1255"/>
      <c r="GF1255"/>
      <c r="GG1255"/>
      <c r="GH1255"/>
      <c r="GI1255"/>
      <c r="GJ1255"/>
      <c r="GK1255"/>
      <c r="GL1255"/>
      <c r="GM1255"/>
      <c r="GN1255"/>
      <c r="GO1255"/>
      <c r="GP1255"/>
      <c r="GQ1255"/>
      <c r="GR1255"/>
      <c r="GS1255"/>
      <c r="GT1255"/>
      <c r="GU1255"/>
      <c r="GV1255"/>
      <c r="GW1255"/>
      <c r="GX1255"/>
      <c r="GY1255"/>
      <c r="GZ1255"/>
      <c r="HA1255"/>
      <c r="HB1255"/>
      <c r="HC1255"/>
      <c r="HD1255"/>
      <c r="HE1255"/>
      <c r="HF1255"/>
      <c r="HG1255"/>
      <c r="HH1255"/>
      <c r="HI1255"/>
      <c r="HJ1255"/>
      <c r="HK1255"/>
      <c r="HL1255"/>
      <c r="HM1255"/>
      <c r="HN1255"/>
      <c r="HO1255"/>
      <c r="HP1255"/>
      <c r="HQ1255"/>
      <c r="HR1255"/>
      <c r="HS1255"/>
      <c r="HT1255"/>
      <c r="HU1255"/>
      <c r="HV1255"/>
      <c r="HW1255"/>
      <c r="HX1255"/>
      <c r="HY1255"/>
      <c r="HZ1255"/>
      <c r="IA1255"/>
      <c r="IB1255"/>
      <c r="IC1255"/>
      <c r="ID1255"/>
      <c r="IE1255"/>
      <c r="IF1255"/>
      <c r="IG1255"/>
      <c r="IH1255"/>
      <c r="II1255"/>
      <c r="IJ1255"/>
      <c r="IK1255"/>
      <c r="IL1255"/>
      <c r="IM1255"/>
      <c r="IN1255"/>
      <c r="IO1255"/>
      <c r="IP1255"/>
      <c r="IQ1255"/>
      <c r="IR1255"/>
      <c r="IS1255"/>
      <c r="IT1255"/>
      <c r="IU1255"/>
      <c r="IV1255"/>
    </row>
    <row r="1256" ht="15.75" customHeight="1">
      <c r="A1256" s="760" t="s">
        <v>910</v>
      </c>
      <c r="B1256" s="761"/>
      <c r="C1256" s="761"/>
      <c r="D1256" s="761"/>
      <c r="E1256" s="762" t="n">
        <f aca="false">SUM(E1257:E1260)</f>
        <v>0</v>
      </c>
      <c r="F1256" s="763"/>
      <c r="G1256" s="764"/>
      <c r="I1256" s="773"/>
      <c r="J1256" s="774"/>
      <c r="K1256" s="765"/>
      <c r="L1256" s="756"/>
    </row>
    <row r="1257" ht="15" customHeight="1">
      <c r="A1257" s="766" t="s">
        <v>911</v>
      </c>
      <c r="B1257" s="767"/>
      <c r="C1257" s="767"/>
      <c r="D1257" s="767"/>
      <c r="E1257" s="585"/>
      <c r="F1257" s="763" t="n">
        <f aca="false">E1257/$E$1304</f>
        <v>0</v>
      </c>
      <c r="G1257" s="775"/>
      <c r="H1257"/>
      <c r="I1257" s="584"/>
      <c r="J1257"/>
      <c r="K1257" s="765"/>
      <c r="L1257" s="756"/>
      <c r="M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c r="GE1257"/>
      <c r="GF1257"/>
      <c r="GG1257"/>
      <c r="GH1257"/>
      <c r="GI1257"/>
      <c r="GJ1257"/>
      <c r="GK1257"/>
      <c r="GL1257"/>
      <c r="GM1257"/>
      <c r="GN1257"/>
      <c r="GO1257"/>
      <c r="GP1257"/>
      <c r="GQ1257"/>
      <c r="GR1257"/>
      <c r="GS1257"/>
      <c r="GT1257"/>
      <c r="GU1257"/>
      <c r="GV1257"/>
      <c r="GW1257"/>
      <c r="GX1257"/>
      <c r="GY1257"/>
      <c r="GZ1257"/>
      <c r="HA1257"/>
      <c r="HB1257"/>
      <c r="HC1257"/>
      <c r="HD1257"/>
      <c r="HE1257"/>
      <c r="HF1257"/>
      <c r="HG1257"/>
      <c r="HH1257"/>
      <c r="HI1257"/>
      <c r="HJ1257"/>
      <c r="HK1257"/>
      <c r="HL1257"/>
      <c r="HM1257"/>
      <c r="HN1257"/>
      <c r="HO1257"/>
      <c r="HP1257"/>
      <c r="HQ1257"/>
      <c r="HR1257"/>
      <c r="HS1257"/>
      <c r="HT1257"/>
      <c r="HU1257"/>
      <c r="HV1257"/>
      <c r="HW1257"/>
      <c r="HX1257"/>
      <c r="HY1257"/>
      <c r="HZ1257"/>
      <c r="IA1257"/>
      <c r="IB1257"/>
      <c r="IC1257"/>
      <c r="ID1257"/>
      <c r="IE1257"/>
      <c r="IF1257"/>
      <c r="IG1257"/>
      <c r="IH1257"/>
      <c r="II1257"/>
      <c r="IJ1257"/>
      <c r="IK1257"/>
      <c r="IL1257"/>
      <c r="IM1257"/>
      <c r="IN1257"/>
      <c r="IO1257"/>
      <c r="IP1257"/>
      <c r="IQ1257"/>
      <c r="IR1257"/>
      <c r="IS1257"/>
      <c r="IT1257"/>
      <c r="IU1257"/>
      <c r="IV1257"/>
    </row>
    <row r="1258" ht="15" customHeight="1">
      <c r="A1258" s="766" t="s">
        <v>912</v>
      </c>
      <c r="B1258" s="767"/>
      <c r="C1258" s="767"/>
      <c r="D1258" s="767"/>
      <c r="E1258" s="585"/>
      <c r="F1258" s="763" t="n">
        <f aca="false">E1258/$E$1304</f>
        <v>0</v>
      </c>
      <c r="G1258" s="775"/>
      <c r="I1258" s="584"/>
      <c r="J1258"/>
      <c r="K1258" s="765"/>
      <c r="L1258" s="756"/>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c r="EK1258"/>
      <c r="EL1258"/>
      <c r="EM1258"/>
      <c r="EN1258"/>
      <c r="EO1258"/>
      <c r="EP1258"/>
      <c r="EQ1258"/>
      <c r="ER1258"/>
      <c r="ES1258"/>
      <c r="ET1258"/>
      <c r="EU1258"/>
      <c r="EV1258"/>
      <c r="EW1258"/>
      <c r="EX1258"/>
      <c r="EY1258"/>
      <c r="EZ1258"/>
      <c r="FA1258"/>
      <c r="FB1258"/>
      <c r="FC1258"/>
      <c r="FD1258"/>
      <c r="FE1258"/>
      <c r="FF1258"/>
      <c r="FG1258"/>
      <c r="FH1258"/>
      <c r="FI1258"/>
      <c r="FJ1258"/>
      <c r="FK1258"/>
      <c r="FL1258"/>
      <c r="FM1258"/>
      <c r="FN1258"/>
      <c r="FO1258"/>
      <c r="FP1258"/>
      <c r="FQ1258"/>
      <c r="FR1258"/>
      <c r="FS1258"/>
      <c r="FT1258"/>
      <c r="FU1258"/>
      <c r="FV1258"/>
      <c r="FW1258"/>
      <c r="FX1258"/>
      <c r="FY1258"/>
      <c r="FZ1258"/>
      <c r="GA1258"/>
      <c r="GB1258"/>
      <c r="GC1258"/>
      <c r="GD1258"/>
      <c r="GE1258"/>
      <c r="GF1258"/>
      <c r="GG1258"/>
      <c r="GH1258"/>
      <c r="GI1258"/>
      <c r="GJ1258"/>
      <c r="GK1258"/>
      <c r="GL1258"/>
      <c r="GM1258"/>
      <c r="GN1258"/>
      <c r="GO1258"/>
      <c r="GP1258"/>
      <c r="GQ1258"/>
      <c r="GR1258"/>
      <c r="GS1258"/>
      <c r="GT1258"/>
      <c r="GU1258"/>
      <c r="GV1258"/>
      <c r="GW1258"/>
      <c r="GX1258"/>
      <c r="GY1258"/>
      <c r="GZ1258"/>
      <c r="HA1258"/>
      <c r="HB1258"/>
      <c r="HC1258"/>
      <c r="HD1258"/>
      <c r="HE1258"/>
      <c r="HF1258"/>
      <c r="HG1258"/>
      <c r="HH1258"/>
      <c r="HI1258"/>
      <c r="HJ1258"/>
      <c r="HK1258"/>
      <c r="HL1258"/>
      <c r="HM1258"/>
      <c r="HN1258"/>
      <c r="HO1258"/>
      <c r="HP1258"/>
      <c r="HQ1258"/>
      <c r="HR1258"/>
      <c r="HS1258"/>
      <c r="HT1258"/>
      <c r="HU1258"/>
      <c r="HV1258"/>
      <c r="HW1258"/>
      <c r="HX1258"/>
      <c r="HY1258"/>
      <c r="HZ1258"/>
      <c r="IA1258"/>
      <c r="IB1258"/>
      <c r="IC1258"/>
      <c r="ID1258"/>
      <c r="IE1258"/>
      <c r="IF1258"/>
      <c r="IG1258"/>
      <c r="IH1258"/>
      <c r="II1258"/>
      <c r="IJ1258"/>
      <c r="IK1258"/>
      <c r="IL1258"/>
      <c r="IM1258"/>
      <c r="IN1258"/>
      <c r="IO1258"/>
      <c r="IP1258"/>
      <c r="IQ1258"/>
      <c r="IR1258"/>
      <c r="IS1258"/>
      <c r="IT1258"/>
      <c r="IU1258"/>
      <c r="IV1258"/>
    </row>
    <row r="1259" ht="15" customHeight="1">
      <c r="A1259" s="766" t="s">
        <v>913</v>
      </c>
      <c r="B1259" s="767"/>
      <c r="C1259" s="767"/>
      <c r="D1259" s="767"/>
      <c r="E1259" s="585"/>
      <c r="F1259" s="763" t="n">
        <f aca="false">E1259/$E$1304</f>
        <v>0</v>
      </c>
      <c r="G1259" s="775"/>
      <c r="I1259" s="584"/>
      <c r="J1259"/>
      <c r="K1259" s="765"/>
      <c r="L1259" s="756"/>
    </row>
    <row r="1260" ht="15.75" customHeight="1">
      <c r="A1260" s="779" t="s">
        <v>1780</v>
      </c>
      <c r="B1260" s="776"/>
      <c r="C1260" s="776"/>
      <c r="D1260" s="776"/>
      <c r="E1260" s="469"/>
      <c r="F1260" s="778" t="n">
        <f aca="false">E1260/$E$1304</f>
        <v>0</v>
      </c>
      <c r="G1260" s="775"/>
      <c r="I1260" s="584"/>
      <c r="J1260"/>
      <c r="K1260" s="765"/>
      <c r="L1260" s="756"/>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c r="GH1260"/>
      <c r="GI1260"/>
      <c r="GJ1260"/>
      <c r="GK1260"/>
      <c r="GL1260"/>
      <c r="GM1260"/>
      <c r="GN1260"/>
      <c r="GO1260"/>
      <c r="GP1260"/>
      <c r="GQ1260"/>
      <c r="GR1260"/>
      <c r="GS1260"/>
      <c r="GT1260"/>
      <c r="GU1260"/>
      <c r="GV1260"/>
      <c r="GW1260"/>
      <c r="GX1260"/>
      <c r="GY1260"/>
      <c r="GZ1260"/>
      <c r="HA1260"/>
      <c r="HB1260"/>
      <c r="HC1260"/>
      <c r="HD1260"/>
      <c r="HE1260"/>
      <c r="HF1260"/>
      <c r="HG1260"/>
      <c r="HH1260"/>
      <c r="HI1260"/>
      <c r="HJ1260"/>
      <c r="HK1260"/>
      <c r="HL1260"/>
      <c r="HM1260"/>
      <c r="HN1260"/>
      <c r="HO1260"/>
      <c r="HP1260"/>
      <c r="HQ1260"/>
      <c r="HR1260"/>
      <c r="HS1260"/>
      <c r="HT1260"/>
      <c r="HU1260"/>
      <c r="HV1260"/>
      <c r="HW1260"/>
      <c r="HX1260"/>
      <c r="HY1260"/>
      <c r="HZ1260"/>
      <c r="IA1260"/>
      <c r="IB1260"/>
      <c r="IC1260"/>
      <c r="ID1260"/>
      <c r="IE1260"/>
      <c r="IF1260"/>
      <c r="IG1260"/>
      <c r="IH1260"/>
      <c r="II1260"/>
      <c r="IJ1260"/>
      <c r="IK1260"/>
      <c r="IL1260"/>
      <c r="IM1260"/>
      <c r="IN1260"/>
      <c r="IO1260"/>
      <c r="IP1260"/>
      <c r="IQ1260"/>
      <c r="IR1260"/>
      <c r="IS1260"/>
      <c r="IT1260"/>
      <c r="IU1260"/>
      <c r="IV1260"/>
    </row>
    <row r="1261" ht="15.75" customHeight="1">
      <c r="A1261" s="760" t="s">
        <v>914</v>
      </c>
      <c r="B1261" s="761"/>
      <c r="C1261" s="761"/>
      <c r="D1261" s="761"/>
      <c r="E1261" s="762" t="n">
        <f aca="false">SUM(E1262:E1265)</f>
        <v>0</v>
      </c>
      <c r="F1261" s="763"/>
      <c r="G1261" s="764"/>
      <c r="H1261"/>
      <c r="I1261" s="780" t="s">
        <v>1781</v>
      </c>
      <c r="J1261" s="781" t="n">
        <f aca="false">IF(E1304=0,"ABSENCE DE DONNEES",COUNTIF(F1246:F1303,"&gt;=20%"))</f>
        <v>2</v>
      </c>
      <c r="K1261" s="765"/>
      <c r="L1261" s="756"/>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c r="GE1261"/>
      <c r="GF1261"/>
      <c r="GG1261"/>
      <c r="GH1261"/>
      <c r="GI1261"/>
      <c r="GJ1261"/>
      <c r="GK1261"/>
      <c r="GL1261"/>
      <c r="GM1261"/>
      <c r="GN1261"/>
      <c r="GO1261"/>
      <c r="GP1261"/>
      <c r="GQ1261"/>
      <c r="GR1261"/>
      <c r="GS1261"/>
      <c r="GT1261"/>
      <c r="GU1261"/>
      <c r="GV1261"/>
      <c r="GW1261"/>
      <c r="GX1261"/>
      <c r="GY1261"/>
      <c r="GZ1261"/>
      <c r="HA1261"/>
      <c r="HB1261"/>
      <c r="HC1261"/>
      <c r="HD1261"/>
      <c r="HE1261"/>
      <c r="HF1261"/>
      <c r="HG1261"/>
      <c r="HH1261"/>
      <c r="HI1261"/>
      <c r="HJ1261"/>
      <c r="HK1261"/>
      <c r="HL1261"/>
      <c r="HM1261"/>
      <c r="HN1261"/>
      <c r="HO1261"/>
      <c r="HP1261"/>
      <c r="HQ1261"/>
      <c r="HR1261"/>
      <c r="HS1261"/>
      <c r="HT1261"/>
      <c r="HU1261"/>
      <c r="HV1261"/>
      <c r="HW1261"/>
      <c r="HX1261"/>
      <c r="HY1261"/>
      <c r="HZ1261"/>
      <c r="IA1261"/>
      <c r="IB1261"/>
      <c r="IC1261"/>
      <c r="ID1261"/>
      <c r="IE1261"/>
      <c r="IF1261"/>
      <c r="IG1261"/>
      <c r="IH1261"/>
      <c r="II1261"/>
      <c r="IJ1261"/>
      <c r="IK1261"/>
      <c r="IL1261"/>
      <c r="IM1261"/>
      <c r="IN1261"/>
      <c r="IO1261"/>
      <c r="IP1261"/>
      <c r="IQ1261"/>
      <c r="IR1261"/>
      <c r="IS1261"/>
      <c r="IT1261"/>
      <c r="IU1261"/>
      <c r="IV1261"/>
    </row>
    <row r="1262" ht="15" customHeight="1">
      <c r="A1262" s="766" t="s">
        <v>915</v>
      </c>
      <c r="B1262" s="767"/>
      <c r="C1262" s="767"/>
      <c r="D1262" s="767"/>
      <c r="E1262" s="585"/>
      <c r="F1262" s="763" t="n">
        <f aca="false">E1262/$E$1304</f>
        <v>0</v>
      </c>
      <c r="G1262" s="768"/>
      <c r="I1262" s="780"/>
      <c r="J1262" s="781"/>
      <c r="K1262" s="765"/>
      <c r="L1262" s="756"/>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c r="EQ1262"/>
      <c r="ER1262"/>
      <c r="ES1262"/>
      <c r="ET1262"/>
      <c r="EU1262"/>
      <c r="EV1262"/>
      <c r="EW1262"/>
      <c r="EX1262"/>
      <c r="EY1262"/>
      <c r="EZ1262"/>
      <c r="FA1262"/>
      <c r="FB1262"/>
      <c r="FC1262"/>
      <c r="FD1262"/>
      <c r="FE1262"/>
      <c r="FF1262"/>
      <c r="FG1262"/>
      <c r="FH1262"/>
      <c r="FI1262"/>
      <c r="FJ1262"/>
      <c r="FK1262"/>
      <c r="FL1262"/>
      <c r="FM1262"/>
      <c r="FN1262"/>
      <c r="FO1262"/>
      <c r="FP1262"/>
      <c r="FQ1262"/>
      <c r="FR1262"/>
      <c r="FS1262"/>
      <c r="FT1262"/>
      <c r="FU1262"/>
      <c r="FV1262"/>
      <c r="FW1262"/>
      <c r="FX1262"/>
      <c r="FY1262"/>
      <c r="FZ1262"/>
      <c r="GA1262"/>
      <c r="GB1262"/>
      <c r="GC1262"/>
      <c r="GD1262"/>
      <c r="GE1262"/>
      <c r="GF1262"/>
      <c r="GG1262"/>
      <c r="GH1262"/>
      <c r="GI1262"/>
      <c r="GJ1262"/>
      <c r="GK1262"/>
      <c r="GL1262"/>
      <c r="GM1262"/>
      <c r="GN1262"/>
      <c r="GO1262"/>
      <c r="GP1262"/>
      <c r="GQ1262"/>
      <c r="GR1262"/>
      <c r="GS1262"/>
      <c r="GT1262"/>
      <c r="GU1262"/>
      <c r="GV1262"/>
      <c r="GW1262"/>
      <c r="GX1262"/>
      <c r="GY1262"/>
      <c r="GZ1262"/>
      <c r="HA1262"/>
      <c r="HB1262"/>
      <c r="HC1262"/>
      <c r="HD1262"/>
      <c r="HE1262"/>
      <c r="HF1262"/>
      <c r="HG1262"/>
      <c r="HH1262"/>
      <c r="HI1262"/>
      <c r="HJ1262"/>
      <c r="HK1262"/>
      <c r="HL1262"/>
      <c r="HM1262"/>
      <c r="HN1262"/>
      <c r="HO1262"/>
      <c r="HP1262"/>
      <c r="HQ1262"/>
      <c r="HR1262"/>
      <c r="HS1262"/>
      <c r="HT1262"/>
      <c r="HU1262"/>
      <c r="HV1262"/>
      <c r="HW1262"/>
      <c r="HX1262"/>
      <c r="HY1262"/>
      <c r="HZ1262"/>
      <c r="IA1262"/>
      <c r="IB1262"/>
      <c r="IC1262"/>
      <c r="ID1262"/>
      <c r="IE1262"/>
      <c r="IF1262"/>
      <c r="IG1262"/>
      <c r="IH1262"/>
      <c r="II1262"/>
      <c r="IJ1262"/>
      <c r="IK1262"/>
      <c r="IL1262"/>
      <c r="IM1262"/>
      <c r="IN1262"/>
      <c r="IO1262"/>
      <c r="IP1262"/>
      <c r="IQ1262"/>
      <c r="IR1262"/>
      <c r="IS1262"/>
      <c r="IT1262"/>
      <c r="IU1262"/>
      <c r="IV1262"/>
    </row>
    <row r="1263" ht="15" customHeight="1">
      <c r="A1263" s="766" t="s">
        <v>916</v>
      </c>
      <c r="B1263" s="767"/>
      <c r="C1263" s="767"/>
      <c r="D1263" s="767"/>
      <c r="E1263" s="585"/>
      <c r="F1263" s="763" t="n">
        <f aca="false">E1263/$E$1304</f>
        <v>0</v>
      </c>
      <c r="G1263" s="769"/>
      <c r="I1263" s="780"/>
      <c r="J1263" s="781"/>
      <c r="K1263" s="765"/>
      <c r="L1263" s="756"/>
      <c r="M1263" s="44"/>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c r="EK1263"/>
      <c r="EL1263"/>
      <c r="EM1263"/>
      <c r="EN1263"/>
      <c r="EO1263"/>
      <c r="EP1263"/>
      <c r="EQ1263"/>
      <c r="ER1263"/>
      <c r="ES1263"/>
      <c r="ET1263"/>
      <c r="EU1263"/>
      <c r="EV1263"/>
      <c r="EW1263"/>
      <c r="EX1263"/>
      <c r="EY1263"/>
      <c r="EZ1263"/>
      <c r="FA1263"/>
      <c r="FB1263"/>
      <c r="FC1263"/>
      <c r="FD1263"/>
      <c r="FE1263"/>
      <c r="FF1263"/>
      <c r="FG1263"/>
      <c r="FH1263"/>
      <c r="FI1263"/>
      <c r="FJ1263"/>
      <c r="FK1263"/>
      <c r="FL1263"/>
      <c r="FM1263"/>
      <c r="FN1263"/>
      <c r="FO1263"/>
      <c r="FP1263"/>
      <c r="FQ1263"/>
      <c r="FR1263"/>
      <c r="FS1263"/>
      <c r="FT1263"/>
      <c r="FU1263"/>
      <c r="FV1263"/>
      <c r="FW1263"/>
      <c r="FX1263"/>
      <c r="FY1263"/>
      <c r="FZ1263"/>
      <c r="GA1263"/>
      <c r="GB1263"/>
      <c r="GC1263"/>
      <c r="GD1263"/>
      <c r="GE1263"/>
      <c r="GF1263"/>
      <c r="GG1263"/>
      <c r="GH1263"/>
      <c r="GI1263"/>
      <c r="GJ1263"/>
      <c r="GK1263"/>
      <c r="GL1263"/>
      <c r="GM1263"/>
      <c r="GN1263"/>
      <c r="GO1263"/>
      <c r="GP1263"/>
      <c r="GQ1263"/>
      <c r="GR1263"/>
      <c r="GS1263"/>
      <c r="GT1263"/>
      <c r="GU1263"/>
      <c r="GV1263"/>
      <c r="GW1263"/>
      <c r="GX1263"/>
      <c r="GY1263"/>
      <c r="GZ1263"/>
      <c r="HA1263"/>
      <c r="HB1263"/>
      <c r="HC1263"/>
      <c r="HD1263"/>
      <c r="HE1263"/>
      <c r="HF1263"/>
      <c r="HG1263"/>
      <c r="HH1263"/>
      <c r="HI1263"/>
      <c r="HJ1263"/>
      <c r="HK1263"/>
      <c r="HL1263"/>
      <c r="HM1263"/>
      <c r="HN1263"/>
      <c r="HO1263"/>
      <c r="HP1263"/>
      <c r="HQ1263"/>
      <c r="HR1263"/>
      <c r="HS1263"/>
      <c r="HT1263"/>
      <c r="HU1263"/>
      <c r="HV1263"/>
      <c r="HW1263"/>
      <c r="HX1263"/>
      <c r="HY1263"/>
      <c r="HZ1263"/>
      <c r="IA1263"/>
      <c r="IB1263"/>
      <c r="IC1263"/>
      <c r="ID1263"/>
      <c r="IE1263"/>
      <c r="IF1263"/>
      <c r="IG1263"/>
      <c r="IH1263"/>
      <c r="II1263"/>
      <c r="IJ1263"/>
      <c r="IK1263"/>
      <c r="IL1263"/>
      <c r="IM1263"/>
      <c r="IN1263"/>
      <c r="IO1263"/>
      <c r="IP1263"/>
      <c r="IQ1263"/>
      <c r="IR1263"/>
      <c r="IS1263"/>
      <c r="IT1263"/>
      <c r="IU1263"/>
      <c r="IV1263"/>
    </row>
    <row r="1264" ht="15" customHeight="1">
      <c r="A1264" s="766" t="s">
        <v>917</v>
      </c>
      <c r="B1264" s="767"/>
      <c r="C1264" s="767"/>
      <c r="D1264" s="767"/>
      <c r="E1264" s="585"/>
      <c r="F1264" s="763" t="n">
        <f aca="false">E1264/$E$1304</f>
        <v>0</v>
      </c>
      <c r="G1264" s="769"/>
      <c r="I1264" s="780"/>
      <c r="J1264" s="781"/>
      <c r="K1264" s="765"/>
      <c r="L1264" s="756"/>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c r="GE1264"/>
      <c r="GF1264"/>
      <c r="GG1264"/>
      <c r="GH1264"/>
      <c r="GI1264"/>
      <c r="GJ1264"/>
      <c r="GK1264"/>
      <c r="GL1264"/>
      <c r="GM1264"/>
      <c r="GN1264"/>
      <c r="GO1264"/>
      <c r="GP1264"/>
      <c r="GQ1264"/>
      <c r="GR1264"/>
      <c r="GS1264"/>
      <c r="GT1264"/>
      <c r="GU1264"/>
      <c r="GV1264"/>
      <c r="GW1264"/>
      <c r="GX1264"/>
      <c r="GY1264"/>
      <c r="GZ1264"/>
      <c r="HA1264"/>
      <c r="HB1264"/>
      <c r="HC1264"/>
      <c r="HD1264"/>
      <c r="HE1264"/>
      <c r="HF1264"/>
      <c r="HG1264"/>
      <c r="HH1264"/>
      <c r="HI1264"/>
      <c r="HJ1264"/>
      <c r="HK1264"/>
      <c r="HL1264"/>
      <c r="HM1264"/>
      <c r="HN1264"/>
      <c r="HO1264"/>
      <c r="HP1264"/>
      <c r="HQ1264"/>
      <c r="HR1264"/>
      <c r="HS1264"/>
      <c r="HT1264"/>
      <c r="HU1264"/>
      <c r="HV1264"/>
      <c r="HW1264"/>
      <c r="HX1264"/>
      <c r="HY1264"/>
      <c r="HZ1264"/>
      <c r="IA1264"/>
      <c r="IB1264"/>
      <c r="IC1264"/>
      <c r="ID1264"/>
      <c r="IE1264"/>
      <c r="IF1264"/>
      <c r="IG1264"/>
      <c r="IH1264"/>
      <c r="II1264"/>
      <c r="IJ1264"/>
      <c r="IK1264"/>
      <c r="IL1264"/>
      <c r="IM1264"/>
      <c r="IN1264"/>
      <c r="IO1264"/>
      <c r="IP1264"/>
      <c r="IQ1264"/>
      <c r="IR1264"/>
      <c r="IS1264"/>
      <c r="IT1264"/>
      <c r="IU1264"/>
      <c r="IV1264"/>
    </row>
    <row r="1265" ht="15.75" customHeight="1">
      <c r="A1265" s="779" t="s">
        <v>1782</v>
      </c>
      <c r="B1265" s="776"/>
      <c r="C1265" s="776"/>
      <c r="D1265" s="776"/>
      <c r="E1265" s="469"/>
      <c r="F1265" s="778" t="n">
        <f aca="false">E1265/$E$1304</f>
        <v>0</v>
      </c>
      <c r="G1265" s="782"/>
      <c r="I1265" s="780"/>
      <c r="J1265" s="781"/>
      <c r="K1265" s="765"/>
      <c r="L1265" s="756"/>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c r="GE1265"/>
      <c r="GF1265"/>
      <c r="GG1265"/>
      <c r="GH1265"/>
      <c r="GI1265"/>
      <c r="GJ1265"/>
      <c r="GK1265"/>
      <c r="GL1265"/>
      <c r="GM1265"/>
      <c r="GN1265"/>
      <c r="GO1265"/>
      <c r="GP1265"/>
      <c r="GQ1265"/>
      <c r="GR1265"/>
      <c r="GS1265"/>
      <c r="GT1265"/>
      <c r="GU1265"/>
      <c r="GV1265"/>
      <c r="GW1265"/>
      <c r="GX1265"/>
      <c r="GY1265"/>
      <c r="GZ1265"/>
      <c r="HA1265"/>
      <c r="HB1265"/>
      <c r="HC1265"/>
      <c r="HD1265"/>
      <c r="HE1265"/>
      <c r="HF1265"/>
      <c r="HG1265"/>
      <c r="HH1265"/>
      <c r="HI1265"/>
      <c r="HJ1265"/>
      <c r="HK1265"/>
      <c r="HL1265"/>
      <c r="HM1265"/>
      <c r="HN1265"/>
      <c r="HO1265"/>
      <c r="HP1265"/>
      <c r="HQ1265"/>
      <c r="HR1265"/>
      <c r="HS1265"/>
      <c r="HT1265"/>
      <c r="HU1265"/>
      <c r="HV1265"/>
      <c r="HW1265"/>
      <c r="HX1265"/>
      <c r="HY1265"/>
      <c r="HZ1265"/>
      <c r="IA1265"/>
      <c r="IB1265"/>
      <c r="IC1265"/>
      <c r="ID1265"/>
      <c r="IE1265"/>
      <c r="IF1265"/>
      <c r="IG1265"/>
      <c r="IH1265"/>
      <c r="II1265"/>
      <c r="IJ1265"/>
      <c r="IK1265"/>
      <c r="IL1265"/>
      <c r="IM1265"/>
      <c r="IN1265"/>
      <c r="IO1265"/>
      <c r="IP1265"/>
      <c r="IQ1265"/>
      <c r="IR1265"/>
      <c r="IS1265"/>
      <c r="IT1265"/>
      <c r="IU1265"/>
      <c r="IV1265"/>
    </row>
    <row r="1266" ht="15.75" customHeight="1">
      <c r="A1266" s="760" t="s">
        <v>1783</v>
      </c>
      <c r="B1266" s="761"/>
      <c r="C1266" s="761"/>
      <c r="D1266" s="761"/>
      <c r="E1266" s="762" t="n">
        <f aca="false">SUM(E1267:E1274)</f>
        <v>0</v>
      </c>
      <c r="F1266" s="763"/>
      <c r="G1266" s="764"/>
      <c r="I1266" s="783"/>
      <c r="J1266" s="783"/>
      <c r="K1266" s="765"/>
      <c r="L1266" s="75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c r="EK1266"/>
      <c r="EL1266"/>
      <c r="EM1266"/>
      <c r="EN1266"/>
      <c r="EO1266"/>
      <c r="EP1266"/>
      <c r="EQ1266"/>
      <c r="ER1266"/>
      <c r="ES1266"/>
      <c r="ET1266"/>
      <c r="EU1266"/>
      <c r="EV1266"/>
      <c r="EW1266"/>
      <c r="EX1266"/>
      <c r="EY1266"/>
      <c r="EZ1266"/>
      <c r="FA1266"/>
      <c r="FB1266"/>
      <c r="FC1266"/>
      <c r="FD1266"/>
      <c r="FE1266"/>
      <c r="FF1266"/>
      <c r="FG1266"/>
      <c r="FH1266"/>
      <c r="FI1266"/>
      <c r="FJ1266"/>
      <c r="FK1266"/>
      <c r="FL1266"/>
      <c r="FM1266"/>
      <c r="FN1266"/>
      <c r="FO1266"/>
      <c r="FP1266"/>
      <c r="FQ1266"/>
      <c r="FR1266"/>
      <c r="FS1266"/>
      <c r="FT1266"/>
      <c r="FU1266"/>
      <c r="FV1266"/>
      <c r="FW1266"/>
      <c r="FX1266"/>
      <c r="FY1266"/>
      <c r="FZ1266"/>
      <c r="GA1266"/>
      <c r="GB1266"/>
      <c r="GC1266"/>
      <c r="GD1266"/>
      <c r="GE1266"/>
      <c r="GF1266"/>
      <c r="GG1266"/>
      <c r="GH1266"/>
      <c r="GI1266"/>
      <c r="GJ1266"/>
      <c r="GK1266"/>
      <c r="GL1266"/>
      <c r="GM1266"/>
      <c r="GN1266"/>
      <c r="GO1266"/>
      <c r="GP1266"/>
      <c r="GQ1266"/>
      <c r="GR1266"/>
      <c r="GS1266"/>
      <c r="GT1266"/>
      <c r="GU1266"/>
      <c r="GV1266"/>
      <c r="GW1266"/>
      <c r="GX1266"/>
      <c r="GY1266"/>
      <c r="GZ1266"/>
      <c r="HA1266"/>
      <c r="HB1266"/>
      <c r="HC1266"/>
      <c r="HD1266"/>
      <c r="HE1266"/>
      <c r="HF1266"/>
      <c r="HG1266"/>
      <c r="HH1266"/>
      <c r="HI1266"/>
      <c r="HJ1266"/>
      <c r="HK1266"/>
      <c r="HL1266"/>
      <c r="HM1266"/>
      <c r="HN1266"/>
      <c r="HO1266"/>
      <c r="HP1266"/>
      <c r="HQ1266"/>
      <c r="HR1266"/>
      <c r="HS1266"/>
      <c r="HT1266"/>
      <c r="HU1266"/>
      <c r="HV1266"/>
      <c r="HW1266"/>
      <c r="HX1266"/>
      <c r="HY1266"/>
      <c r="HZ1266"/>
      <c r="IA1266"/>
      <c r="IB1266"/>
      <c r="IC1266"/>
      <c r="ID1266"/>
      <c r="IE1266"/>
      <c r="IF1266"/>
      <c r="IG1266"/>
      <c r="IH1266"/>
      <c r="II1266"/>
      <c r="IJ1266"/>
      <c r="IK1266"/>
      <c r="IL1266"/>
      <c r="IM1266"/>
      <c r="IN1266"/>
      <c r="IO1266"/>
      <c r="IP1266"/>
      <c r="IQ1266"/>
      <c r="IR1266"/>
      <c r="IS1266"/>
      <c r="IT1266"/>
      <c r="IU1266"/>
      <c r="IV1266"/>
    </row>
    <row r="1267" ht="15.75" customHeight="1">
      <c r="A1267" s="766" t="s">
        <v>919</v>
      </c>
      <c r="B1267" s="767"/>
      <c r="C1267" s="767"/>
      <c r="D1267" s="767"/>
      <c r="E1267" s="585"/>
      <c r="F1267" s="763" t="n">
        <f aca="false">E1267/$E$1304</f>
        <v>0</v>
      </c>
      <c r="G1267" s="769"/>
      <c r="I1267" s="783"/>
      <c r="J1267" s="783"/>
      <c r="K1267" s="765"/>
      <c r="L1267" s="756"/>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c r="EK1267"/>
      <c r="EL1267"/>
      <c r="EM1267"/>
      <c r="EN1267"/>
      <c r="EO1267"/>
      <c r="EP1267"/>
      <c r="EQ1267"/>
      <c r="ER1267"/>
      <c r="ES1267"/>
      <c r="ET1267"/>
      <c r="EU1267"/>
      <c r="EV1267"/>
      <c r="EW1267"/>
      <c r="EX1267"/>
      <c r="EY1267"/>
      <c r="EZ1267"/>
      <c r="FA1267"/>
      <c r="FB1267"/>
      <c r="FC1267"/>
      <c r="FD1267"/>
      <c r="FE1267"/>
      <c r="FF1267"/>
      <c r="FG1267"/>
      <c r="FH1267"/>
      <c r="FI1267"/>
      <c r="FJ1267"/>
      <c r="FK1267"/>
      <c r="FL1267"/>
      <c r="FM1267"/>
      <c r="FN1267"/>
      <c r="FO1267"/>
      <c r="FP1267"/>
      <c r="FQ1267"/>
      <c r="FR1267"/>
      <c r="FS1267"/>
      <c r="FT1267"/>
      <c r="FU1267"/>
      <c r="FV1267"/>
      <c r="FW1267"/>
      <c r="FX1267"/>
      <c r="FY1267"/>
      <c r="FZ1267"/>
      <c r="GA1267"/>
      <c r="GB1267"/>
      <c r="GC1267"/>
      <c r="GD1267"/>
      <c r="GE1267"/>
      <c r="GF1267"/>
      <c r="GG1267"/>
      <c r="GH1267"/>
      <c r="GI1267"/>
      <c r="GJ1267"/>
      <c r="GK1267"/>
      <c r="GL1267"/>
      <c r="GM1267"/>
      <c r="GN1267"/>
      <c r="GO1267"/>
      <c r="GP1267"/>
      <c r="GQ1267"/>
      <c r="GR1267"/>
      <c r="GS1267"/>
      <c r="GT1267"/>
      <c r="GU1267"/>
      <c r="GV1267"/>
      <c r="GW1267"/>
      <c r="GX1267"/>
      <c r="GY1267"/>
      <c r="GZ1267"/>
      <c r="HA1267"/>
      <c r="HB1267"/>
      <c r="HC1267"/>
      <c r="HD1267"/>
      <c r="HE1267"/>
      <c r="HF1267"/>
      <c r="HG1267"/>
      <c r="HH1267"/>
      <c r="HI1267"/>
      <c r="HJ1267"/>
      <c r="HK1267"/>
      <c r="HL1267"/>
      <c r="HM1267"/>
      <c r="HN1267"/>
      <c r="HO1267"/>
      <c r="HP1267"/>
      <c r="HQ1267"/>
      <c r="HR1267"/>
      <c r="HS1267"/>
      <c r="HT1267"/>
      <c r="HU1267"/>
      <c r="HV1267"/>
      <c r="HW1267"/>
      <c r="HX1267"/>
      <c r="HY1267"/>
      <c r="HZ1267"/>
      <c r="IA1267"/>
      <c r="IB1267"/>
      <c r="IC1267"/>
      <c r="ID1267"/>
      <c r="IE1267"/>
      <c r="IF1267"/>
      <c r="IG1267"/>
      <c r="IH1267"/>
      <c r="II1267"/>
      <c r="IJ1267"/>
      <c r="IK1267"/>
      <c r="IL1267"/>
      <c r="IM1267"/>
      <c r="IN1267"/>
      <c r="IO1267"/>
      <c r="IP1267"/>
      <c r="IQ1267"/>
      <c r="IR1267"/>
      <c r="IS1267"/>
      <c r="IT1267"/>
      <c r="IU1267"/>
      <c r="IV1267"/>
    </row>
    <row r="1268" ht="15" customHeight="1">
      <c r="A1268" s="766" t="s">
        <v>920</v>
      </c>
      <c r="B1268" s="767"/>
      <c r="C1268" s="767"/>
      <c r="D1268" s="767"/>
      <c r="E1268" s="585"/>
      <c r="F1268" s="763" t="n">
        <f aca="false">E1268/$E$1304</f>
        <v>0</v>
      </c>
      <c r="G1268" s="769"/>
      <c r="I1268" s="380"/>
      <c r="J1268"/>
      <c r="K1268" s="765"/>
      <c r="L1268" s="756"/>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c r="EK1268"/>
      <c r="EL1268"/>
      <c r="EM1268"/>
      <c r="EN1268"/>
      <c r="EO1268"/>
      <c r="EP1268"/>
      <c r="EQ1268"/>
      <c r="ER1268"/>
      <c r="ES1268"/>
      <c r="ET1268"/>
      <c r="EU1268"/>
      <c r="EV1268"/>
      <c r="EW1268"/>
      <c r="EX1268"/>
      <c r="EY1268"/>
      <c r="EZ1268"/>
      <c r="FA1268"/>
      <c r="FB1268"/>
      <c r="FC1268"/>
      <c r="FD1268"/>
      <c r="FE1268"/>
      <c r="FF1268"/>
      <c r="FG1268"/>
      <c r="FH1268"/>
      <c r="FI1268"/>
      <c r="FJ1268"/>
      <c r="FK1268"/>
      <c r="FL1268"/>
      <c r="FM1268"/>
      <c r="FN1268"/>
      <c r="FO1268"/>
      <c r="FP1268"/>
      <c r="FQ1268"/>
      <c r="FR1268"/>
      <c r="FS1268"/>
      <c r="FT1268"/>
      <c r="FU1268"/>
      <c r="FV1268"/>
      <c r="FW1268"/>
      <c r="FX1268"/>
      <c r="FY1268"/>
      <c r="FZ1268"/>
      <c r="GA1268"/>
      <c r="GB1268"/>
      <c r="GC1268"/>
      <c r="GD1268"/>
      <c r="GE1268"/>
      <c r="GF1268"/>
      <c r="GG1268"/>
      <c r="GH1268"/>
      <c r="GI1268"/>
      <c r="GJ1268"/>
      <c r="GK1268"/>
      <c r="GL1268"/>
      <c r="GM1268"/>
      <c r="GN1268"/>
      <c r="GO1268"/>
      <c r="GP1268"/>
      <c r="GQ1268"/>
      <c r="GR1268"/>
      <c r="GS1268"/>
      <c r="GT1268"/>
      <c r="GU1268"/>
      <c r="GV1268"/>
      <c r="GW1268"/>
      <c r="GX1268"/>
      <c r="GY1268"/>
      <c r="GZ1268"/>
      <c r="HA1268"/>
      <c r="HB1268"/>
      <c r="HC1268"/>
      <c r="HD1268"/>
      <c r="HE1268"/>
      <c r="HF1268"/>
      <c r="HG1268"/>
      <c r="HH1268"/>
      <c r="HI1268"/>
      <c r="HJ1268"/>
      <c r="HK1268"/>
      <c r="HL1268"/>
      <c r="HM1268"/>
      <c r="HN1268"/>
      <c r="HO1268"/>
      <c r="HP1268"/>
      <c r="HQ1268"/>
      <c r="HR1268"/>
      <c r="HS1268"/>
      <c r="HT1268"/>
      <c r="HU1268"/>
      <c r="HV1268"/>
      <c r="HW1268"/>
      <c r="HX1268"/>
      <c r="HY1268"/>
      <c r="HZ1268"/>
      <c r="IA1268"/>
      <c r="IB1268"/>
      <c r="IC1268"/>
      <c r="ID1268"/>
      <c r="IE1268"/>
      <c r="IF1268"/>
      <c r="IG1268"/>
      <c r="IH1268"/>
      <c r="II1268"/>
      <c r="IJ1268"/>
      <c r="IK1268"/>
      <c r="IL1268"/>
      <c r="IM1268"/>
      <c r="IN1268"/>
      <c r="IO1268"/>
      <c r="IP1268"/>
      <c r="IQ1268"/>
      <c r="IR1268"/>
      <c r="IS1268"/>
      <c r="IT1268"/>
      <c r="IU1268"/>
      <c r="IV1268"/>
    </row>
    <row r="1269" ht="15" customHeight="1">
      <c r="A1269" s="766" t="s">
        <v>921</v>
      </c>
      <c r="B1269" s="767"/>
      <c r="C1269" s="767"/>
      <c r="D1269" s="767"/>
      <c r="E1269" s="585"/>
      <c r="F1269" s="763" t="n">
        <f aca="false">E1269/$E$1304</f>
        <v>0</v>
      </c>
      <c r="G1269" s="769"/>
      <c r="I1269" s="380"/>
      <c r="J1269"/>
      <c r="K1269" s="765"/>
      <c r="L1269" s="756"/>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c r="EK1269"/>
      <c r="EL1269"/>
      <c r="EM1269"/>
      <c r="EN1269"/>
      <c r="EO1269"/>
      <c r="EP1269"/>
      <c r="EQ1269"/>
      <c r="ER1269"/>
      <c r="ES1269"/>
      <c r="ET1269"/>
      <c r="EU1269"/>
      <c r="EV1269"/>
      <c r="EW1269"/>
      <c r="EX1269"/>
      <c r="EY1269"/>
      <c r="EZ1269"/>
      <c r="FA1269"/>
      <c r="FB1269"/>
      <c r="FC1269"/>
      <c r="FD1269"/>
      <c r="FE1269"/>
      <c r="FF1269"/>
      <c r="FG1269"/>
      <c r="FH1269"/>
      <c r="FI1269"/>
      <c r="FJ1269"/>
      <c r="FK1269"/>
      <c r="FL1269"/>
      <c r="FM1269"/>
      <c r="FN1269"/>
      <c r="FO1269"/>
      <c r="FP1269"/>
      <c r="FQ1269"/>
      <c r="FR1269"/>
      <c r="FS1269"/>
      <c r="FT1269"/>
      <c r="FU1269"/>
      <c r="FV1269"/>
      <c r="FW1269"/>
      <c r="FX1269"/>
      <c r="FY1269"/>
      <c r="FZ1269"/>
      <c r="GA1269"/>
      <c r="GB1269"/>
      <c r="GC1269"/>
      <c r="GD1269"/>
      <c r="GE1269"/>
      <c r="GF1269"/>
      <c r="GG1269"/>
      <c r="GH1269"/>
      <c r="GI1269"/>
      <c r="GJ1269"/>
      <c r="GK1269"/>
      <c r="GL1269"/>
      <c r="GM1269"/>
      <c r="GN1269"/>
      <c r="GO1269"/>
      <c r="GP1269"/>
      <c r="GQ1269"/>
      <c r="GR1269"/>
      <c r="GS1269"/>
      <c r="GT1269"/>
      <c r="GU1269"/>
      <c r="GV1269"/>
      <c r="GW1269"/>
      <c r="GX1269"/>
      <c r="GY1269"/>
      <c r="GZ1269"/>
      <c r="HA1269"/>
      <c r="HB1269"/>
      <c r="HC1269"/>
      <c r="HD1269"/>
      <c r="HE1269"/>
      <c r="HF1269"/>
      <c r="HG1269"/>
      <c r="HH1269"/>
      <c r="HI1269"/>
      <c r="HJ1269"/>
      <c r="HK1269"/>
      <c r="HL1269"/>
      <c r="HM1269"/>
      <c r="HN1269"/>
      <c r="HO1269"/>
      <c r="HP1269"/>
      <c r="HQ1269"/>
      <c r="HR1269"/>
      <c r="HS1269"/>
      <c r="HT1269"/>
      <c r="HU1269"/>
      <c r="HV1269"/>
      <c r="HW1269"/>
      <c r="HX1269"/>
      <c r="HY1269"/>
      <c r="HZ1269"/>
      <c r="IA1269"/>
      <c r="IB1269"/>
      <c r="IC1269"/>
      <c r="ID1269"/>
      <c r="IE1269"/>
      <c r="IF1269"/>
      <c r="IG1269"/>
      <c r="IH1269"/>
      <c r="II1269"/>
      <c r="IJ1269"/>
      <c r="IK1269"/>
      <c r="IL1269"/>
      <c r="IM1269"/>
      <c r="IN1269"/>
      <c r="IO1269"/>
      <c r="IP1269"/>
      <c r="IQ1269"/>
      <c r="IR1269"/>
      <c r="IS1269"/>
      <c r="IT1269"/>
      <c r="IU1269"/>
      <c r="IV1269"/>
    </row>
    <row r="1270" ht="15" customHeight="1">
      <c r="A1270" s="766" t="s">
        <v>922</v>
      </c>
      <c r="B1270" s="767"/>
      <c r="C1270" s="767"/>
      <c r="D1270" s="767"/>
      <c r="E1270" s="585"/>
      <c r="F1270" s="763" t="n">
        <f aca="false">E1270/$E$1304</f>
        <v>0</v>
      </c>
      <c r="G1270" s="769"/>
      <c r="I1270" s="380"/>
      <c r="J1270"/>
      <c r="K1270" s="765"/>
      <c r="L1270" s="756"/>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c r="EK1270"/>
      <c r="EL1270"/>
      <c r="EM1270"/>
      <c r="EN1270"/>
      <c r="EO1270"/>
      <c r="EP1270"/>
      <c r="EQ1270"/>
      <c r="ER1270"/>
      <c r="ES1270"/>
      <c r="ET1270"/>
      <c r="EU1270"/>
      <c r="EV1270"/>
      <c r="EW1270"/>
      <c r="EX1270"/>
      <c r="EY1270"/>
      <c r="EZ1270"/>
      <c r="FA1270"/>
      <c r="FB1270"/>
      <c r="FC1270"/>
      <c r="FD1270"/>
      <c r="FE1270"/>
      <c r="FF1270"/>
      <c r="FG1270"/>
      <c r="FH1270"/>
      <c r="FI1270"/>
      <c r="FJ1270"/>
      <c r="FK1270"/>
      <c r="FL1270"/>
      <c r="FM1270"/>
      <c r="FN1270"/>
      <c r="FO1270"/>
      <c r="FP1270"/>
      <c r="FQ1270"/>
      <c r="FR1270"/>
      <c r="FS1270"/>
      <c r="FT1270"/>
      <c r="FU1270"/>
      <c r="FV1270"/>
      <c r="FW1270"/>
      <c r="FX1270"/>
      <c r="FY1270"/>
      <c r="FZ1270"/>
      <c r="GA1270"/>
      <c r="GB1270"/>
      <c r="GC1270"/>
      <c r="GD1270"/>
      <c r="GE1270"/>
      <c r="GF1270"/>
      <c r="GG1270"/>
      <c r="GH1270"/>
      <c r="GI1270"/>
      <c r="GJ1270"/>
      <c r="GK1270"/>
      <c r="GL1270"/>
      <c r="GM1270"/>
      <c r="GN1270"/>
      <c r="GO1270"/>
      <c r="GP1270"/>
      <c r="GQ1270"/>
      <c r="GR1270"/>
      <c r="GS1270"/>
      <c r="GT1270"/>
      <c r="GU1270"/>
      <c r="GV1270"/>
      <c r="GW1270"/>
      <c r="GX1270"/>
      <c r="GY1270"/>
      <c r="GZ1270"/>
      <c r="HA1270"/>
      <c r="HB1270"/>
      <c r="HC1270"/>
      <c r="HD1270"/>
      <c r="HE1270"/>
      <c r="HF1270"/>
      <c r="HG1270"/>
      <c r="HH1270"/>
      <c r="HI1270"/>
      <c r="HJ1270"/>
      <c r="HK1270"/>
      <c r="HL1270"/>
      <c r="HM1270"/>
      <c r="HN1270"/>
      <c r="HO1270"/>
      <c r="HP1270"/>
      <c r="HQ1270"/>
      <c r="HR1270"/>
      <c r="HS1270"/>
      <c r="HT1270"/>
      <c r="HU1270"/>
      <c r="HV1270"/>
      <c r="HW1270"/>
      <c r="HX1270"/>
      <c r="HY1270"/>
      <c r="HZ1270"/>
      <c r="IA1270"/>
      <c r="IB1270"/>
      <c r="IC1270"/>
      <c r="ID1270"/>
      <c r="IE1270"/>
      <c r="IF1270"/>
      <c r="IG1270"/>
      <c r="IH1270"/>
      <c r="II1270"/>
      <c r="IJ1270"/>
      <c r="IK1270"/>
      <c r="IL1270"/>
      <c r="IM1270"/>
      <c r="IN1270"/>
      <c r="IO1270"/>
      <c r="IP1270"/>
      <c r="IQ1270"/>
      <c r="IR1270"/>
      <c r="IS1270"/>
      <c r="IT1270"/>
      <c r="IU1270"/>
      <c r="IV1270"/>
    </row>
    <row r="1271" ht="15" customHeight="1">
      <c r="A1271" s="766" t="s">
        <v>923</v>
      </c>
      <c r="B1271" s="767"/>
      <c r="C1271" s="767"/>
      <c r="D1271" s="767"/>
      <c r="E1271" s="585"/>
      <c r="F1271" s="763" t="n">
        <f aca="false">E1271/$E$1304</f>
        <v>0</v>
      </c>
      <c r="G1271" s="769"/>
      <c r="I1271" s="380"/>
      <c r="J1271"/>
      <c r="K1271" s="765"/>
      <c r="L1271" s="756"/>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c r="EI1271"/>
      <c r="EJ1271"/>
      <c r="EK1271"/>
      <c r="EL1271"/>
      <c r="EM1271"/>
      <c r="EN1271"/>
      <c r="EO1271"/>
      <c r="EP1271"/>
      <c r="EQ1271"/>
      <c r="ER1271"/>
      <c r="ES1271"/>
      <c r="ET1271"/>
      <c r="EU1271"/>
      <c r="EV1271"/>
      <c r="EW1271"/>
      <c r="EX1271"/>
      <c r="EY1271"/>
      <c r="EZ1271"/>
      <c r="FA1271"/>
      <c r="FB1271"/>
      <c r="FC1271"/>
      <c r="FD1271"/>
      <c r="FE1271"/>
      <c r="FF1271"/>
      <c r="FG1271"/>
      <c r="FH1271"/>
      <c r="FI1271"/>
      <c r="FJ1271"/>
      <c r="FK1271"/>
      <c r="FL1271"/>
      <c r="FM1271"/>
      <c r="FN1271"/>
      <c r="FO1271"/>
      <c r="FP1271"/>
      <c r="FQ1271"/>
      <c r="FR1271"/>
      <c r="FS1271"/>
      <c r="FT1271"/>
      <c r="FU1271"/>
      <c r="FV1271"/>
      <c r="FW1271"/>
      <c r="FX1271"/>
      <c r="FY1271"/>
      <c r="FZ1271"/>
      <c r="GA1271"/>
      <c r="GB1271"/>
      <c r="GC1271"/>
      <c r="GD1271"/>
      <c r="GE1271"/>
      <c r="GF1271"/>
      <c r="GG1271"/>
      <c r="GH1271"/>
      <c r="GI1271"/>
      <c r="GJ1271"/>
      <c r="GK1271"/>
      <c r="GL1271"/>
      <c r="GM1271"/>
      <c r="GN1271"/>
      <c r="GO1271"/>
      <c r="GP1271"/>
      <c r="GQ1271"/>
      <c r="GR1271"/>
      <c r="GS1271"/>
      <c r="GT1271"/>
      <c r="GU1271"/>
      <c r="GV1271"/>
      <c r="GW1271"/>
      <c r="GX1271"/>
      <c r="GY1271"/>
      <c r="GZ1271"/>
      <c r="HA1271"/>
      <c r="HB1271"/>
      <c r="HC1271"/>
      <c r="HD1271"/>
      <c r="HE1271"/>
      <c r="HF1271"/>
      <c r="HG1271"/>
      <c r="HH1271"/>
      <c r="HI1271"/>
      <c r="HJ1271"/>
      <c r="HK1271"/>
      <c r="HL1271"/>
      <c r="HM1271"/>
      <c r="HN1271"/>
      <c r="HO1271"/>
      <c r="HP1271"/>
      <c r="HQ1271"/>
      <c r="HR1271"/>
      <c r="HS1271"/>
      <c r="HT1271"/>
      <c r="HU1271"/>
      <c r="HV1271"/>
      <c r="HW1271"/>
      <c r="HX1271"/>
      <c r="HY1271"/>
      <c r="HZ1271"/>
      <c r="IA1271"/>
      <c r="IB1271"/>
      <c r="IC1271"/>
      <c r="ID1271"/>
      <c r="IE1271"/>
      <c r="IF1271"/>
      <c r="IG1271"/>
      <c r="IH1271"/>
      <c r="II1271"/>
      <c r="IJ1271"/>
      <c r="IK1271"/>
      <c r="IL1271"/>
      <c r="IM1271"/>
      <c r="IN1271"/>
      <c r="IO1271"/>
      <c r="IP1271"/>
      <c r="IQ1271"/>
      <c r="IR1271"/>
      <c r="IS1271"/>
      <c r="IT1271"/>
      <c r="IU1271"/>
      <c r="IV1271"/>
    </row>
    <row r="1272" ht="15" customHeight="1">
      <c r="A1272" s="766" t="s">
        <v>924</v>
      </c>
      <c r="B1272" s="767"/>
      <c r="C1272" s="767"/>
      <c r="D1272" s="767"/>
      <c r="E1272" s="585"/>
      <c r="F1272" s="763" t="n">
        <f aca="false">E1272/$E$1304</f>
        <v>0</v>
      </c>
      <c r="G1272" s="769"/>
      <c r="I1272" s="380"/>
      <c r="J1272"/>
      <c r="K1272" s="765"/>
      <c r="L1272" s="756"/>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c r="EK1272"/>
      <c r="EL1272"/>
      <c r="EM1272"/>
      <c r="EN1272"/>
      <c r="EO1272"/>
      <c r="EP1272"/>
      <c r="EQ1272"/>
      <c r="ER1272"/>
      <c r="ES1272"/>
      <c r="ET1272"/>
      <c r="EU1272"/>
      <c r="EV1272"/>
      <c r="EW1272"/>
      <c r="EX1272"/>
      <c r="EY1272"/>
      <c r="EZ1272"/>
      <c r="FA1272"/>
      <c r="FB1272"/>
      <c r="FC1272"/>
      <c r="FD1272"/>
      <c r="FE1272"/>
      <c r="FF1272"/>
      <c r="FG1272"/>
      <c r="FH1272"/>
      <c r="FI1272"/>
      <c r="FJ1272"/>
      <c r="FK1272"/>
      <c r="FL1272"/>
      <c r="FM1272"/>
      <c r="FN1272"/>
      <c r="FO1272"/>
      <c r="FP1272"/>
      <c r="FQ1272"/>
      <c r="FR1272"/>
      <c r="FS1272"/>
      <c r="FT1272"/>
      <c r="FU1272"/>
      <c r="FV1272"/>
      <c r="FW1272"/>
      <c r="FX1272"/>
      <c r="FY1272"/>
      <c r="FZ1272"/>
      <c r="GA1272"/>
      <c r="GB1272"/>
      <c r="GC1272"/>
      <c r="GD1272"/>
      <c r="GE1272"/>
      <c r="GF1272"/>
      <c r="GG1272"/>
      <c r="GH1272"/>
      <c r="GI1272"/>
      <c r="GJ1272"/>
      <c r="GK1272"/>
      <c r="GL1272"/>
      <c r="GM1272"/>
      <c r="GN1272"/>
      <c r="GO1272"/>
      <c r="GP1272"/>
      <c r="GQ1272"/>
      <c r="GR1272"/>
      <c r="GS1272"/>
      <c r="GT1272"/>
      <c r="GU1272"/>
      <c r="GV1272"/>
      <c r="GW1272"/>
      <c r="GX1272"/>
      <c r="GY1272"/>
      <c r="GZ1272"/>
      <c r="HA1272"/>
      <c r="HB1272"/>
      <c r="HC1272"/>
      <c r="HD1272"/>
      <c r="HE1272"/>
      <c r="HF1272"/>
      <c r="HG1272"/>
      <c r="HH1272"/>
      <c r="HI1272"/>
      <c r="HJ1272"/>
      <c r="HK1272"/>
      <c r="HL1272"/>
      <c r="HM1272"/>
      <c r="HN1272"/>
      <c r="HO1272"/>
      <c r="HP1272"/>
      <c r="HQ1272"/>
      <c r="HR1272"/>
      <c r="HS1272"/>
      <c r="HT1272"/>
      <c r="HU1272"/>
      <c r="HV1272"/>
      <c r="HW1272"/>
      <c r="HX1272"/>
      <c r="HY1272"/>
      <c r="HZ1272"/>
      <c r="IA1272"/>
      <c r="IB1272"/>
      <c r="IC1272"/>
      <c r="ID1272"/>
      <c r="IE1272"/>
      <c r="IF1272"/>
      <c r="IG1272"/>
      <c r="IH1272"/>
      <c r="II1272"/>
      <c r="IJ1272"/>
      <c r="IK1272"/>
      <c r="IL1272"/>
      <c r="IM1272"/>
      <c r="IN1272"/>
      <c r="IO1272"/>
      <c r="IP1272"/>
      <c r="IQ1272"/>
      <c r="IR1272"/>
      <c r="IS1272"/>
      <c r="IT1272"/>
      <c r="IU1272"/>
      <c r="IV1272"/>
    </row>
    <row r="1273" ht="15" customHeight="1">
      <c r="A1273" s="766" t="s">
        <v>925</v>
      </c>
      <c r="B1273" s="767"/>
      <c r="C1273" s="767"/>
      <c r="D1273" s="767"/>
      <c r="E1273" s="585"/>
      <c r="F1273" s="763" t="n">
        <f aca="false">E1273/$E$1304</f>
        <v>0</v>
      </c>
      <c r="G1273" s="769"/>
      <c r="I1273" s="380"/>
      <c r="J1273"/>
      <c r="K1273" s="765"/>
      <c r="L1273" s="756"/>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c r="EK1273"/>
      <c r="EL1273"/>
      <c r="EM1273"/>
      <c r="EN1273"/>
      <c r="EO1273"/>
      <c r="EP1273"/>
      <c r="EQ1273"/>
      <c r="ER1273"/>
      <c r="ES1273"/>
      <c r="ET1273"/>
      <c r="EU1273"/>
      <c r="EV1273"/>
      <c r="EW1273"/>
      <c r="EX1273"/>
      <c r="EY1273"/>
      <c r="EZ1273"/>
      <c r="FA1273"/>
      <c r="FB1273"/>
      <c r="FC1273"/>
      <c r="FD1273"/>
      <c r="FE1273"/>
      <c r="FF1273"/>
      <c r="FG1273"/>
      <c r="FH1273"/>
      <c r="FI1273"/>
      <c r="FJ1273"/>
      <c r="FK1273"/>
      <c r="FL1273"/>
      <c r="FM1273"/>
      <c r="FN1273"/>
      <c r="FO1273"/>
      <c r="FP1273"/>
      <c r="FQ1273"/>
      <c r="FR1273"/>
      <c r="FS1273"/>
      <c r="FT1273"/>
      <c r="FU1273"/>
      <c r="FV1273"/>
      <c r="FW1273"/>
      <c r="FX1273"/>
      <c r="FY1273"/>
      <c r="FZ1273"/>
      <c r="GA1273"/>
      <c r="GB1273"/>
      <c r="GC1273"/>
      <c r="GD1273"/>
      <c r="GE1273"/>
      <c r="GF1273"/>
      <c r="GG1273"/>
      <c r="GH1273"/>
      <c r="GI1273"/>
      <c r="GJ1273"/>
      <c r="GK1273"/>
      <c r="GL1273"/>
      <c r="GM1273"/>
      <c r="GN1273"/>
      <c r="GO1273"/>
      <c r="GP1273"/>
      <c r="GQ1273"/>
      <c r="GR1273"/>
      <c r="GS1273"/>
      <c r="GT1273"/>
      <c r="GU1273"/>
      <c r="GV1273"/>
      <c r="GW1273"/>
      <c r="GX1273"/>
      <c r="GY1273"/>
      <c r="GZ1273"/>
      <c r="HA1273"/>
      <c r="HB1273"/>
      <c r="HC1273"/>
      <c r="HD1273"/>
      <c r="HE1273"/>
      <c r="HF1273"/>
      <c r="HG1273"/>
      <c r="HH1273"/>
      <c r="HI1273"/>
      <c r="HJ1273"/>
      <c r="HK1273"/>
      <c r="HL1273"/>
      <c r="HM1273"/>
      <c r="HN1273"/>
      <c r="HO1273"/>
      <c r="HP1273"/>
      <c r="HQ1273"/>
      <c r="HR1273"/>
      <c r="HS1273"/>
      <c r="HT1273"/>
      <c r="HU1273"/>
      <c r="HV1273"/>
      <c r="HW1273"/>
      <c r="HX1273"/>
      <c r="HY1273"/>
      <c r="HZ1273"/>
      <c r="IA1273"/>
      <c r="IB1273"/>
      <c r="IC1273"/>
      <c r="ID1273"/>
      <c r="IE1273"/>
      <c r="IF1273"/>
      <c r="IG1273"/>
      <c r="IH1273"/>
      <c r="II1273"/>
      <c r="IJ1273"/>
      <c r="IK1273"/>
      <c r="IL1273"/>
      <c r="IM1273"/>
      <c r="IN1273"/>
      <c r="IO1273"/>
      <c r="IP1273"/>
      <c r="IQ1273"/>
      <c r="IR1273"/>
      <c r="IS1273"/>
      <c r="IT1273"/>
      <c r="IU1273"/>
      <c r="IV1273"/>
    </row>
    <row r="1274" ht="15.75" customHeight="1">
      <c r="A1274" s="766" t="s">
        <v>926</v>
      </c>
      <c r="B1274" s="776"/>
      <c r="C1274" s="776"/>
      <c r="D1274" s="776"/>
      <c r="E1274" s="469"/>
      <c r="F1274" s="778" t="n">
        <f aca="false">E1274/$E$1304</f>
        <v>0</v>
      </c>
      <c r="G1274" s="782"/>
      <c r="I1274" s="584"/>
      <c r="J1274"/>
      <c r="K1274" s="765"/>
      <c r="L1274" s="756"/>
      <c r="M1274"/>
      <c r="N1274"/>
      <c r="O1274"/>
      <c r="P1274"/>
      <c r="Q1274"/>
      <c r="R1274" s="4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c r="EK1274"/>
      <c r="EL1274"/>
      <c r="EM1274"/>
      <c r="EN1274"/>
      <c r="EO1274"/>
      <c r="EP1274"/>
      <c r="EQ1274"/>
      <c r="ER1274"/>
      <c r="ES1274"/>
      <c r="ET1274"/>
      <c r="EU1274"/>
      <c r="EV1274"/>
      <c r="EW1274"/>
      <c r="EX1274"/>
      <c r="EY1274"/>
      <c r="EZ1274"/>
      <c r="FA1274"/>
      <c r="FB1274"/>
      <c r="FC1274"/>
      <c r="FD1274"/>
      <c r="FE1274"/>
      <c r="FF1274"/>
      <c r="FG1274"/>
      <c r="FH1274"/>
      <c r="FI1274"/>
      <c r="FJ1274"/>
      <c r="FK1274"/>
      <c r="FL1274"/>
      <c r="FM1274"/>
      <c r="FN1274"/>
      <c r="FO1274"/>
      <c r="FP1274"/>
      <c r="FQ1274"/>
      <c r="FR1274"/>
      <c r="FS1274"/>
      <c r="FT1274"/>
      <c r="FU1274"/>
      <c r="FV1274"/>
      <c r="FW1274"/>
      <c r="FX1274"/>
      <c r="FY1274"/>
      <c r="FZ1274"/>
      <c r="GA1274"/>
      <c r="GB1274"/>
      <c r="GC1274"/>
      <c r="GD1274"/>
      <c r="GE1274"/>
      <c r="GF1274"/>
      <c r="GG1274"/>
      <c r="GH1274"/>
      <c r="GI1274"/>
      <c r="GJ1274"/>
      <c r="GK1274"/>
      <c r="GL1274"/>
      <c r="GM1274"/>
      <c r="GN1274"/>
      <c r="GO1274"/>
      <c r="GP1274"/>
      <c r="GQ1274"/>
      <c r="GR1274"/>
      <c r="GS1274"/>
      <c r="GT1274"/>
      <c r="GU1274"/>
      <c r="GV1274"/>
      <c r="GW1274"/>
      <c r="GX1274"/>
      <c r="GY1274"/>
      <c r="GZ1274"/>
      <c r="HA1274"/>
      <c r="HB1274"/>
      <c r="HC1274"/>
      <c r="HD1274"/>
      <c r="HE1274"/>
      <c r="HF1274"/>
      <c r="HG1274"/>
      <c r="HH1274"/>
      <c r="HI1274"/>
      <c r="HJ1274"/>
      <c r="HK1274"/>
      <c r="HL1274"/>
      <c r="HM1274"/>
      <c r="HN1274"/>
      <c r="HO1274"/>
      <c r="HP1274"/>
      <c r="HQ1274"/>
      <c r="HR1274"/>
      <c r="HS1274"/>
      <c r="HT1274"/>
      <c r="HU1274"/>
      <c r="HV1274"/>
      <c r="HW1274"/>
      <c r="HX1274"/>
      <c r="HY1274"/>
      <c r="HZ1274"/>
      <c r="IA1274"/>
      <c r="IB1274"/>
      <c r="IC1274"/>
      <c r="ID1274"/>
      <c r="IE1274"/>
      <c r="IF1274"/>
      <c r="IG1274"/>
      <c r="IH1274"/>
      <c r="II1274"/>
      <c r="IJ1274"/>
      <c r="IK1274"/>
      <c r="IL1274"/>
      <c r="IM1274"/>
      <c r="IN1274"/>
      <c r="IO1274"/>
      <c r="IP1274"/>
      <c r="IQ1274"/>
      <c r="IR1274"/>
      <c r="IS1274"/>
      <c r="IT1274"/>
      <c r="IU1274"/>
      <c r="IV1274"/>
    </row>
    <row r="1275" ht="15" customHeight="1">
      <c r="A1275" s="760" t="s">
        <v>927</v>
      </c>
      <c r="B1275" s="761"/>
      <c r="C1275" s="761"/>
      <c r="D1275" s="761"/>
      <c r="E1275" s="762" t="n">
        <f aca="false">SUM(E1276:E1278)</f>
        <v>0</v>
      </c>
      <c r="F1275" s="763"/>
      <c r="G1275" s="764"/>
      <c r="I1275" s="584"/>
      <c r="J1275"/>
      <c r="K1275" s="765"/>
      <c r="L1275" s="756"/>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c r="EK1275"/>
      <c r="EL1275"/>
      <c r="EM1275"/>
      <c r="EN1275"/>
      <c r="EO1275"/>
      <c r="EP1275"/>
      <c r="EQ1275"/>
      <c r="ER1275"/>
      <c r="ES1275"/>
      <c r="ET1275"/>
      <c r="EU1275"/>
      <c r="EV1275"/>
      <c r="EW1275"/>
      <c r="EX1275"/>
      <c r="EY1275"/>
      <c r="EZ1275"/>
      <c r="FA1275"/>
      <c r="FB1275"/>
      <c r="FC1275"/>
      <c r="FD1275"/>
      <c r="FE1275"/>
      <c r="FF1275"/>
      <c r="FG1275"/>
      <c r="FH1275"/>
      <c r="FI1275"/>
      <c r="FJ1275"/>
      <c r="FK1275"/>
      <c r="FL1275"/>
      <c r="FM1275"/>
      <c r="FN1275"/>
      <c r="FO1275"/>
      <c r="FP1275"/>
      <c r="FQ1275"/>
      <c r="FR1275"/>
      <c r="FS1275"/>
      <c r="FT1275"/>
      <c r="FU1275"/>
      <c r="FV1275"/>
      <c r="FW1275"/>
      <c r="FX1275"/>
      <c r="FY1275"/>
      <c r="FZ1275"/>
      <c r="GA1275"/>
      <c r="GB1275"/>
      <c r="GC1275"/>
      <c r="GD1275"/>
      <c r="GE1275"/>
      <c r="GF1275"/>
      <c r="GG1275"/>
      <c r="GH1275"/>
      <c r="GI1275"/>
      <c r="GJ1275"/>
      <c r="GK1275"/>
      <c r="GL1275"/>
      <c r="GM1275"/>
      <c r="GN1275"/>
      <c r="GO1275"/>
      <c r="GP1275"/>
      <c r="GQ1275"/>
      <c r="GR1275"/>
      <c r="GS1275"/>
      <c r="GT1275"/>
      <c r="GU1275"/>
      <c r="GV1275"/>
      <c r="GW1275"/>
      <c r="GX1275"/>
      <c r="GY1275"/>
      <c r="GZ1275"/>
      <c r="HA1275"/>
      <c r="HB1275"/>
      <c r="HC1275"/>
      <c r="HD1275"/>
      <c r="HE1275"/>
      <c r="HF1275"/>
      <c r="HG1275"/>
      <c r="HH1275"/>
      <c r="HI1275"/>
      <c r="HJ1275"/>
      <c r="HK1275"/>
      <c r="HL1275"/>
      <c r="HM1275"/>
      <c r="HN1275"/>
      <c r="HO1275"/>
      <c r="HP1275"/>
      <c r="HQ1275"/>
      <c r="HR1275"/>
      <c r="HS1275"/>
      <c r="HT1275"/>
      <c r="HU1275"/>
      <c r="HV1275"/>
      <c r="HW1275"/>
      <c r="HX1275"/>
      <c r="HY1275"/>
      <c r="HZ1275"/>
      <c r="IA1275"/>
      <c r="IB1275"/>
      <c r="IC1275"/>
      <c r="ID1275"/>
      <c r="IE1275"/>
      <c r="IF1275"/>
      <c r="IG1275"/>
      <c r="IH1275"/>
      <c r="II1275"/>
      <c r="IJ1275"/>
      <c r="IK1275"/>
      <c r="IL1275"/>
      <c r="IM1275"/>
      <c r="IN1275"/>
      <c r="IO1275"/>
      <c r="IP1275"/>
      <c r="IQ1275"/>
      <c r="IR1275"/>
      <c r="IS1275"/>
      <c r="IT1275"/>
      <c r="IU1275"/>
      <c r="IV1275"/>
    </row>
    <row r="1276" ht="15" customHeight="1">
      <c r="A1276" s="766" t="s">
        <v>928</v>
      </c>
      <c r="B1276" s="767"/>
      <c r="C1276" s="767"/>
      <c r="D1276" s="767"/>
      <c r="E1276" s="585"/>
      <c r="F1276" s="763" t="n">
        <f aca="false">E1276/$E$1304</f>
        <v>0</v>
      </c>
      <c r="G1276" s="768"/>
      <c r="I1276" s="584"/>
      <c r="J1276"/>
      <c r="K1276" s="765"/>
      <c r="L1276" s="75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c r="EK1276"/>
      <c r="EL1276"/>
      <c r="EM1276"/>
      <c r="EN1276"/>
      <c r="EO1276"/>
      <c r="EP1276"/>
      <c r="EQ1276"/>
      <c r="ER1276"/>
      <c r="ES1276"/>
      <c r="ET1276"/>
      <c r="EU1276"/>
      <c r="EV1276"/>
      <c r="EW1276"/>
      <c r="EX1276"/>
      <c r="EY1276"/>
      <c r="EZ1276"/>
      <c r="FA1276"/>
      <c r="FB1276"/>
      <c r="FC1276"/>
      <c r="FD1276"/>
      <c r="FE1276"/>
      <c r="FF1276"/>
      <c r="FG1276"/>
      <c r="FH1276"/>
      <c r="FI1276"/>
      <c r="FJ1276"/>
      <c r="FK1276"/>
      <c r="FL1276"/>
      <c r="FM1276"/>
      <c r="FN1276"/>
      <c r="FO1276"/>
      <c r="FP1276"/>
      <c r="FQ1276"/>
      <c r="FR1276"/>
      <c r="FS1276"/>
      <c r="FT1276"/>
      <c r="FU1276"/>
      <c r="FV1276"/>
      <c r="FW1276"/>
      <c r="FX1276"/>
      <c r="FY1276"/>
      <c r="FZ1276"/>
      <c r="GA1276"/>
      <c r="GB1276"/>
      <c r="GC1276"/>
      <c r="GD1276"/>
      <c r="GE1276"/>
      <c r="GF1276"/>
      <c r="GG1276"/>
      <c r="GH1276"/>
      <c r="GI1276"/>
      <c r="GJ1276"/>
      <c r="GK1276"/>
      <c r="GL1276"/>
      <c r="GM1276"/>
      <c r="GN1276"/>
      <c r="GO1276"/>
      <c r="GP1276"/>
      <c r="GQ1276"/>
      <c r="GR1276"/>
      <c r="GS1276"/>
      <c r="GT1276"/>
      <c r="GU1276"/>
      <c r="GV1276"/>
      <c r="GW1276"/>
      <c r="GX1276"/>
      <c r="GY1276"/>
      <c r="GZ1276"/>
      <c r="HA1276"/>
      <c r="HB1276"/>
      <c r="HC1276"/>
      <c r="HD1276"/>
      <c r="HE1276"/>
      <c r="HF1276"/>
      <c r="HG1276"/>
      <c r="HH1276"/>
      <c r="HI1276"/>
      <c r="HJ1276"/>
      <c r="HK1276"/>
      <c r="HL1276"/>
      <c r="HM1276"/>
      <c r="HN1276"/>
      <c r="HO1276"/>
      <c r="HP1276"/>
      <c r="HQ1276"/>
      <c r="HR1276"/>
      <c r="HS1276"/>
      <c r="HT1276"/>
      <c r="HU1276"/>
      <c r="HV1276"/>
      <c r="HW1276"/>
      <c r="HX1276"/>
      <c r="HY1276"/>
      <c r="HZ1276"/>
      <c r="IA1276"/>
      <c r="IB1276"/>
      <c r="IC1276"/>
      <c r="ID1276"/>
      <c r="IE1276"/>
      <c r="IF1276"/>
      <c r="IG1276"/>
      <c r="IH1276"/>
      <c r="II1276"/>
      <c r="IJ1276"/>
      <c r="IK1276"/>
      <c r="IL1276"/>
      <c r="IM1276"/>
      <c r="IN1276"/>
      <c r="IO1276"/>
      <c r="IP1276"/>
      <c r="IQ1276"/>
      <c r="IR1276"/>
      <c r="IS1276"/>
      <c r="IT1276"/>
      <c r="IU1276"/>
      <c r="IV1276"/>
    </row>
    <row r="1277" ht="15" customHeight="1">
      <c r="A1277" s="766" t="s">
        <v>929</v>
      </c>
      <c r="B1277" s="767"/>
      <c r="C1277" s="767"/>
      <c r="D1277" s="767"/>
      <c r="E1277" s="585"/>
      <c r="F1277" s="763" t="n">
        <f aca="false">E1277/$E$1304</f>
        <v>0</v>
      </c>
      <c r="G1277" s="769"/>
      <c r="I1277" s="584"/>
      <c r="J1277"/>
      <c r="K1277" s="765"/>
      <c r="L1277" s="756"/>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c r="EK1277"/>
      <c r="EL1277"/>
      <c r="EM1277"/>
      <c r="EN1277"/>
      <c r="EO1277"/>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c r="GE1277"/>
      <c r="GF1277"/>
      <c r="GG1277"/>
      <c r="GH1277"/>
      <c r="GI1277"/>
      <c r="GJ1277"/>
      <c r="GK1277"/>
      <c r="GL1277"/>
      <c r="GM1277"/>
      <c r="GN1277"/>
      <c r="GO1277"/>
      <c r="GP1277"/>
      <c r="GQ1277"/>
      <c r="GR1277"/>
      <c r="GS1277"/>
      <c r="GT1277"/>
      <c r="GU1277"/>
      <c r="GV1277"/>
      <c r="GW1277"/>
      <c r="GX1277"/>
      <c r="GY1277"/>
      <c r="GZ1277"/>
      <c r="HA1277"/>
      <c r="HB1277"/>
      <c r="HC1277"/>
      <c r="HD1277"/>
      <c r="HE1277"/>
      <c r="HF1277"/>
      <c r="HG1277"/>
      <c r="HH1277"/>
      <c r="HI1277"/>
      <c r="HJ1277"/>
      <c r="HK1277"/>
      <c r="HL1277"/>
      <c r="HM1277"/>
      <c r="HN1277"/>
      <c r="HO1277"/>
      <c r="HP1277"/>
      <c r="HQ1277"/>
      <c r="HR1277"/>
      <c r="HS1277"/>
      <c r="HT1277"/>
      <c r="HU1277"/>
      <c r="HV1277"/>
      <c r="HW1277"/>
      <c r="HX1277"/>
      <c r="HY1277"/>
      <c r="HZ1277"/>
      <c r="IA1277"/>
      <c r="IB1277"/>
      <c r="IC1277"/>
      <c r="ID1277"/>
      <c r="IE1277"/>
      <c r="IF1277"/>
      <c r="IG1277"/>
      <c r="IH1277"/>
      <c r="II1277"/>
      <c r="IJ1277"/>
      <c r="IK1277"/>
      <c r="IL1277"/>
      <c r="IM1277"/>
      <c r="IN1277"/>
      <c r="IO1277"/>
      <c r="IP1277"/>
      <c r="IQ1277"/>
      <c r="IR1277"/>
      <c r="IS1277"/>
      <c r="IT1277"/>
      <c r="IU1277"/>
      <c r="IV1277"/>
    </row>
    <row r="1278" ht="15" customHeight="1">
      <c r="A1278" s="779" t="s">
        <v>930</v>
      </c>
      <c r="B1278" s="776"/>
      <c r="C1278" s="776"/>
      <c r="D1278" s="776"/>
      <c r="E1278" s="469"/>
      <c r="F1278" s="778" t="n">
        <f aca="false">E1278/$E$1304</f>
        <v>0</v>
      </c>
      <c r="G1278" s="782"/>
      <c r="I1278" s="584"/>
      <c r="J1278"/>
      <c r="K1278" s="765"/>
      <c r="L1278" s="756"/>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c r="EK1278"/>
      <c r="EL1278"/>
      <c r="EM1278"/>
      <c r="EN1278"/>
      <c r="EO1278"/>
      <c r="EP1278"/>
      <c r="EQ1278"/>
      <c r="ER1278"/>
      <c r="ES1278"/>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c r="GE1278"/>
      <c r="GF1278"/>
      <c r="GG1278"/>
      <c r="GH1278"/>
      <c r="GI1278"/>
      <c r="GJ1278"/>
      <c r="GK1278"/>
      <c r="GL1278"/>
      <c r="GM1278"/>
      <c r="GN1278"/>
      <c r="GO1278"/>
      <c r="GP1278"/>
      <c r="GQ1278"/>
      <c r="GR1278"/>
      <c r="GS1278"/>
      <c r="GT1278"/>
      <c r="GU1278"/>
      <c r="GV1278"/>
      <c r="GW1278"/>
      <c r="GX1278"/>
      <c r="GY1278"/>
      <c r="GZ1278"/>
      <c r="HA1278"/>
      <c r="HB1278"/>
      <c r="HC1278"/>
      <c r="HD1278"/>
      <c r="HE1278"/>
      <c r="HF1278"/>
      <c r="HG1278"/>
      <c r="HH1278"/>
      <c r="HI1278"/>
      <c r="HJ1278"/>
      <c r="HK1278"/>
      <c r="HL1278"/>
      <c r="HM1278"/>
      <c r="HN1278"/>
      <c r="HO1278"/>
      <c r="HP1278"/>
      <c r="HQ1278"/>
      <c r="HR1278"/>
      <c r="HS1278"/>
      <c r="HT1278"/>
      <c r="HU1278"/>
      <c r="HV1278"/>
      <c r="HW1278"/>
      <c r="HX1278"/>
      <c r="HY1278"/>
      <c r="HZ1278"/>
      <c r="IA1278"/>
      <c r="IB1278"/>
      <c r="IC1278"/>
      <c r="ID1278"/>
      <c r="IE1278"/>
      <c r="IF1278"/>
      <c r="IG1278"/>
      <c r="IH1278"/>
      <c r="II1278"/>
      <c r="IJ1278"/>
      <c r="IK1278"/>
      <c r="IL1278"/>
      <c r="IM1278"/>
      <c r="IN1278"/>
      <c r="IO1278"/>
      <c r="IP1278"/>
      <c r="IQ1278"/>
      <c r="IR1278"/>
      <c r="IS1278"/>
      <c r="IT1278"/>
      <c r="IU1278"/>
      <c r="IV1278"/>
    </row>
    <row r="1279" ht="15" customHeight="1">
      <c r="A1279" s="760" t="s">
        <v>931</v>
      </c>
      <c r="B1279" s="761"/>
      <c r="C1279" s="761"/>
      <c r="D1279" s="761"/>
      <c r="E1279" s="762" t="n">
        <f aca="false">SUM(E1280:E1281)</f>
        <v>0</v>
      </c>
      <c r="F1279" s="763"/>
      <c r="G1279" s="764"/>
      <c r="I1279" s="584"/>
      <c r="J1279"/>
      <c r="K1279" s="765"/>
      <c r="L1279" s="756"/>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c r="EK1279"/>
      <c r="EL1279"/>
      <c r="EM1279"/>
      <c r="EN1279"/>
      <c r="EO1279"/>
      <c r="EP1279"/>
      <c r="EQ1279"/>
      <c r="ER1279"/>
      <c r="ES1279"/>
      <c r="ET1279"/>
      <c r="EU1279"/>
      <c r="EV1279"/>
      <c r="EW1279"/>
      <c r="EX1279"/>
      <c r="EY1279"/>
      <c r="EZ1279"/>
      <c r="FA1279"/>
      <c r="FB1279"/>
      <c r="FC1279"/>
      <c r="FD1279"/>
      <c r="FE1279"/>
      <c r="FF1279"/>
      <c r="FG1279"/>
      <c r="FH1279"/>
      <c r="FI1279"/>
      <c r="FJ1279"/>
      <c r="FK1279"/>
      <c r="FL1279"/>
      <c r="FM1279"/>
      <c r="FN1279"/>
      <c r="FO1279"/>
      <c r="FP1279"/>
      <c r="FQ1279"/>
      <c r="FR1279"/>
      <c r="FS1279"/>
      <c r="FT1279"/>
      <c r="FU1279"/>
      <c r="FV1279"/>
      <c r="FW1279"/>
      <c r="FX1279"/>
      <c r="FY1279"/>
      <c r="FZ1279"/>
      <c r="GA1279"/>
      <c r="GB1279"/>
      <c r="GC1279"/>
      <c r="GD1279"/>
      <c r="GE1279"/>
      <c r="GF1279"/>
      <c r="GG1279"/>
      <c r="GH1279"/>
      <c r="GI1279"/>
      <c r="GJ1279"/>
      <c r="GK1279"/>
      <c r="GL1279"/>
      <c r="GM1279"/>
      <c r="GN1279"/>
      <c r="GO1279"/>
      <c r="GP1279"/>
      <c r="GQ1279"/>
      <c r="GR1279"/>
      <c r="GS1279"/>
      <c r="GT1279"/>
      <c r="GU1279"/>
      <c r="GV1279"/>
      <c r="GW1279"/>
      <c r="GX1279"/>
      <c r="GY1279"/>
      <c r="GZ1279"/>
      <c r="HA1279"/>
      <c r="HB1279"/>
      <c r="HC1279"/>
      <c r="HD1279"/>
      <c r="HE1279"/>
      <c r="HF1279"/>
      <c r="HG1279"/>
      <c r="HH1279"/>
      <c r="HI1279"/>
      <c r="HJ1279"/>
      <c r="HK1279"/>
      <c r="HL1279"/>
      <c r="HM1279"/>
      <c r="HN1279"/>
      <c r="HO1279"/>
      <c r="HP1279"/>
      <c r="HQ1279"/>
      <c r="HR1279"/>
      <c r="HS1279"/>
      <c r="HT1279"/>
      <c r="HU1279"/>
      <c r="HV1279"/>
      <c r="HW1279"/>
      <c r="HX1279"/>
      <c r="HY1279"/>
      <c r="HZ1279"/>
      <c r="IA1279"/>
      <c r="IB1279"/>
      <c r="IC1279"/>
      <c r="ID1279"/>
      <c r="IE1279"/>
      <c r="IF1279"/>
      <c r="IG1279"/>
      <c r="IH1279"/>
      <c r="II1279"/>
      <c r="IJ1279"/>
      <c r="IK1279"/>
      <c r="IL1279"/>
      <c r="IM1279"/>
      <c r="IN1279"/>
      <c r="IO1279"/>
      <c r="IP1279"/>
      <c r="IQ1279"/>
      <c r="IR1279"/>
      <c r="IS1279"/>
      <c r="IT1279"/>
      <c r="IU1279"/>
      <c r="IV1279"/>
    </row>
    <row r="1280" ht="15" customHeight="1">
      <c r="A1280" s="766" t="s">
        <v>928</v>
      </c>
      <c r="B1280" s="767"/>
      <c r="C1280" s="767"/>
      <c r="D1280" s="767"/>
      <c r="E1280" s="585"/>
      <c r="F1280" s="763" t="n">
        <f aca="false">E1280/$E$1304</f>
        <v>0</v>
      </c>
      <c r="G1280" s="768"/>
      <c r="I1280" s="584"/>
      <c r="J1280"/>
      <c r="K1280" s="765"/>
      <c r="L1280" s="756"/>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c r="EK1280"/>
      <c r="EL1280"/>
      <c r="EM1280"/>
      <c r="EN1280"/>
      <c r="EO1280"/>
      <c r="EP1280"/>
      <c r="EQ1280"/>
      <c r="ER1280"/>
      <c r="ES1280"/>
      <c r="ET1280"/>
      <c r="EU1280"/>
      <c r="EV1280"/>
      <c r="EW1280"/>
      <c r="EX1280"/>
      <c r="EY1280"/>
      <c r="EZ1280"/>
      <c r="FA1280"/>
      <c r="FB1280"/>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c r="GE1280"/>
      <c r="GF1280"/>
      <c r="GG1280"/>
      <c r="GH1280"/>
      <c r="GI1280"/>
      <c r="GJ1280"/>
      <c r="GK1280"/>
      <c r="GL1280"/>
      <c r="GM1280"/>
      <c r="GN1280"/>
      <c r="GO1280"/>
      <c r="GP1280"/>
      <c r="GQ1280"/>
      <c r="GR1280"/>
      <c r="GS1280"/>
      <c r="GT1280"/>
      <c r="GU1280"/>
      <c r="GV1280"/>
      <c r="GW1280"/>
      <c r="GX1280"/>
      <c r="GY1280"/>
      <c r="GZ1280"/>
      <c r="HA1280"/>
      <c r="HB1280"/>
      <c r="HC1280"/>
      <c r="HD1280"/>
      <c r="HE1280"/>
      <c r="HF1280"/>
      <c r="HG1280"/>
      <c r="HH1280"/>
      <c r="HI1280"/>
      <c r="HJ1280"/>
      <c r="HK1280"/>
      <c r="HL1280"/>
      <c r="HM1280"/>
      <c r="HN1280"/>
      <c r="HO1280"/>
      <c r="HP1280"/>
      <c r="HQ1280"/>
      <c r="HR1280"/>
      <c r="HS1280"/>
      <c r="HT1280"/>
      <c r="HU1280"/>
      <c r="HV1280"/>
      <c r="HW1280"/>
      <c r="HX1280"/>
      <c r="HY1280"/>
      <c r="HZ1280"/>
      <c r="IA1280"/>
      <c r="IB1280"/>
      <c r="IC1280"/>
      <c r="ID1280"/>
      <c r="IE1280"/>
      <c r="IF1280"/>
      <c r="IG1280"/>
      <c r="IH1280"/>
      <c r="II1280"/>
      <c r="IJ1280"/>
      <c r="IK1280"/>
      <c r="IL1280"/>
      <c r="IM1280"/>
      <c r="IN1280"/>
      <c r="IO1280"/>
      <c r="IP1280"/>
      <c r="IQ1280"/>
      <c r="IR1280"/>
      <c r="IS1280"/>
      <c r="IT1280"/>
      <c r="IU1280"/>
      <c r="IV1280"/>
    </row>
    <row r="1281" ht="15.75" customHeight="1">
      <c r="A1281" s="779" t="s">
        <v>932</v>
      </c>
      <c r="B1281" s="776"/>
      <c r="C1281" s="776"/>
      <c r="D1281" s="776"/>
      <c r="E1281" s="469"/>
      <c r="F1281" s="778" t="n">
        <f aca="false">E1281/$E$1304</f>
        <v>0</v>
      </c>
      <c r="G1281" s="782"/>
      <c r="I1281" s="584"/>
      <c r="J1281"/>
      <c r="K1281" s="765"/>
      <c r="L1281" s="756"/>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c r="EK1281"/>
      <c r="EL1281"/>
      <c r="EM1281"/>
      <c r="EN1281"/>
      <c r="EO1281"/>
      <c r="EP1281"/>
      <c r="EQ1281"/>
      <c r="ER1281"/>
      <c r="ES1281"/>
      <c r="ET1281"/>
      <c r="EU1281"/>
      <c r="EV1281"/>
      <c r="EW1281"/>
      <c r="EX1281"/>
      <c r="EY1281"/>
      <c r="EZ1281"/>
      <c r="FA1281"/>
      <c r="FB1281"/>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c r="GE1281"/>
      <c r="GF1281"/>
      <c r="GG1281"/>
      <c r="GH1281"/>
      <c r="GI1281"/>
      <c r="GJ1281"/>
      <c r="GK1281"/>
      <c r="GL1281"/>
      <c r="GM1281"/>
      <c r="GN1281"/>
      <c r="GO1281"/>
      <c r="GP1281"/>
      <c r="GQ1281"/>
      <c r="GR1281"/>
      <c r="GS1281"/>
      <c r="GT1281"/>
      <c r="GU1281"/>
      <c r="GV1281"/>
      <c r="GW1281"/>
      <c r="GX1281"/>
      <c r="GY1281"/>
      <c r="GZ1281"/>
      <c r="HA1281"/>
      <c r="HB1281"/>
      <c r="HC1281"/>
      <c r="HD1281"/>
      <c r="HE1281"/>
      <c r="HF1281"/>
      <c r="HG1281"/>
      <c r="HH1281"/>
      <c r="HI1281"/>
      <c r="HJ1281"/>
      <c r="HK1281"/>
      <c r="HL1281"/>
      <c r="HM1281"/>
      <c r="HN1281"/>
      <c r="HO1281"/>
      <c r="HP1281"/>
      <c r="HQ1281"/>
      <c r="HR1281"/>
      <c r="HS1281"/>
      <c r="HT1281"/>
      <c r="HU1281"/>
      <c r="HV1281"/>
      <c r="HW1281"/>
      <c r="HX1281"/>
      <c r="HY1281"/>
      <c r="HZ1281"/>
      <c r="IA1281"/>
      <c r="IB1281"/>
      <c r="IC1281"/>
      <c r="ID1281"/>
      <c r="IE1281"/>
      <c r="IF1281"/>
      <c r="IG1281"/>
      <c r="IH1281"/>
      <c r="II1281"/>
      <c r="IJ1281"/>
      <c r="IK1281"/>
      <c r="IL1281"/>
      <c r="IM1281"/>
      <c r="IN1281"/>
      <c r="IO1281"/>
      <c r="IP1281"/>
      <c r="IQ1281"/>
      <c r="IR1281"/>
      <c r="IS1281"/>
      <c r="IT1281"/>
      <c r="IU1281"/>
      <c r="IV1281"/>
    </row>
    <row r="1282" ht="15" customHeight="1">
      <c r="A1282" s="760" t="s">
        <v>933</v>
      </c>
      <c r="B1282" s="761"/>
      <c r="C1282" s="761"/>
      <c r="D1282" s="761"/>
      <c r="E1282" s="762" t="n">
        <f aca="false">SUM(E1283:E1286)</f>
        <v>0</v>
      </c>
      <c r="F1282" s="763"/>
      <c r="G1282" s="764"/>
      <c r="I1282" s="584"/>
      <c r="J1282"/>
      <c r="K1282" s="765"/>
      <c r="L1282" s="756"/>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c r="EN1282"/>
      <c r="EO1282"/>
      <c r="EP1282"/>
      <c r="EQ1282"/>
      <c r="ER1282"/>
      <c r="ES1282"/>
      <c r="ET1282"/>
      <c r="EU1282"/>
      <c r="EV1282"/>
      <c r="EW1282"/>
      <c r="EX1282"/>
      <c r="EY1282"/>
      <c r="EZ1282"/>
      <c r="FA1282"/>
      <c r="FB1282"/>
      <c r="FC1282"/>
      <c r="FD1282"/>
      <c r="FE1282"/>
      <c r="FF1282"/>
      <c r="FG1282"/>
      <c r="FH1282"/>
      <c r="FI1282"/>
      <c r="FJ1282"/>
      <c r="FK1282"/>
      <c r="FL1282"/>
      <c r="FM1282"/>
      <c r="FN1282"/>
      <c r="FO1282"/>
      <c r="FP1282"/>
      <c r="FQ1282"/>
      <c r="FR1282"/>
      <c r="FS1282"/>
      <c r="FT1282"/>
      <c r="FU1282"/>
      <c r="FV1282"/>
      <c r="FW1282"/>
      <c r="FX1282"/>
      <c r="FY1282"/>
      <c r="FZ1282"/>
      <c r="GA1282"/>
      <c r="GB1282"/>
      <c r="GC1282"/>
      <c r="GD1282"/>
      <c r="GE1282"/>
      <c r="GF1282"/>
      <c r="GG1282"/>
      <c r="GH1282"/>
      <c r="GI1282"/>
      <c r="GJ1282"/>
      <c r="GK1282"/>
      <c r="GL1282"/>
      <c r="GM1282"/>
      <c r="GN1282"/>
      <c r="GO1282"/>
      <c r="GP1282"/>
      <c r="GQ1282"/>
      <c r="GR1282"/>
      <c r="GS1282"/>
      <c r="GT1282"/>
      <c r="GU1282"/>
      <c r="GV1282"/>
      <c r="GW1282"/>
      <c r="GX1282"/>
      <c r="GY1282"/>
      <c r="GZ1282"/>
      <c r="HA1282"/>
      <c r="HB1282"/>
      <c r="HC1282"/>
      <c r="HD1282"/>
      <c r="HE1282"/>
      <c r="HF1282"/>
      <c r="HG1282"/>
      <c r="HH1282"/>
      <c r="HI1282"/>
      <c r="HJ1282"/>
      <c r="HK1282"/>
      <c r="HL1282"/>
      <c r="HM1282"/>
      <c r="HN1282"/>
      <c r="HO1282"/>
      <c r="HP1282"/>
      <c r="HQ1282"/>
      <c r="HR1282"/>
      <c r="HS1282"/>
      <c r="HT1282"/>
      <c r="HU1282"/>
      <c r="HV1282"/>
      <c r="HW1282"/>
      <c r="HX1282"/>
      <c r="HY1282"/>
      <c r="HZ1282"/>
      <c r="IA1282"/>
      <c r="IB1282"/>
      <c r="IC1282"/>
      <c r="ID1282"/>
      <c r="IE1282"/>
      <c r="IF1282"/>
      <c r="IG1282"/>
      <c r="IH1282"/>
      <c r="II1282"/>
      <c r="IJ1282"/>
      <c r="IK1282"/>
      <c r="IL1282"/>
      <c r="IM1282"/>
      <c r="IN1282"/>
      <c r="IO1282"/>
      <c r="IP1282"/>
      <c r="IQ1282"/>
      <c r="IR1282"/>
      <c r="IS1282"/>
      <c r="IT1282"/>
      <c r="IU1282"/>
      <c r="IV1282"/>
    </row>
    <row r="1283" ht="15" customHeight="1">
      <c r="A1283" s="766" t="s">
        <v>934</v>
      </c>
      <c r="B1283" s="767"/>
      <c r="C1283" s="767"/>
      <c r="D1283" s="767"/>
      <c r="E1283" s="585"/>
      <c r="F1283" s="763" t="n">
        <f aca="false">E1283/$E$1304</f>
        <v>0</v>
      </c>
      <c r="G1283" s="775"/>
      <c r="I1283" s="584"/>
      <c r="J1283"/>
      <c r="K1283" s="765"/>
      <c r="L1283" s="756"/>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c r="EK1283"/>
      <c r="EL1283"/>
      <c r="EM1283"/>
      <c r="EN1283"/>
      <c r="EO1283"/>
      <c r="EP1283"/>
      <c r="EQ1283"/>
      <c r="ER1283"/>
      <c r="ES1283"/>
      <c r="ET1283"/>
      <c r="EU1283"/>
      <c r="EV1283"/>
      <c r="EW1283"/>
      <c r="EX1283"/>
      <c r="EY1283"/>
      <c r="EZ1283"/>
      <c r="FA1283"/>
      <c r="FB1283"/>
      <c r="FC1283"/>
      <c r="FD1283"/>
      <c r="FE1283"/>
      <c r="FF1283"/>
      <c r="FG1283"/>
      <c r="FH1283"/>
      <c r="FI1283"/>
      <c r="FJ1283"/>
      <c r="FK1283"/>
      <c r="FL1283"/>
      <c r="FM1283"/>
      <c r="FN1283"/>
      <c r="FO1283"/>
      <c r="FP1283"/>
      <c r="FQ1283"/>
      <c r="FR1283"/>
      <c r="FS1283"/>
      <c r="FT1283"/>
      <c r="FU1283"/>
      <c r="FV1283"/>
      <c r="FW1283"/>
      <c r="FX1283"/>
      <c r="FY1283"/>
      <c r="FZ1283"/>
      <c r="GA1283"/>
      <c r="GB1283"/>
      <c r="GC1283"/>
      <c r="GD1283"/>
      <c r="GE1283"/>
      <c r="GF1283"/>
      <c r="GG1283"/>
      <c r="GH1283"/>
      <c r="GI1283"/>
      <c r="GJ1283"/>
      <c r="GK1283"/>
      <c r="GL1283"/>
      <c r="GM1283"/>
      <c r="GN1283"/>
      <c r="GO1283"/>
      <c r="GP1283"/>
      <c r="GQ1283"/>
      <c r="GR1283"/>
      <c r="GS1283"/>
      <c r="GT1283"/>
      <c r="GU1283"/>
      <c r="GV1283"/>
      <c r="GW1283"/>
      <c r="GX1283"/>
      <c r="GY1283"/>
      <c r="GZ1283"/>
      <c r="HA1283"/>
      <c r="HB1283"/>
      <c r="HC1283"/>
      <c r="HD1283"/>
      <c r="HE1283"/>
      <c r="HF1283"/>
      <c r="HG1283"/>
      <c r="HH1283"/>
      <c r="HI1283"/>
      <c r="HJ1283"/>
      <c r="HK1283"/>
      <c r="HL1283"/>
      <c r="HM1283"/>
      <c r="HN1283"/>
      <c r="HO1283"/>
      <c r="HP1283"/>
      <c r="HQ1283"/>
      <c r="HR1283"/>
      <c r="HS1283"/>
      <c r="HT1283"/>
      <c r="HU1283"/>
      <c r="HV1283"/>
      <c r="HW1283"/>
      <c r="HX1283"/>
      <c r="HY1283"/>
      <c r="HZ1283"/>
      <c r="IA1283"/>
      <c r="IB1283"/>
      <c r="IC1283"/>
      <c r="ID1283"/>
      <c r="IE1283"/>
      <c r="IF1283"/>
      <c r="IG1283"/>
      <c r="IH1283"/>
      <c r="II1283"/>
      <c r="IJ1283"/>
      <c r="IK1283"/>
      <c r="IL1283"/>
      <c r="IM1283"/>
      <c r="IN1283"/>
      <c r="IO1283"/>
      <c r="IP1283"/>
      <c r="IQ1283"/>
      <c r="IR1283"/>
      <c r="IS1283"/>
      <c r="IT1283"/>
      <c r="IU1283"/>
      <c r="IV1283"/>
    </row>
    <row r="1284" ht="15" customHeight="1">
      <c r="A1284" s="766" t="s">
        <v>929</v>
      </c>
      <c r="B1284" s="767"/>
      <c r="C1284" s="767"/>
      <c r="D1284" s="767"/>
      <c r="E1284" s="585"/>
      <c r="F1284" s="763" t="n">
        <f aca="false">E1284/$E$1304</f>
        <v>0</v>
      </c>
      <c r="G1284" s="775"/>
      <c r="H1284" s="9"/>
      <c r="I1284" s="584"/>
      <c r="J1284"/>
      <c r="K1284" s="765"/>
      <c r="L1284" s="756"/>
      <c r="M1284" s="9"/>
      <c r="N1284" s="9"/>
      <c r="O1284" s="9"/>
      <c r="P1284" s="9"/>
      <c r="Q1284" s="9"/>
      <c r="R1284" s="9"/>
    </row>
    <row r="1285" ht="15" customHeight="1">
      <c r="A1285" s="766" t="s">
        <v>930</v>
      </c>
      <c r="B1285" s="767"/>
      <c r="C1285" s="767"/>
      <c r="D1285" s="767"/>
      <c r="E1285" s="585"/>
      <c r="F1285" s="763" t="n">
        <f aca="false">E1285/$E$1304</f>
        <v>0</v>
      </c>
      <c r="G1285" s="775"/>
      <c r="I1285" s="584"/>
      <c r="J1285"/>
      <c r="K1285" s="765"/>
      <c r="L1285" s="756"/>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c r="EK1285"/>
      <c r="EL1285"/>
      <c r="EM1285"/>
      <c r="EN1285"/>
      <c r="EO1285"/>
      <c r="EP1285"/>
      <c r="EQ1285"/>
      <c r="ER1285"/>
      <c r="ES1285"/>
      <c r="ET1285"/>
      <c r="EU1285"/>
      <c r="EV1285"/>
      <c r="EW1285"/>
      <c r="EX1285"/>
      <c r="EY1285"/>
      <c r="EZ1285"/>
      <c r="FA1285"/>
      <c r="FB1285"/>
      <c r="FC1285"/>
      <c r="FD1285"/>
      <c r="FE1285"/>
      <c r="FF1285"/>
      <c r="FG1285"/>
      <c r="FH1285"/>
      <c r="FI1285"/>
      <c r="FJ1285"/>
      <c r="FK1285"/>
      <c r="FL1285"/>
      <c r="FM1285"/>
      <c r="FN1285"/>
      <c r="FO1285"/>
      <c r="FP1285"/>
      <c r="FQ1285"/>
      <c r="FR1285"/>
      <c r="FS1285"/>
      <c r="FT1285"/>
      <c r="FU1285"/>
      <c r="FV1285"/>
      <c r="FW1285"/>
      <c r="FX1285"/>
      <c r="FY1285"/>
      <c r="FZ1285"/>
      <c r="GA1285"/>
      <c r="GB1285"/>
      <c r="GC1285"/>
      <c r="GD1285"/>
      <c r="GE1285"/>
      <c r="GF1285"/>
      <c r="GG1285"/>
      <c r="GH1285"/>
      <c r="GI1285"/>
      <c r="GJ1285"/>
      <c r="GK1285"/>
      <c r="GL1285"/>
      <c r="GM1285"/>
      <c r="GN1285"/>
      <c r="GO1285"/>
      <c r="GP1285"/>
      <c r="GQ1285"/>
      <c r="GR1285"/>
      <c r="GS1285"/>
      <c r="GT1285"/>
      <c r="GU1285"/>
      <c r="GV1285"/>
      <c r="GW1285"/>
      <c r="GX1285"/>
      <c r="GY1285"/>
      <c r="GZ1285"/>
      <c r="HA1285"/>
      <c r="HB1285"/>
      <c r="HC1285"/>
      <c r="HD1285"/>
      <c r="HE1285"/>
      <c r="HF1285"/>
      <c r="HG1285"/>
      <c r="HH1285"/>
      <c r="HI1285"/>
      <c r="HJ1285"/>
      <c r="HK1285"/>
      <c r="HL1285"/>
      <c r="HM1285"/>
      <c r="HN1285"/>
      <c r="HO1285"/>
      <c r="HP1285"/>
      <c r="HQ1285"/>
      <c r="HR1285"/>
      <c r="HS1285"/>
      <c r="HT1285"/>
      <c r="HU1285"/>
      <c r="HV1285"/>
      <c r="HW1285"/>
      <c r="HX1285"/>
      <c r="HY1285"/>
      <c r="HZ1285"/>
      <c r="IA1285"/>
      <c r="IB1285"/>
      <c r="IC1285"/>
      <c r="ID1285"/>
      <c r="IE1285"/>
      <c r="IF1285"/>
      <c r="IG1285"/>
      <c r="IH1285"/>
      <c r="II1285"/>
      <c r="IJ1285"/>
      <c r="IK1285"/>
      <c r="IL1285"/>
      <c r="IM1285"/>
      <c r="IN1285"/>
      <c r="IO1285"/>
      <c r="IP1285"/>
      <c r="IQ1285"/>
      <c r="IR1285"/>
      <c r="IS1285"/>
      <c r="IT1285"/>
      <c r="IU1285"/>
      <c r="IV1285"/>
    </row>
    <row r="1286" ht="15.75" customHeight="1">
      <c r="A1286" s="779" t="s">
        <v>932</v>
      </c>
      <c r="B1286" s="776"/>
      <c r="C1286" s="776"/>
      <c r="D1286" s="776"/>
      <c r="E1286" s="469"/>
      <c r="F1286" s="778" t="n">
        <f aca="false">E1286/$E$1304</f>
        <v>0</v>
      </c>
      <c r="G1286" s="775"/>
      <c r="I1286" s="584"/>
      <c r="J1286"/>
      <c r="K1286" s="765"/>
      <c r="L1286" s="75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c r="EG1286"/>
      <c r="EH1286"/>
      <c r="EI1286"/>
      <c r="EJ1286"/>
      <c r="EK1286"/>
      <c r="EL1286"/>
      <c r="EM1286"/>
      <c r="EN1286"/>
      <c r="EO1286"/>
      <c r="EP1286"/>
      <c r="EQ1286"/>
      <c r="ER1286"/>
      <c r="ES1286"/>
      <c r="ET1286"/>
      <c r="EU1286"/>
      <c r="EV1286"/>
      <c r="EW1286"/>
      <c r="EX1286"/>
      <c r="EY1286"/>
      <c r="EZ1286"/>
      <c r="FA1286"/>
      <c r="FB1286"/>
      <c r="FC1286"/>
      <c r="FD1286"/>
      <c r="FE1286"/>
      <c r="FF1286"/>
      <c r="FG1286"/>
      <c r="FH1286"/>
      <c r="FI1286"/>
      <c r="FJ1286"/>
      <c r="FK1286"/>
      <c r="FL1286"/>
      <c r="FM1286"/>
      <c r="FN1286"/>
      <c r="FO1286"/>
      <c r="FP1286"/>
      <c r="FQ1286"/>
      <c r="FR1286"/>
      <c r="FS1286"/>
      <c r="FT1286"/>
      <c r="FU1286"/>
      <c r="FV1286"/>
      <c r="FW1286"/>
      <c r="FX1286"/>
      <c r="FY1286"/>
      <c r="FZ1286"/>
      <c r="GA1286"/>
      <c r="GB1286"/>
      <c r="GC1286"/>
      <c r="GD1286"/>
      <c r="GE1286"/>
      <c r="GF1286"/>
      <c r="GG1286"/>
      <c r="GH1286"/>
      <c r="GI1286"/>
      <c r="GJ1286"/>
      <c r="GK1286"/>
      <c r="GL1286"/>
      <c r="GM1286"/>
      <c r="GN1286"/>
      <c r="GO1286"/>
      <c r="GP1286"/>
      <c r="GQ1286"/>
      <c r="GR1286"/>
      <c r="GS1286"/>
      <c r="GT1286"/>
      <c r="GU1286"/>
      <c r="GV1286"/>
      <c r="GW1286"/>
      <c r="GX1286"/>
      <c r="GY1286"/>
      <c r="GZ1286"/>
      <c r="HA1286"/>
      <c r="HB1286"/>
      <c r="HC1286"/>
      <c r="HD1286"/>
      <c r="HE1286"/>
      <c r="HF1286"/>
      <c r="HG1286"/>
      <c r="HH1286"/>
      <c r="HI1286"/>
      <c r="HJ1286"/>
      <c r="HK1286"/>
      <c r="HL1286"/>
      <c r="HM1286"/>
      <c r="HN1286"/>
      <c r="HO1286"/>
      <c r="HP1286"/>
      <c r="HQ1286"/>
      <c r="HR1286"/>
      <c r="HS1286"/>
      <c r="HT1286"/>
      <c r="HU1286"/>
      <c r="HV1286"/>
      <c r="HW1286"/>
      <c r="HX1286"/>
      <c r="HY1286"/>
      <c r="HZ1286"/>
      <c r="IA1286"/>
      <c r="IB1286"/>
      <c r="IC1286"/>
      <c r="ID1286"/>
      <c r="IE1286"/>
      <c r="IF1286"/>
      <c r="IG1286"/>
      <c r="IH1286"/>
      <c r="II1286"/>
      <c r="IJ1286"/>
      <c r="IK1286"/>
      <c r="IL1286"/>
      <c r="IM1286"/>
      <c r="IN1286"/>
      <c r="IO1286"/>
      <c r="IP1286"/>
      <c r="IQ1286"/>
      <c r="IR1286"/>
      <c r="IS1286"/>
      <c r="IT1286"/>
      <c r="IU1286"/>
      <c r="IV1286"/>
    </row>
    <row r="1287" ht="15" customHeight="1">
      <c r="A1287" s="760" t="s">
        <v>1784</v>
      </c>
      <c r="B1287" s="761"/>
      <c r="C1287" s="761"/>
      <c r="D1287" s="761"/>
      <c r="E1287" s="762" t="n">
        <f aca="false">SUM(E1288:E1291)</f>
        <v>0</v>
      </c>
      <c r="F1287" s="763"/>
      <c r="G1287" s="764"/>
      <c r="I1287" s="584"/>
      <c r="J1287"/>
      <c r="K1287" s="765"/>
      <c r="L1287" s="756"/>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c r="EG1287"/>
      <c r="EH1287"/>
      <c r="EI1287"/>
      <c r="EJ1287"/>
      <c r="EK1287"/>
      <c r="EL1287"/>
      <c r="EM1287"/>
      <c r="EN1287"/>
      <c r="EO1287"/>
      <c r="EP1287"/>
      <c r="EQ1287"/>
      <c r="ER1287"/>
      <c r="ES1287"/>
      <c r="ET1287"/>
      <c r="EU1287"/>
      <c r="EV1287"/>
      <c r="EW1287"/>
      <c r="EX1287"/>
      <c r="EY1287"/>
      <c r="EZ1287"/>
      <c r="FA1287"/>
      <c r="FB1287"/>
      <c r="FC1287"/>
      <c r="FD1287"/>
      <c r="FE1287"/>
      <c r="FF1287"/>
      <c r="FG1287"/>
      <c r="FH1287"/>
      <c r="FI1287"/>
      <c r="FJ1287"/>
      <c r="FK1287"/>
      <c r="FL1287"/>
      <c r="FM1287"/>
      <c r="FN1287"/>
      <c r="FO1287"/>
      <c r="FP1287"/>
      <c r="FQ1287"/>
      <c r="FR1287"/>
      <c r="FS1287"/>
      <c r="FT1287"/>
      <c r="FU1287"/>
      <c r="FV1287"/>
      <c r="FW1287"/>
      <c r="FX1287"/>
      <c r="FY1287"/>
      <c r="FZ1287"/>
      <c r="GA1287"/>
      <c r="GB1287"/>
      <c r="GC1287"/>
      <c r="GD1287"/>
      <c r="GE1287"/>
      <c r="GF1287"/>
      <c r="GG1287"/>
      <c r="GH1287"/>
      <c r="GI1287"/>
      <c r="GJ1287"/>
      <c r="GK1287"/>
      <c r="GL1287"/>
      <c r="GM1287"/>
      <c r="GN1287"/>
      <c r="GO1287"/>
      <c r="GP1287"/>
      <c r="GQ1287"/>
      <c r="GR1287"/>
      <c r="GS1287"/>
      <c r="GT1287"/>
      <c r="GU1287"/>
      <c r="GV1287"/>
      <c r="GW1287"/>
      <c r="GX1287"/>
      <c r="GY1287"/>
      <c r="GZ1287"/>
      <c r="HA1287"/>
      <c r="HB1287"/>
      <c r="HC1287"/>
      <c r="HD1287"/>
      <c r="HE1287"/>
      <c r="HF1287"/>
      <c r="HG1287"/>
      <c r="HH1287"/>
      <c r="HI1287"/>
      <c r="HJ1287"/>
      <c r="HK1287"/>
      <c r="HL1287"/>
      <c r="HM1287"/>
      <c r="HN1287"/>
      <c r="HO1287"/>
      <c r="HP1287"/>
      <c r="HQ1287"/>
      <c r="HR1287"/>
      <c r="HS1287"/>
      <c r="HT1287"/>
      <c r="HU1287"/>
      <c r="HV1287"/>
      <c r="HW1287"/>
      <c r="HX1287"/>
      <c r="HY1287"/>
      <c r="HZ1287"/>
      <c r="IA1287"/>
      <c r="IB1287"/>
      <c r="IC1287"/>
      <c r="ID1287"/>
      <c r="IE1287"/>
      <c r="IF1287"/>
      <c r="IG1287"/>
      <c r="IH1287"/>
      <c r="II1287"/>
      <c r="IJ1287"/>
      <c r="IK1287"/>
      <c r="IL1287"/>
      <c r="IM1287"/>
      <c r="IN1287"/>
      <c r="IO1287"/>
      <c r="IP1287"/>
      <c r="IQ1287"/>
      <c r="IR1287"/>
      <c r="IS1287"/>
      <c r="IT1287"/>
      <c r="IU1287"/>
      <c r="IV1287"/>
    </row>
    <row r="1288" ht="15" customHeight="1">
      <c r="A1288" s="766" t="s">
        <v>934</v>
      </c>
      <c r="B1288" s="767"/>
      <c r="C1288" s="767"/>
      <c r="D1288" s="767"/>
      <c r="E1288" s="585"/>
      <c r="F1288" s="763" t="n">
        <f aca="false">E1288/$E$1304</f>
        <v>0</v>
      </c>
      <c r="G1288" s="775"/>
      <c r="I1288" s="584"/>
      <c r="J1288"/>
      <c r="K1288" s="765"/>
      <c r="L1288" s="756"/>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c r="EF1288"/>
      <c r="EG1288"/>
      <c r="EH1288"/>
      <c r="EI1288"/>
      <c r="EJ1288"/>
      <c r="EK1288"/>
      <c r="EL1288"/>
      <c r="EM1288"/>
      <c r="EN1288"/>
      <c r="EO1288"/>
      <c r="EP1288"/>
      <c r="EQ1288"/>
      <c r="ER1288"/>
      <c r="ES1288"/>
      <c r="ET1288"/>
      <c r="EU1288"/>
      <c r="EV1288"/>
      <c r="EW1288"/>
      <c r="EX1288"/>
      <c r="EY1288"/>
      <c r="EZ1288"/>
      <c r="FA1288"/>
      <c r="FB1288"/>
      <c r="FC1288"/>
      <c r="FD1288"/>
      <c r="FE1288"/>
      <c r="FF1288"/>
      <c r="FG1288"/>
      <c r="FH1288"/>
      <c r="FI1288"/>
      <c r="FJ1288"/>
      <c r="FK1288"/>
      <c r="FL1288"/>
      <c r="FM1288"/>
      <c r="FN1288"/>
      <c r="FO1288"/>
      <c r="FP1288"/>
      <c r="FQ1288"/>
      <c r="FR1288"/>
      <c r="FS1288"/>
      <c r="FT1288"/>
      <c r="FU1288"/>
      <c r="FV1288"/>
      <c r="FW1288"/>
      <c r="FX1288"/>
      <c r="FY1288"/>
      <c r="FZ1288"/>
      <c r="GA1288"/>
      <c r="GB1288"/>
      <c r="GC1288"/>
      <c r="GD1288"/>
      <c r="GE1288"/>
      <c r="GF1288"/>
      <c r="GG1288"/>
      <c r="GH1288"/>
      <c r="GI1288"/>
      <c r="GJ1288"/>
      <c r="GK1288"/>
      <c r="GL1288"/>
      <c r="GM1288"/>
      <c r="GN1288"/>
      <c r="GO1288"/>
      <c r="GP1288"/>
      <c r="GQ1288"/>
      <c r="GR1288"/>
      <c r="GS1288"/>
      <c r="GT1288"/>
      <c r="GU1288"/>
      <c r="GV1288"/>
      <c r="GW1288"/>
      <c r="GX1288"/>
      <c r="GY1288"/>
      <c r="GZ1288"/>
      <c r="HA1288"/>
      <c r="HB1288"/>
      <c r="HC1288"/>
      <c r="HD1288"/>
      <c r="HE1288"/>
      <c r="HF1288"/>
      <c r="HG1288"/>
      <c r="HH1288"/>
      <c r="HI1288"/>
      <c r="HJ1288"/>
      <c r="HK1288"/>
      <c r="HL1288"/>
      <c r="HM1288"/>
      <c r="HN1288"/>
      <c r="HO1288"/>
      <c r="HP1288"/>
      <c r="HQ1288"/>
      <c r="HR1288"/>
      <c r="HS1288"/>
      <c r="HT1288"/>
      <c r="HU1288"/>
      <c r="HV1288"/>
      <c r="HW1288"/>
      <c r="HX1288"/>
      <c r="HY1288"/>
      <c r="HZ1288"/>
      <c r="IA1288"/>
      <c r="IB1288"/>
      <c r="IC1288"/>
      <c r="ID1288"/>
      <c r="IE1288"/>
      <c r="IF1288"/>
      <c r="IG1288"/>
      <c r="IH1288"/>
      <c r="II1288"/>
      <c r="IJ1288"/>
      <c r="IK1288"/>
      <c r="IL1288"/>
      <c r="IM1288"/>
      <c r="IN1288"/>
      <c r="IO1288"/>
      <c r="IP1288"/>
      <c r="IQ1288"/>
      <c r="IR1288"/>
      <c r="IS1288"/>
      <c r="IT1288"/>
      <c r="IU1288"/>
      <c r="IV1288"/>
    </row>
    <row r="1289" ht="15.75" customHeight="1">
      <c r="A1289" s="766" t="s">
        <v>929</v>
      </c>
      <c r="B1289" s="767"/>
      <c r="C1289" s="767"/>
      <c r="D1289" s="767"/>
      <c r="E1289" s="585"/>
      <c r="F1289" s="763" t="n">
        <f aca="false">E1289/$E$1304</f>
        <v>0</v>
      </c>
      <c r="G1289" s="775"/>
      <c r="H1289" s="9"/>
      <c r="I1289" s="584"/>
      <c r="J1289"/>
      <c r="K1289" s="765"/>
      <c r="L1289" s="756"/>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c r="EK1289"/>
      <c r="EL1289"/>
      <c r="EM1289"/>
      <c r="EN1289"/>
      <c r="EO1289"/>
      <c r="EP1289"/>
      <c r="EQ1289"/>
      <c r="ER1289"/>
      <c r="ES1289"/>
      <c r="ET1289"/>
      <c r="EU1289"/>
      <c r="EV1289"/>
      <c r="EW1289"/>
      <c r="EX1289"/>
      <c r="EY1289"/>
      <c r="EZ1289"/>
      <c r="FA1289"/>
      <c r="FB1289"/>
      <c r="FC1289"/>
      <c r="FD1289"/>
      <c r="FE1289"/>
      <c r="FF1289"/>
      <c r="FG1289"/>
      <c r="FH1289"/>
      <c r="FI1289"/>
      <c r="FJ1289"/>
      <c r="FK1289"/>
      <c r="FL1289"/>
      <c r="FM1289"/>
      <c r="FN1289"/>
      <c r="FO1289"/>
      <c r="FP1289"/>
      <c r="FQ1289"/>
      <c r="FR1289"/>
      <c r="FS1289"/>
      <c r="FT1289"/>
      <c r="FU1289"/>
      <c r="FV1289"/>
      <c r="FW1289"/>
      <c r="FX1289"/>
      <c r="FY1289"/>
      <c r="FZ1289"/>
      <c r="GA1289"/>
      <c r="GB1289"/>
      <c r="GC1289"/>
      <c r="GD1289"/>
      <c r="GE1289"/>
      <c r="GF1289"/>
      <c r="GG1289"/>
      <c r="GH1289"/>
      <c r="GI1289"/>
      <c r="GJ1289"/>
      <c r="GK1289"/>
      <c r="GL1289"/>
      <c r="GM1289"/>
      <c r="GN1289"/>
      <c r="GO1289"/>
      <c r="GP1289"/>
      <c r="GQ1289"/>
      <c r="GR1289"/>
      <c r="GS1289"/>
      <c r="GT1289"/>
      <c r="GU1289"/>
      <c r="GV1289"/>
      <c r="GW1289"/>
      <c r="GX1289"/>
      <c r="GY1289"/>
      <c r="GZ1289"/>
      <c r="HA1289"/>
      <c r="HB1289"/>
      <c r="HC1289"/>
      <c r="HD1289"/>
      <c r="HE1289"/>
      <c r="HF1289"/>
      <c r="HG1289"/>
      <c r="HH1289"/>
      <c r="HI1289"/>
      <c r="HJ1289"/>
      <c r="HK1289"/>
      <c r="HL1289"/>
      <c r="HM1289"/>
      <c r="HN1289"/>
      <c r="HO1289"/>
      <c r="HP1289"/>
      <c r="HQ1289"/>
      <c r="HR1289"/>
      <c r="HS1289"/>
      <c r="HT1289"/>
      <c r="HU1289"/>
      <c r="HV1289"/>
      <c r="HW1289"/>
      <c r="HX1289"/>
      <c r="HY1289"/>
      <c r="HZ1289"/>
      <c r="IA1289"/>
      <c r="IB1289"/>
      <c r="IC1289"/>
      <c r="ID1289"/>
      <c r="IE1289"/>
      <c r="IF1289"/>
      <c r="IG1289"/>
      <c r="IH1289"/>
      <c r="II1289"/>
      <c r="IJ1289"/>
      <c r="IK1289"/>
      <c r="IL1289"/>
      <c r="IM1289"/>
      <c r="IN1289"/>
      <c r="IO1289"/>
      <c r="IP1289"/>
      <c r="IQ1289"/>
      <c r="IR1289"/>
      <c r="IS1289"/>
      <c r="IT1289"/>
      <c r="IU1289"/>
      <c r="IV1289"/>
    </row>
    <row r="1290" ht="15" customHeight="1">
      <c r="A1290" s="766" t="s">
        <v>930</v>
      </c>
      <c r="B1290" s="767"/>
      <c r="C1290" s="767"/>
      <c r="D1290" s="767"/>
      <c r="E1290" s="585"/>
      <c r="F1290" s="763" t="n">
        <f aca="false">E1290/$E$1304</f>
        <v>0</v>
      </c>
      <c r="G1290" s="775"/>
      <c r="H1290" s="9"/>
      <c r="I1290" s="584"/>
      <c r="J1290"/>
      <c r="K1290" s="765"/>
      <c r="L1290" s="756"/>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c r="EG1290"/>
      <c r="EH1290"/>
      <c r="EI1290"/>
      <c r="EJ1290"/>
      <c r="EK1290"/>
      <c r="EL1290"/>
      <c r="EM1290"/>
      <c r="EN1290"/>
      <c r="EO1290"/>
      <c r="EP1290"/>
      <c r="EQ1290"/>
      <c r="ER1290"/>
      <c r="ES1290"/>
      <c r="ET1290"/>
      <c r="EU1290"/>
      <c r="EV1290"/>
      <c r="EW1290"/>
      <c r="EX1290"/>
      <c r="EY1290"/>
      <c r="EZ1290"/>
      <c r="FA1290"/>
      <c r="FB1290"/>
      <c r="FC1290"/>
      <c r="FD1290"/>
      <c r="FE1290"/>
      <c r="FF1290"/>
      <c r="FG1290"/>
      <c r="FH1290"/>
      <c r="FI1290"/>
      <c r="FJ1290"/>
      <c r="FK1290"/>
      <c r="FL1290"/>
      <c r="FM1290"/>
      <c r="FN1290"/>
      <c r="FO1290"/>
      <c r="FP1290"/>
      <c r="FQ1290"/>
      <c r="FR1290"/>
      <c r="FS1290"/>
      <c r="FT1290"/>
      <c r="FU1290"/>
      <c r="FV1290"/>
      <c r="FW1290"/>
      <c r="FX1290"/>
      <c r="FY1290"/>
      <c r="FZ1290"/>
      <c r="GA1290"/>
      <c r="GB1290"/>
      <c r="GC1290"/>
      <c r="GD1290"/>
      <c r="GE1290"/>
      <c r="GF1290"/>
      <c r="GG1290"/>
      <c r="GH1290"/>
      <c r="GI1290"/>
      <c r="GJ1290"/>
      <c r="GK1290"/>
      <c r="GL1290"/>
      <c r="GM1290"/>
      <c r="GN1290"/>
      <c r="GO1290"/>
      <c r="GP1290"/>
      <c r="GQ1290"/>
      <c r="GR1290"/>
      <c r="GS1290"/>
      <c r="GT1290"/>
      <c r="GU1290"/>
      <c r="GV1290"/>
      <c r="GW1290"/>
      <c r="GX1290"/>
      <c r="GY1290"/>
      <c r="GZ1290"/>
      <c r="HA1290"/>
      <c r="HB1290"/>
      <c r="HC1290"/>
      <c r="HD1290"/>
      <c r="HE1290"/>
      <c r="HF1290"/>
      <c r="HG1290"/>
      <c r="HH1290"/>
      <c r="HI1290"/>
      <c r="HJ1290"/>
      <c r="HK1290"/>
      <c r="HL1290"/>
      <c r="HM1290"/>
      <c r="HN1290"/>
      <c r="HO1290"/>
      <c r="HP1290"/>
      <c r="HQ1290"/>
      <c r="HR1290"/>
      <c r="HS1290"/>
      <c r="HT1290"/>
      <c r="HU1290"/>
      <c r="HV1290"/>
      <c r="HW1290"/>
      <c r="HX1290"/>
      <c r="HY1290"/>
      <c r="HZ1290"/>
      <c r="IA1290"/>
      <c r="IB1290"/>
      <c r="IC1290"/>
      <c r="ID1290"/>
      <c r="IE1290"/>
      <c r="IF1290"/>
      <c r="IG1290"/>
      <c r="IH1290"/>
      <c r="II1290"/>
      <c r="IJ1290"/>
      <c r="IK1290"/>
      <c r="IL1290"/>
      <c r="IM1290"/>
      <c r="IN1290"/>
      <c r="IO1290"/>
      <c r="IP1290"/>
      <c r="IQ1290"/>
      <c r="IR1290"/>
      <c r="IS1290"/>
      <c r="IT1290"/>
      <c r="IU1290"/>
      <c r="IV1290"/>
    </row>
    <row r="1291" ht="15" customHeight="1">
      <c r="A1291" s="779" t="s">
        <v>932</v>
      </c>
      <c r="B1291" s="776"/>
      <c r="C1291" s="776"/>
      <c r="D1291" s="776"/>
      <c r="E1291" s="469"/>
      <c r="F1291" s="778" t="n">
        <f aca="false">E1291/$E$1304</f>
        <v>0</v>
      </c>
      <c r="G1291" s="775"/>
      <c r="H1291" s="9"/>
      <c r="I1291" s="584"/>
      <c r="J1291"/>
      <c r="K1291" s="765"/>
      <c r="L1291" s="756"/>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c r="EG1291"/>
      <c r="EH1291"/>
      <c r="EI1291"/>
      <c r="EJ1291"/>
      <c r="EK1291"/>
      <c r="EL1291"/>
      <c r="EM1291"/>
      <c r="EN1291"/>
      <c r="EO1291"/>
      <c r="EP1291"/>
      <c r="EQ1291"/>
      <c r="ER1291"/>
      <c r="ES1291"/>
      <c r="ET1291"/>
      <c r="EU1291"/>
      <c r="EV1291"/>
      <c r="EW1291"/>
      <c r="EX1291"/>
      <c r="EY1291"/>
      <c r="EZ1291"/>
      <c r="FA1291"/>
      <c r="FB1291"/>
      <c r="FC1291"/>
      <c r="FD1291"/>
      <c r="FE1291"/>
      <c r="FF1291"/>
      <c r="FG1291"/>
      <c r="FH1291"/>
      <c r="FI1291"/>
      <c r="FJ1291"/>
      <c r="FK1291"/>
      <c r="FL1291"/>
      <c r="FM1291"/>
      <c r="FN1291"/>
      <c r="FO1291"/>
      <c r="FP1291"/>
      <c r="FQ1291"/>
      <c r="FR1291"/>
      <c r="FS1291"/>
      <c r="FT1291"/>
      <c r="FU1291"/>
      <c r="FV1291"/>
      <c r="FW1291"/>
      <c r="FX1291"/>
      <c r="FY1291"/>
      <c r="FZ1291"/>
      <c r="GA1291"/>
      <c r="GB1291"/>
      <c r="GC1291"/>
      <c r="GD1291"/>
      <c r="GE1291"/>
      <c r="GF1291"/>
      <c r="GG1291"/>
      <c r="GH1291"/>
      <c r="GI1291"/>
      <c r="GJ1291"/>
      <c r="GK1291"/>
      <c r="GL1291"/>
      <c r="GM1291"/>
      <c r="GN1291"/>
      <c r="GO1291"/>
      <c r="GP1291"/>
      <c r="GQ1291"/>
      <c r="GR1291"/>
      <c r="GS1291"/>
      <c r="GT1291"/>
      <c r="GU1291"/>
      <c r="GV1291"/>
      <c r="GW1291"/>
      <c r="GX1291"/>
      <c r="GY1291"/>
      <c r="GZ1291"/>
      <c r="HA1291"/>
      <c r="HB1291"/>
      <c r="HC1291"/>
      <c r="HD1291"/>
      <c r="HE1291"/>
      <c r="HF1291"/>
      <c r="HG1291"/>
      <c r="HH1291"/>
      <c r="HI1291"/>
      <c r="HJ1291"/>
      <c r="HK1291"/>
      <c r="HL1291"/>
      <c r="HM1291"/>
      <c r="HN1291"/>
      <c r="HO1291"/>
      <c r="HP1291"/>
      <c r="HQ1291"/>
      <c r="HR1291"/>
      <c r="HS1291"/>
      <c r="HT1291"/>
      <c r="HU1291"/>
      <c r="HV1291"/>
      <c r="HW1291"/>
      <c r="HX1291"/>
      <c r="HY1291"/>
      <c r="HZ1291"/>
      <c r="IA1291"/>
      <c r="IB1291"/>
      <c r="IC1291"/>
      <c r="ID1291"/>
      <c r="IE1291"/>
      <c r="IF1291"/>
      <c r="IG1291"/>
      <c r="IH1291"/>
      <c r="II1291"/>
      <c r="IJ1291"/>
      <c r="IK1291"/>
      <c r="IL1291"/>
      <c r="IM1291"/>
      <c r="IN1291"/>
      <c r="IO1291"/>
      <c r="IP1291"/>
      <c r="IQ1291"/>
      <c r="IR1291"/>
      <c r="IS1291"/>
      <c r="IT1291"/>
      <c r="IU1291"/>
      <c r="IV1291"/>
    </row>
    <row r="1292" ht="15" customHeight="1">
      <c r="A1292" s="760" t="s">
        <v>936</v>
      </c>
      <c r="B1292" s="761"/>
      <c r="C1292" s="761"/>
      <c r="D1292" s="761"/>
      <c r="E1292" s="762" t="n">
        <f aca="false">SUM(E1293:E1294)</f>
        <v>0</v>
      </c>
      <c r="F1292" s="763"/>
      <c r="G1292" s="764"/>
      <c r="I1292" s="584"/>
      <c r="J1292"/>
      <c r="K1292" s="765"/>
      <c r="L1292" s="756"/>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c r="EF1292"/>
      <c r="EG1292"/>
      <c r="EH1292"/>
      <c r="EI1292"/>
      <c r="EJ1292"/>
      <c r="EK1292"/>
      <c r="EL1292"/>
      <c r="EM1292"/>
      <c r="EN1292"/>
      <c r="EO1292"/>
      <c r="EP1292"/>
      <c r="EQ1292"/>
      <c r="ER1292"/>
      <c r="ES1292"/>
      <c r="ET1292"/>
      <c r="EU1292"/>
      <c r="EV1292"/>
      <c r="EW1292"/>
      <c r="EX1292"/>
      <c r="EY1292"/>
      <c r="EZ1292"/>
      <c r="FA1292"/>
      <c r="FB1292"/>
      <c r="FC1292"/>
      <c r="FD1292"/>
      <c r="FE1292"/>
      <c r="FF1292"/>
      <c r="FG1292"/>
      <c r="FH1292"/>
      <c r="FI1292"/>
      <c r="FJ1292"/>
      <c r="FK1292"/>
      <c r="FL1292"/>
      <c r="FM1292"/>
      <c r="FN1292"/>
      <c r="FO1292"/>
      <c r="FP1292"/>
      <c r="FQ1292"/>
      <c r="FR1292"/>
      <c r="FS1292"/>
      <c r="FT1292"/>
      <c r="FU1292"/>
      <c r="FV1292"/>
      <c r="FW1292"/>
      <c r="FX1292"/>
      <c r="FY1292"/>
      <c r="FZ1292"/>
      <c r="GA1292"/>
      <c r="GB1292"/>
      <c r="GC1292"/>
      <c r="GD1292"/>
      <c r="GE1292"/>
      <c r="GF1292"/>
      <c r="GG1292"/>
      <c r="GH1292"/>
      <c r="GI1292"/>
      <c r="GJ1292"/>
      <c r="GK1292"/>
      <c r="GL1292"/>
      <c r="GM1292"/>
      <c r="GN1292"/>
      <c r="GO1292"/>
      <c r="GP1292"/>
      <c r="GQ1292"/>
      <c r="GR1292"/>
      <c r="GS1292"/>
      <c r="GT1292"/>
      <c r="GU1292"/>
      <c r="GV1292"/>
      <c r="GW1292"/>
      <c r="GX1292"/>
      <c r="GY1292"/>
      <c r="GZ1292"/>
      <c r="HA1292"/>
      <c r="HB1292"/>
      <c r="HC1292"/>
      <c r="HD1292"/>
      <c r="HE1292"/>
      <c r="HF1292"/>
      <c r="HG1292"/>
      <c r="HH1292"/>
      <c r="HI1292"/>
      <c r="HJ1292"/>
      <c r="HK1292"/>
      <c r="HL1292"/>
      <c r="HM1292"/>
      <c r="HN1292"/>
      <c r="HO1292"/>
      <c r="HP1292"/>
      <c r="HQ1292"/>
      <c r="HR1292"/>
      <c r="HS1292"/>
      <c r="HT1292"/>
      <c r="HU1292"/>
      <c r="HV1292"/>
      <c r="HW1292"/>
      <c r="HX1292"/>
      <c r="HY1292"/>
      <c r="HZ1292"/>
      <c r="IA1292"/>
      <c r="IB1292"/>
      <c r="IC1292"/>
      <c r="ID1292"/>
      <c r="IE1292"/>
      <c r="IF1292"/>
      <c r="IG1292"/>
      <c r="IH1292"/>
      <c r="II1292"/>
      <c r="IJ1292"/>
      <c r="IK1292"/>
      <c r="IL1292"/>
      <c r="IM1292"/>
      <c r="IN1292"/>
      <c r="IO1292"/>
      <c r="IP1292"/>
      <c r="IQ1292"/>
      <c r="IR1292"/>
      <c r="IS1292"/>
      <c r="IT1292"/>
      <c r="IU1292"/>
      <c r="IV1292"/>
    </row>
    <row r="1293" ht="15.75" customHeight="1">
      <c r="A1293" s="766" t="s">
        <v>928</v>
      </c>
      <c r="B1293" s="767"/>
      <c r="C1293" s="767"/>
      <c r="D1293" s="767"/>
      <c r="E1293" s="585"/>
      <c r="F1293" s="763" t="n">
        <f aca="false">E1293/$E$1304</f>
        <v>0</v>
      </c>
      <c r="G1293" s="775"/>
      <c r="I1293" s="584"/>
      <c r="J1293"/>
      <c r="K1293" s="765"/>
      <c r="L1293" s="756"/>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c r="EK1293"/>
      <c r="EL1293"/>
      <c r="EM1293"/>
      <c r="EN1293"/>
      <c r="EO1293"/>
      <c r="EP1293"/>
      <c r="EQ1293"/>
      <c r="ER1293"/>
      <c r="ES1293"/>
      <c r="ET1293"/>
      <c r="EU1293"/>
      <c r="EV1293"/>
      <c r="EW1293"/>
      <c r="EX1293"/>
      <c r="EY1293"/>
      <c r="EZ1293"/>
      <c r="FA1293"/>
      <c r="FB1293"/>
      <c r="FC1293"/>
      <c r="FD1293"/>
      <c r="FE1293"/>
      <c r="FF1293"/>
      <c r="FG1293"/>
      <c r="FH1293"/>
      <c r="FI1293"/>
      <c r="FJ1293"/>
      <c r="FK1293"/>
      <c r="FL1293"/>
      <c r="FM1293"/>
      <c r="FN1293"/>
      <c r="FO1293"/>
      <c r="FP1293"/>
      <c r="FQ1293"/>
      <c r="FR1293"/>
      <c r="FS1293"/>
      <c r="FT1293"/>
      <c r="FU1293"/>
      <c r="FV1293"/>
      <c r="FW1293"/>
      <c r="FX1293"/>
      <c r="FY1293"/>
      <c r="FZ1293"/>
      <c r="GA1293"/>
      <c r="GB1293"/>
      <c r="GC1293"/>
      <c r="GD1293"/>
      <c r="GE1293"/>
      <c r="GF1293"/>
      <c r="GG1293"/>
      <c r="GH1293"/>
      <c r="GI1293"/>
      <c r="GJ1293"/>
      <c r="GK1293"/>
      <c r="GL1293"/>
      <c r="GM1293"/>
      <c r="GN1293"/>
      <c r="GO1293"/>
      <c r="GP1293"/>
      <c r="GQ1293"/>
      <c r="GR1293"/>
      <c r="GS1293"/>
      <c r="GT1293"/>
      <c r="GU1293"/>
      <c r="GV1293"/>
      <c r="GW1293"/>
      <c r="GX1293"/>
      <c r="GY1293"/>
      <c r="GZ1293"/>
      <c r="HA1293"/>
      <c r="HB1293"/>
      <c r="HC1293"/>
      <c r="HD1293"/>
      <c r="HE1293"/>
      <c r="HF1293"/>
      <c r="HG1293"/>
      <c r="HH1293"/>
      <c r="HI1293"/>
      <c r="HJ1293"/>
      <c r="HK1293"/>
      <c r="HL1293"/>
      <c r="HM1293"/>
      <c r="HN1293"/>
      <c r="HO1293"/>
      <c r="HP1293"/>
      <c r="HQ1293"/>
      <c r="HR1293"/>
      <c r="HS1293"/>
      <c r="HT1293"/>
      <c r="HU1293"/>
      <c r="HV1293"/>
      <c r="HW1293"/>
      <c r="HX1293"/>
      <c r="HY1293"/>
      <c r="HZ1293"/>
      <c r="IA1293"/>
      <c r="IB1293"/>
      <c r="IC1293"/>
      <c r="ID1293"/>
      <c r="IE1293"/>
      <c r="IF1293"/>
      <c r="IG1293"/>
      <c r="IH1293"/>
      <c r="II1293"/>
      <c r="IJ1293"/>
      <c r="IK1293"/>
      <c r="IL1293"/>
      <c r="IM1293"/>
      <c r="IN1293"/>
      <c r="IO1293"/>
      <c r="IP1293"/>
      <c r="IQ1293"/>
      <c r="IR1293"/>
      <c r="IS1293"/>
      <c r="IT1293"/>
      <c r="IU1293"/>
      <c r="IV1293"/>
    </row>
    <row r="1294" ht="15" customHeight="1">
      <c r="A1294" s="779" t="s">
        <v>932</v>
      </c>
      <c r="B1294" s="776"/>
      <c r="C1294" s="776"/>
      <c r="D1294" s="776"/>
      <c r="E1294" s="469"/>
      <c r="F1294" s="778" t="n">
        <f aca="false">E1294/$E$1304</f>
        <v>0</v>
      </c>
      <c r="G1294" s="775"/>
      <c r="I1294" s="584"/>
      <c r="J1294"/>
      <c r="K1294" s="765"/>
      <c r="L1294" s="756"/>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c r="EG1294"/>
      <c r="EH1294"/>
      <c r="EI1294"/>
      <c r="EJ1294"/>
      <c r="EK1294"/>
      <c r="EL1294"/>
      <c r="EM1294"/>
      <c r="EN1294"/>
      <c r="EO1294"/>
      <c r="EP1294"/>
      <c r="EQ1294"/>
      <c r="ER1294"/>
      <c r="ES1294"/>
      <c r="ET1294"/>
      <c r="EU1294"/>
      <c r="EV1294"/>
      <c r="EW1294"/>
      <c r="EX1294"/>
      <c r="EY1294"/>
      <c r="EZ1294"/>
      <c r="FA1294"/>
      <c r="FB1294"/>
      <c r="FC1294"/>
      <c r="FD1294"/>
      <c r="FE1294"/>
      <c r="FF1294"/>
      <c r="FG1294"/>
      <c r="FH1294"/>
      <c r="FI1294"/>
      <c r="FJ1294"/>
      <c r="FK1294"/>
      <c r="FL1294"/>
      <c r="FM1294"/>
      <c r="FN1294"/>
      <c r="FO1294"/>
      <c r="FP1294"/>
      <c r="FQ1294"/>
      <c r="FR1294"/>
      <c r="FS1294"/>
      <c r="FT1294"/>
      <c r="FU1294"/>
      <c r="FV1294"/>
      <c r="FW1294"/>
      <c r="FX1294"/>
      <c r="FY1294"/>
      <c r="FZ1294"/>
      <c r="GA1294"/>
      <c r="GB1294"/>
      <c r="GC1294"/>
      <c r="GD1294"/>
      <c r="GE1294"/>
      <c r="GF1294"/>
      <c r="GG1294"/>
      <c r="GH1294"/>
      <c r="GI1294"/>
      <c r="GJ1294"/>
      <c r="GK1294"/>
      <c r="GL1294"/>
      <c r="GM1294"/>
      <c r="GN1294"/>
      <c r="GO1294"/>
      <c r="GP1294"/>
      <c r="GQ1294"/>
      <c r="GR1294"/>
      <c r="GS1294"/>
      <c r="GT1294"/>
      <c r="GU1294"/>
      <c r="GV1294"/>
      <c r="GW1294"/>
      <c r="GX1294"/>
      <c r="GY1294"/>
      <c r="GZ1294"/>
      <c r="HA1294"/>
      <c r="HB1294"/>
      <c r="HC1294"/>
      <c r="HD1294"/>
      <c r="HE1294"/>
      <c r="HF1294"/>
      <c r="HG1294"/>
      <c r="HH1294"/>
      <c r="HI1294"/>
      <c r="HJ1294"/>
      <c r="HK1294"/>
      <c r="HL1294"/>
      <c r="HM1294"/>
      <c r="HN1294"/>
      <c r="HO1294"/>
      <c r="HP1294"/>
      <c r="HQ1294"/>
      <c r="HR1294"/>
      <c r="HS1294"/>
      <c r="HT1294"/>
      <c r="HU1294"/>
      <c r="HV1294"/>
      <c r="HW1294"/>
      <c r="HX1294"/>
      <c r="HY1294"/>
      <c r="HZ1294"/>
      <c r="IA1294"/>
      <c r="IB1294"/>
      <c r="IC1294"/>
      <c r="ID1294"/>
      <c r="IE1294"/>
      <c r="IF1294"/>
      <c r="IG1294"/>
      <c r="IH1294"/>
      <c r="II1294"/>
      <c r="IJ1294"/>
      <c r="IK1294"/>
      <c r="IL1294"/>
      <c r="IM1294"/>
      <c r="IN1294"/>
      <c r="IO1294"/>
      <c r="IP1294"/>
      <c r="IQ1294"/>
      <c r="IR1294"/>
      <c r="IS1294"/>
      <c r="IT1294"/>
      <c r="IU1294"/>
      <c r="IV1294"/>
    </row>
    <row r="1295" ht="15" customHeight="1">
      <c r="A1295" s="760" t="s">
        <v>937</v>
      </c>
      <c r="B1295" s="761"/>
      <c r="C1295" s="761"/>
      <c r="D1295" s="761"/>
      <c r="E1295" s="762" t="n">
        <f aca="false">SUM(E1296:E1298)</f>
        <v>144</v>
      </c>
      <c r="F1295" s="763"/>
      <c r="G1295" s="764" t="n">
        <v>144</v>
      </c>
      <c r="H1295" s="9"/>
      <c r="I1295" s="584"/>
      <c r="J1295" s="756"/>
      <c r="K1295" s="765"/>
      <c r="L1295" s="74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c r="EK1295"/>
      <c r="EL1295"/>
      <c r="EM1295"/>
      <c r="EN1295"/>
      <c r="EO1295"/>
      <c r="EP1295"/>
      <c r="EQ1295"/>
      <c r="ER1295"/>
      <c r="ES1295"/>
      <c r="ET1295"/>
      <c r="EU1295"/>
      <c r="EV1295"/>
      <c r="EW1295"/>
      <c r="EX1295"/>
      <c r="EY1295"/>
      <c r="EZ1295"/>
      <c r="FA1295"/>
      <c r="FB1295"/>
      <c r="FC1295"/>
      <c r="FD1295"/>
      <c r="FE1295"/>
      <c r="FF1295"/>
      <c r="FG1295"/>
      <c r="FH1295"/>
      <c r="FI1295"/>
      <c r="FJ1295"/>
      <c r="FK1295"/>
      <c r="FL1295"/>
      <c r="FM1295"/>
      <c r="FN1295"/>
      <c r="FO1295"/>
      <c r="FP1295"/>
      <c r="FQ1295"/>
      <c r="FR1295"/>
      <c r="FS1295"/>
      <c r="FT1295"/>
      <c r="FU1295"/>
      <c r="FV1295"/>
      <c r="FW1295"/>
      <c r="FX1295"/>
      <c r="FY1295"/>
      <c r="FZ1295"/>
      <c r="GA1295"/>
      <c r="GB1295"/>
      <c r="GC1295"/>
      <c r="GD1295"/>
      <c r="GE1295"/>
      <c r="GF1295"/>
      <c r="GG1295"/>
      <c r="GH1295"/>
      <c r="GI1295"/>
      <c r="GJ1295"/>
      <c r="GK1295"/>
      <c r="GL1295"/>
      <c r="GM1295"/>
      <c r="GN1295"/>
      <c r="GO1295"/>
      <c r="GP1295"/>
      <c r="GQ1295"/>
      <c r="GR1295"/>
      <c r="GS1295"/>
      <c r="GT1295"/>
      <c r="GU1295"/>
      <c r="GV1295"/>
      <c r="GW1295"/>
      <c r="GX1295"/>
      <c r="GY1295"/>
      <c r="GZ1295"/>
      <c r="HA1295"/>
      <c r="HB1295"/>
      <c r="HC1295"/>
      <c r="HD1295"/>
      <c r="HE1295"/>
      <c r="HF1295"/>
      <c r="HG1295"/>
      <c r="HH1295"/>
      <c r="HI1295"/>
      <c r="HJ1295"/>
      <c r="HK1295"/>
      <c r="HL1295"/>
      <c r="HM1295"/>
      <c r="HN1295"/>
      <c r="HO1295"/>
      <c r="HP1295"/>
      <c r="HQ1295"/>
      <c r="HR1295"/>
      <c r="HS1295"/>
      <c r="HT1295"/>
      <c r="HU1295"/>
      <c r="HV1295"/>
      <c r="HW1295"/>
      <c r="HX1295"/>
      <c r="HY1295"/>
      <c r="HZ1295"/>
      <c r="IA1295"/>
      <c r="IB1295"/>
      <c r="IC1295"/>
      <c r="ID1295"/>
      <c r="IE1295"/>
      <c r="IF1295"/>
      <c r="IG1295"/>
      <c r="IH1295"/>
      <c r="II1295"/>
      <c r="IJ1295"/>
      <c r="IK1295"/>
      <c r="IL1295"/>
      <c r="IM1295"/>
      <c r="IN1295"/>
      <c r="IO1295"/>
      <c r="IP1295"/>
      <c r="IQ1295"/>
      <c r="IR1295"/>
      <c r="IS1295"/>
      <c r="IT1295"/>
      <c r="IU1295"/>
      <c r="IV1295"/>
    </row>
    <row r="1296" ht="15" customHeight="1">
      <c r="A1296" s="766" t="s">
        <v>928</v>
      </c>
      <c r="B1296" s="767"/>
      <c r="C1296" s="767"/>
      <c r="D1296" s="767"/>
      <c r="E1296" s="585" t="n">
        <v>144</v>
      </c>
      <c r="F1296" s="763" t="n">
        <f aca="false">E1296/$E$1304</f>
        <v>0.4</v>
      </c>
      <c r="G1296" s="775"/>
      <c r="H1296" s="9"/>
      <c r="I1296" s="584"/>
      <c r="J1296"/>
      <c r="K1296" s="765"/>
      <c r="L1296" s="75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c r="EG1296"/>
      <c r="EH1296"/>
      <c r="EI1296"/>
      <c r="EJ1296"/>
      <c r="EK1296"/>
      <c r="EL1296"/>
      <c r="EM1296"/>
      <c r="EN1296"/>
      <c r="EO1296"/>
      <c r="EP1296"/>
      <c r="EQ1296"/>
      <c r="ER1296"/>
      <c r="ES1296"/>
      <c r="ET1296"/>
      <c r="EU1296"/>
      <c r="EV1296"/>
      <c r="EW1296"/>
      <c r="EX1296"/>
      <c r="EY1296"/>
      <c r="EZ1296"/>
      <c r="FA1296"/>
      <c r="FB1296"/>
      <c r="FC1296"/>
      <c r="FD1296"/>
      <c r="FE1296"/>
      <c r="FF1296"/>
      <c r="FG1296"/>
      <c r="FH1296"/>
      <c r="FI1296"/>
      <c r="FJ1296"/>
      <c r="FK1296"/>
      <c r="FL1296"/>
      <c r="FM1296"/>
      <c r="FN1296"/>
      <c r="FO1296"/>
      <c r="FP1296"/>
      <c r="FQ1296"/>
      <c r="FR1296"/>
      <c r="FS1296"/>
      <c r="FT1296"/>
      <c r="FU1296"/>
      <c r="FV1296"/>
      <c r="FW1296"/>
      <c r="FX1296"/>
      <c r="FY1296"/>
      <c r="FZ1296"/>
      <c r="GA1296"/>
      <c r="GB1296"/>
      <c r="GC1296"/>
      <c r="GD1296"/>
      <c r="GE1296"/>
      <c r="GF1296"/>
      <c r="GG1296"/>
      <c r="GH1296"/>
      <c r="GI1296"/>
      <c r="GJ1296"/>
      <c r="GK1296"/>
      <c r="GL1296"/>
      <c r="GM1296"/>
      <c r="GN1296"/>
      <c r="GO1296"/>
      <c r="GP1296"/>
      <c r="GQ1296"/>
      <c r="GR1296"/>
      <c r="GS1296"/>
      <c r="GT1296"/>
      <c r="GU1296"/>
      <c r="GV1296"/>
      <c r="GW1296"/>
      <c r="GX1296"/>
      <c r="GY1296"/>
      <c r="GZ1296"/>
      <c r="HA1296"/>
      <c r="HB1296"/>
      <c r="HC1296"/>
      <c r="HD1296"/>
      <c r="HE1296"/>
      <c r="HF1296"/>
      <c r="HG1296"/>
      <c r="HH1296"/>
      <c r="HI1296"/>
      <c r="HJ1296"/>
      <c r="HK1296"/>
      <c r="HL1296"/>
      <c r="HM1296"/>
      <c r="HN1296"/>
      <c r="HO1296"/>
      <c r="HP1296"/>
      <c r="HQ1296"/>
      <c r="HR1296"/>
      <c r="HS1296"/>
      <c r="HT1296"/>
      <c r="HU1296"/>
      <c r="HV1296"/>
      <c r="HW1296"/>
      <c r="HX1296"/>
      <c r="HY1296"/>
      <c r="HZ1296"/>
      <c r="IA1296"/>
      <c r="IB1296"/>
      <c r="IC1296"/>
      <c r="ID1296"/>
      <c r="IE1296"/>
      <c r="IF1296"/>
      <c r="IG1296"/>
      <c r="IH1296"/>
      <c r="II1296"/>
      <c r="IJ1296"/>
      <c r="IK1296"/>
      <c r="IL1296"/>
      <c r="IM1296"/>
      <c r="IN1296"/>
      <c r="IO1296"/>
      <c r="IP1296"/>
      <c r="IQ1296"/>
      <c r="IR1296"/>
      <c r="IS1296"/>
      <c r="IT1296"/>
      <c r="IU1296"/>
      <c r="IV1296"/>
    </row>
    <row r="1297" ht="15" customHeight="1">
      <c r="A1297" s="766" t="s">
        <v>938</v>
      </c>
      <c r="B1297" s="767"/>
      <c r="C1297" s="767"/>
      <c r="D1297" s="767"/>
      <c r="E1297" s="585"/>
      <c r="F1297" s="763" t="n">
        <f aca="false">E1297/$E$1304</f>
        <v>0</v>
      </c>
      <c r="G1297" s="775"/>
      <c r="H1297" s="44"/>
      <c r="I1297" s="809"/>
      <c r="J1297" s="9"/>
      <c r="K1297" s="633"/>
      <c r="L1297" s="74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c r="EK1297"/>
      <c r="EL1297"/>
      <c r="EM1297"/>
      <c r="EN1297"/>
      <c r="EO1297"/>
      <c r="EP1297"/>
      <c r="EQ1297"/>
      <c r="ER1297"/>
      <c r="ES1297"/>
      <c r="ET1297"/>
      <c r="EU1297"/>
      <c r="EV1297"/>
      <c r="EW1297"/>
      <c r="EX1297"/>
      <c r="EY1297"/>
      <c r="EZ1297"/>
      <c r="FA1297"/>
      <c r="FB1297"/>
      <c r="FC1297"/>
      <c r="FD1297"/>
      <c r="FE1297"/>
      <c r="FF1297"/>
      <c r="FG1297"/>
      <c r="FH1297"/>
      <c r="FI1297"/>
      <c r="FJ1297"/>
      <c r="FK1297"/>
      <c r="FL1297"/>
      <c r="FM1297"/>
      <c r="FN1297"/>
      <c r="FO1297"/>
      <c r="FP1297"/>
      <c r="FQ1297"/>
      <c r="FR1297"/>
      <c r="FS1297"/>
      <c r="FT1297"/>
      <c r="FU1297"/>
      <c r="FV1297"/>
      <c r="FW1297"/>
      <c r="FX1297"/>
      <c r="FY1297"/>
      <c r="FZ1297"/>
      <c r="GA1297"/>
      <c r="GB1297"/>
      <c r="GC1297"/>
      <c r="GD1297"/>
      <c r="GE1297"/>
      <c r="GF1297"/>
      <c r="GG1297"/>
      <c r="GH1297"/>
      <c r="GI1297"/>
      <c r="GJ1297"/>
      <c r="GK1297"/>
      <c r="GL1297"/>
      <c r="GM1297"/>
      <c r="GN1297"/>
      <c r="GO1297"/>
      <c r="GP1297"/>
      <c r="GQ1297"/>
      <c r="GR1297"/>
      <c r="GS1297"/>
      <c r="GT1297"/>
      <c r="GU1297"/>
      <c r="GV1297"/>
      <c r="GW1297"/>
      <c r="GX1297"/>
      <c r="GY1297"/>
      <c r="GZ1297"/>
      <c r="HA1297"/>
      <c r="HB1297"/>
      <c r="HC1297"/>
      <c r="HD1297"/>
      <c r="HE1297"/>
      <c r="HF1297"/>
      <c r="HG1297"/>
      <c r="HH1297"/>
      <c r="HI1297"/>
      <c r="HJ1297"/>
      <c r="HK1297"/>
      <c r="HL1297"/>
      <c r="HM1297"/>
      <c r="HN1297"/>
      <c r="HO1297"/>
      <c r="HP1297"/>
      <c r="HQ1297"/>
      <c r="HR1297"/>
      <c r="HS1297"/>
      <c r="HT1297"/>
      <c r="HU1297"/>
      <c r="HV1297"/>
      <c r="HW1297"/>
      <c r="HX1297"/>
      <c r="HY1297"/>
      <c r="HZ1297"/>
      <c r="IA1297"/>
      <c r="IB1297"/>
      <c r="IC1297"/>
      <c r="ID1297"/>
      <c r="IE1297"/>
      <c r="IF1297"/>
      <c r="IG1297"/>
      <c r="IH1297"/>
      <c r="II1297"/>
      <c r="IJ1297"/>
      <c r="IK1297"/>
      <c r="IL1297"/>
      <c r="IM1297"/>
      <c r="IN1297"/>
      <c r="IO1297"/>
      <c r="IP1297"/>
      <c r="IQ1297"/>
      <c r="IR1297"/>
      <c r="IS1297"/>
      <c r="IT1297"/>
      <c r="IU1297"/>
      <c r="IV1297"/>
    </row>
    <row r="1298" ht="15.75" customHeight="1">
      <c r="A1298" s="779" t="s">
        <v>932</v>
      </c>
      <c r="B1298" s="776"/>
      <c r="C1298" s="776"/>
      <c r="D1298" s="776"/>
      <c r="E1298" s="469"/>
      <c r="F1298" s="778" t="n">
        <f aca="false">E1298/$E$1304</f>
        <v>0</v>
      </c>
      <c r="G1298" s="775"/>
      <c r="H1298" s="401"/>
      <c r="I1298" s="44"/>
      <c r="J1298" s="809"/>
      <c r="K1298" s="633"/>
      <c r="L1298" s="74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c r="EI1298"/>
      <c r="EJ1298"/>
      <c r="EK1298"/>
      <c r="EL1298"/>
      <c r="EM1298"/>
      <c r="EN1298"/>
      <c r="EO1298"/>
      <c r="EP1298"/>
      <c r="EQ1298"/>
      <c r="ER1298"/>
      <c r="ES1298"/>
      <c r="ET1298"/>
      <c r="EU1298"/>
      <c r="EV1298"/>
      <c r="EW1298"/>
      <c r="EX1298"/>
      <c r="EY1298"/>
      <c r="EZ1298"/>
      <c r="FA1298"/>
      <c r="FB1298"/>
      <c r="FC1298"/>
      <c r="FD1298"/>
      <c r="FE1298"/>
      <c r="FF1298"/>
      <c r="FG1298"/>
      <c r="FH1298"/>
      <c r="FI1298"/>
      <c r="FJ1298"/>
      <c r="FK1298"/>
      <c r="FL1298"/>
      <c r="FM1298"/>
      <c r="FN1298"/>
      <c r="FO1298"/>
      <c r="FP1298"/>
      <c r="FQ1298"/>
      <c r="FR1298"/>
      <c r="FS1298"/>
      <c r="FT1298"/>
      <c r="FU1298"/>
      <c r="FV1298"/>
      <c r="FW1298"/>
      <c r="FX1298"/>
      <c r="FY1298"/>
      <c r="FZ1298"/>
      <c r="GA1298"/>
      <c r="GB1298"/>
      <c r="GC1298"/>
      <c r="GD1298"/>
      <c r="GE1298"/>
      <c r="GF1298"/>
      <c r="GG1298"/>
      <c r="GH1298"/>
      <c r="GI1298"/>
      <c r="GJ1298"/>
      <c r="GK1298"/>
      <c r="GL1298"/>
      <c r="GM1298"/>
      <c r="GN1298"/>
      <c r="GO1298"/>
      <c r="GP1298"/>
      <c r="GQ1298"/>
      <c r="GR1298"/>
      <c r="GS1298"/>
      <c r="GT1298"/>
      <c r="GU1298"/>
      <c r="GV1298"/>
      <c r="GW1298"/>
      <c r="GX1298"/>
      <c r="GY1298"/>
      <c r="GZ1298"/>
      <c r="HA1298"/>
      <c r="HB1298"/>
      <c r="HC1298"/>
      <c r="HD1298"/>
      <c r="HE1298"/>
      <c r="HF1298"/>
      <c r="HG1298"/>
      <c r="HH1298"/>
      <c r="HI1298"/>
      <c r="HJ1298"/>
      <c r="HK1298"/>
      <c r="HL1298"/>
      <c r="HM1298"/>
      <c r="HN1298"/>
      <c r="HO1298"/>
      <c r="HP1298"/>
      <c r="HQ1298"/>
      <c r="HR1298"/>
      <c r="HS1298"/>
      <c r="HT1298"/>
      <c r="HU1298"/>
      <c r="HV1298"/>
      <c r="HW1298"/>
      <c r="HX1298"/>
      <c r="HY1298"/>
      <c r="HZ1298"/>
      <c r="IA1298"/>
      <c r="IB1298"/>
      <c r="IC1298"/>
      <c r="ID1298"/>
      <c r="IE1298"/>
      <c r="IF1298"/>
      <c r="IG1298"/>
      <c r="IH1298"/>
      <c r="II1298"/>
      <c r="IJ1298"/>
      <c r="IK1298"/>
      <c r="IL1298"/>
      <c r="IM1298"/>
      <c r="IN1298"/>
      <c r="IO1298"/>
      <c r="IP1298"/>
      <c r="IQ1298"/>
      <c r="IR1298"/>
      <c r="IS1298"/>
      <c r="IT1298"/>
      <c r="IU1298"/>
      <c r="IV1298"/>
    </row>
    <row r="1299" ht="15" customHeight="1">
      <c r="A1299" s="760" t="s">
        <v>939</v>
      </c>
      <c r="B1299" s="761"/>
      <c r="C1299" s="761"/>
      <c r="D1299" s="761"/>
      <c r="E1299" s="762" t="n">
        <f aca="false">SUM(E1300:E1301)</f>
        <v>0</v>
      </c>
      <c r="F1299" s="763"/>
      <c r="G1299" s="764"/>
      <c r="H1299" s="648"/>
      <c r="J1299"/>
      <c r="K1299" s="4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c r="EK1299"/>
      <c r="EL1299"/>
      <c r="EM1299"/>
      <c r="EN1299"/>
      <c r="EO1299"/>
      <c r="EP1299"/>
      <c r="EQ1299"/>
      <c r="ER1299"/>
      <c r="ES1299"/>
      <c r="ET1299"/>
      <c r="EU1299"/>
      <c r="EV1299"/>
      <c r="EW1299"/>
      <c r="EX1299"/>
      <c r="EY1299"/>
      <c r="EZ1299"/>
      <c r="FA1299"/>
      <c r="FB1299"/>
      <c r="FC1299"/>
      <c r="FD1299"/>
      <c r="FE1299"/>
      <c r="FF1299"/>
      <c r="FG1299"/>
      <c r="FH1299"/>
      <c r="FI1299"/>
      <c r="FJ1299"/>
      <c r="FK1299"/>
      <c r="FL1299"/>
      <c r="FM1299"/>
      <c r="FN1299"/>
      <c r="FO1299"/>
      <c r="FP1299"/>
      <c r="FQ1299"/>
      <c r="FR1299"/>
      <c r="FS1299"/>
      <c r="FT1299"/>
      <c r="FU1299"/>
      <c r="FV1299"/>
      <c r="FW1299"/>
      <c r="FX1299"/>
      <c r="FY1299"/>
      <c r="FZ1299"/>
      <c r="GA1299"/>
      <c r="GB1299"/>
      <c r="GC1299"/>
      <c r="GD1299"/>
      <c r="GE1299"/>
      <c r="GF1299"/>
      <c r="GG1299"/>
      <c r="GH1299"/>
      <c r="GI1299"/>
      <c r="GJ1299"/>
      <c r="GK1299"/>
      <c r="GL1299"/>
      <c r="GM1299"/>
      <c r="GN1299"/>
      <c r="GO1299"/>
      <c r="GP1299"/>
      <c r="GQ1299"/>
      <c r="GR1299"/>
      <c r="GS1299"/>
      <c r="GT1299"/>
      <c r="GU1299"/>
      <c r="GV1299"/>
      <c r="GW1299"/>
      <c r="GX1299"/>
      <c r="GY1299"/>
      <c r="GZ1299"/>
      <c r="HA1299"/>
      <c r="HB1299"/>
      <c r="HC1299"/>
      <c r="HD1299"/>
      <c r="HE1299"/>
      <c r="HF1299"/>
      <c r="HG1299"/>
      <c r="HH1299"/>
      <c r="HI1299"/>
      <c r="HJ1299"/>
      <c r="HK1299"/>
      <c r="HL1299"/>
      <c r="HM1299"/>
      <c r="HN1299"/>
      <c r="HO1299"/>
      <c r="HP1299"/>
      <c r="HQ1299"/>
      <c r="HR1299"/>
      <c r="HS1299"/>
      <c r="HT1299"/>
      <c r="HU1299"/>
      <c r="HV1299"/>
      <c r="HW1299"/>
      <c r="HX1299"/>
      <c r="HY1299"/>
      <c r="HZ1299"/>
      <c r="IA1299"/>
      <c r="IB1299"/>
      <c r="IC1299"/>
      <c r="ID1299"/>
      <c r="IE1299"/>
      <c r="IF1299"/>
      <c r="IG1299"/>
      <c r="IH1299"/>
      <c r="II1299"/>
      <c r="IJ1299"/>
      <c r="IK1299"/>
      <c r="IL1299"/>
      <c r="IM1299"/>
      <c r="IN1299"/>
      <c r="IO1299"/>
      <c r="IP1299"/>
      <c r="IQ1299"/>
      <c r="IR1299"/>
      <c r="IS1299"/>
      <c r="IT1299"/>
      <c r="IU1299"/>
      <c r="IV1299"/>
    </row>
    <row r="1300" ht="17.25" customHeight="1">
      <c r="A1300" s="766" t="s">
        <v>940</v>
      </c>
      <c r="B1300" s="767"/>
      <c r="C1300" s="767"/>
      <c r="D1300" s="767"/>
      <c r="E1300" s="585"/>
      <c r="F1300" s="763" t="n">
        <f aca="false">E1300/$E$1304</f>
        <v>0</v>
      </c>
      <c r="G1300" s="768"/>
      <c r="J1300" s="9"/>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c r="EK1300"/>
      <c r="EL1300"/>
      <c r="EM1300"/>
      <c r="EN1300"/>
      <c r="EO1300"/>
      <c r="EP1300"/>
      <c r="EQ1300"/>
      <c r="ER1300"/>
      <c r="ES1300"/>
      <c r="ET1300"/>
      <c r="EU1300"/>
      <c r="EV1300"/>
      <c r="EW1300"/>
      <c r="EX1300"/>
      <c r="EY1300"/>
      <c r="EZ1300"/>
      <c r="FA1300"/>
      <c r="FB1300"/>
      <c r="FC1300"/>
      <c r="FD1300"/>
      <c r="FE1300"/>
      <c r="FF1300"/>
      <c r="FG1300"/>
      <c r="FH1300"/>
      <c r="FI1300"/>
      <c r="FJ1300"/>
      <c r="FK1300"/>
      <c r="FL1300"/>
      <c r="FM1300"/>
      <c r="FN1300"/>
      <c r="FO1300"/>
      <c r="FP1300"/>
      <c r="FQ1300"/>
      <c r="FR1300"/>
      <c r="FS1300"/>
      <c r="FT1300"/>
      <c r="FU1300"/>
      <c r="FV1300"/>
      <c r="FW1300"/>
      <c r="FX1300"/>
      <c r="FY1300"/>
      <c r="FZ1300"/>
      <c r="GA1300"/>
      <c r="GB1300"/>
      <c r="GC1300"/>
      <c r="GD1300"/>
      <c r="GE1300"/>
      <c r="GF1300"/>
      <c r="GG1300"/>
      <c r="GH1300"/>
      <c r="GI1300"/>
      <c r="GJ1300"/>
      <c r="GK1300"/>
      <c r="GL1300"/>
      <c r="GM1300"/>
      <c r="GN1300"/>
      <c r="GO1300"/>
      <c r="GP1300"/>
      <c r="GQ1300"/>
      <c r="GR1300"/>
      <c r="GS1300"/>
      <c r="GT1300"/>
      <c r="GU1300"/>
      <c r="GV1300"/>
      <c r="GW1300"/>
      <c r="GX1300"/>
      <c r="GY1300"/>
      <c r="GZ1300"/>
      <c r="HA1300"/>
      <c r="HB1300"/>
      <c r="HC1300"/>
      <c r="HD1300"/>
      <c r="HE1300"/>
      <c r="HF1300"/>
      <c r="HG1300"/>
      <c r="HH1300"/>
      <c r="HI1300"/>
      <c r="HJ1300"/>
      <c r="HK1300"/>
      <c r="HL1300"/>
      <c r="HM1300"/>
      <c r="HN1300"/>
      <c r="HO1300"/>
      <c r="HP1300"/>
      <c r="HQ1300"/>
      <c r="HR1300"/>
      <c r="HS1300"/>
      <c r="HT1300"/>
      <c r="HU1300"/>
      <c r="HV1300"/>
      <c r="HW1300"/>
      <c r="HX1300"/>
      <c r="HY1300"/>
      <c r="HZ1300"/>
      <c r="IA1300"/>
      <c r="IB1300"/>
      <c r="IC1300"/>
      <c r="ID1300"/>
      <c r="IE1300"/>
      <c r="IF1300"/>
      <c r="IG1300"/>
      <c r="IH1300"/>
      <c r="II1300"/>
      <c r="IJ1300"/>
      <c r="IK1300"/>
      <c r="IL1300"/>
      <c r="IM1300"/>
      <c r="IN1300"/>
      <c r="IO1300"/>
      <c r="IP1300"/>
      <c r="IQ1300"/>
      <c r="IR1300"/>
      <c r="IS1300"/>
      <c r="IT1300"/>
      <c r="IU1300"/>
      <c r="IV1300"/>
    </row>
    <row r="1301" ht="17.25" customHeight="1">
      <c r="A1301" s="779" t="s">
        <v>941</v>
      </c>
      <c r="B1301" s="776"/>
      <c r="C1301" s="776"/>
      <c r="D1301" s="776"/>
      <c r="E1301" s="469"/>
      <c r="F1301" s="778" t="n">
        <f aca="false">E1301/$E$1304</f>
        <v>0</v>
      </c>
      <c r="G1301" s="782"/>
      <c r="J1301" s="9"/>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c r="EI1301"/>
      <c r="EJ1301"/>
      <c r="EK1301"/>
      <c r="EL1301"/>
      <c r="EM1301"/>
      <c r="EN1301"/>
      <c r="EO1301"/>
      <c r="EP1301"/>
      <c r="EQ1301"/>
      <c r="ER1301"/>
      <c r="ES1301"/>
      <c r="ET1301"/>
      <c r="EU1301"/>
      <c r="EV1301"/>
      <c r="EW1301"/>
      <c r="EX1301"/>
      <c r="EY1301"/>
      <c r="EZ1301"/>
      <c r="FA1301"/>
      <c r="FB1301"/>
      <c r="FC1301"/>
      <c r="FD1301"/>
      <c r="FE1301"/>
      <c r="FF1301"/>
      <c r="FG1301"/>
      <c r="FH1301"/>
      <c r="FI1301"/>
      <c r="FJ1301"/>
      <c r="FK1301"/>
      <c r="FL1301"/>
      <c r="FM1301"/>
      <c r="FN1301"/>
      <c r="FO1301"/>
      <c r="FP1301"/>
      <c r="FQ1301"/>
      <c r="FR1301"/>
      <c r="FS1301"/>
      <c r="FT1301"/>
      <c r="FU1301"/>
      <c r="FV1301"/>
      <c r="FW1301"/>
      <c r="FX1301"/>
      <c r="FY1301"/>
      <c r="FZ1301"/>
      <c r="GA1301"/>
      <c r="GB1301"/>
      <c r="GC1301"/>
      <c r="GD1301"/>
      <c r="GE1301"/>
      <c r="GF1301"/>
      <c r="GG1301"/>
      <c r="GH1301"/>
      <c r="GI1301"/>
      <c r="GJ1301"/>
      <c r="GK1301"/>
      <c r="GL1301"/>
      <c r="GM1301"/>
      <c r="GN1301"/>
      <c r="GO1301"/>
      <c r="GP1301"/>
      <c r="GQ1301"/>
      <c r="GR1301"/>
      <c r="GS1301"/>
      <c r="GT1301"/>
      <c r="GU1301"/>
      <c r="GV1301"/>
      <c r="GW1301"/>
      <c r="GX1301"/>
      <c r="GY1301"/>
      <c r="GZ1301"/>
      <c r="HA1301"/>
      <c r="HB1301"/>
      <c r="HC1301"/>
      <c r="HD1301"/>
      <c r="HE1301"/>
      <c r="HF1301"/>
      <c r="HG1301"/>
      <c r="HH1301"/>
      <c r="HI1301"/>
      <c r="HJ1301"/>
      <c r="HK1301"/>
      <c r="HL1301"/>
      <c r="HM1301"/>
      <c r="HN1301"/>
      <c r="HO1301"/>
      <c r="HP1301"/>
      <c r="HQ1301"/>
      <c r="HR1301"/>
      <c r="HS1301"/>
      <c r="HT1301"/>
      <c r="HU1301"/>
      <c r="HV1301"/>
      <c r="HW1301"/>
      <c r="HX1301"/>
      <c r="HY1301"/>
      <c r="HZ1301"/>
      <c r="IA1301"/>
      <c r="IB1301"/>
      <c r="IC1301"/>
      <c r="ID1301"/>
      <c r="IE1301"/>
      <c r="IF1301"/>
      <c r="IG1301"/>
      <c r="IH1301"/>
      <c r="II1301"/>
      <c r="IJ1301"/>
      <c r="IK1301"/>
      <c r="IL1301"/>
      <c r="IM1301"/>
      <c r="IN1301"/>
      <c r="IO1301"/>
      <c r="IP1301"/>
      <c r="IQ1301"/>
      <c r="IR1301"/>
      <c r="IS1301"/>
      <c r="IT1301"/>
      <c r="IU1301"/>
      <c r="IV1301"/>
    </row>
    <row r="1302" ht="17.25" customHeight="1">
      <c r="A1302" s="760" t="s">
        <v>1785</v>
      </c>
      <c r="B1302" s="761"/>
      <c r="C1302" s="761"/>
      <c r="D1302" s="761"/>
      <c r="E1302" s="762" t="n">
        <f aca="false">SUM(E1303)</f>
        <v>0</v>
      </c>
      <c r="F1302" s="763"/>
      <c r="G1302" s="764"/>
      <c r="J1302" s="9"/>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c r="EK1302"/>
      <c r="EL1302"/>
      <c r="EM1302"/>
      <c r="EN1302"/>
      <c r="EO1302"/>
      <c r="EP1302"/>
      <c r="EQ1302"/>
      <c r="ER1302"/>
      <c r="ES1302"/>
      <c r="ET1302"/>
      <c r="EU1302"/>
      <c r="EV1302"/>
      <c r="EW1302"/>
      <c r="EX1302"/>
      <c r="EY1302"/>
      <c r="EZ1302"/>
      <c r="FA1302"/>
      <c r="FB1302"/>
      <c r="FC1302"/>
      <c r="FD1302"/>
      <c r="FE1302"/>
      <c r="FF1302"/>
      <c r="FG1302"/>
      <c r="FH1302"/>
      <c r="FI1302"/>
      <c r="FJ1302"/>
      <c r="FK1302"/>
      <c r="FL1302"/>
      <c r="FM1302"/>
      <c r="FN1302"/>
      <c r="FO1302"/>
      <c r="FP1302"/>
      <c r="FQ1302"/>
      <c r="FR1302"/>
      <c r="FS1302"/>
      <c r="FT1302"/>
      <c r="FU1302"/>
      <c r="FV1302"/>
      <c r="FW1302"/>
      <c r="FX1302"/>
      <c r="FY1302"/>
      <c r="FZ1302"/>
      <c r="GA1302"/>
      <c r="GB1302"/>
      <c r="GC1302"/>
      <c r="GD1302"/>
      <c r="GE1302"/>
      <c r="GF1302"/>
      <c r="GG1302"/>
      <c r="GH1302"/>
      <c r="GI1302"/>
      <c r="GJ1302"/>
      <c r="GK1302"/>
      <c r="GL1302"/>
      <c r="GM1302"/>
      <c r="GN1302"/>
      <c r="GO1302"/>
      <c r="GP1302"/>
      <c r="GQ1302"/>
      <c r="GR1302"/>
      <c r="GS1302"/>
      <c r="GT1302"/>
      <c r="GU1302"/>
      <c r="GV1302"/>
      <c r="GW1302"/>
      <c r="GX1302"/>
      <c r="GY1302"/>
      <c r="GZ1302"/>
      <c r="HA1302"/>
      <c r="HB1302"/>
      <c r="HC1302"/>
      <c r="HD1302"/>
      <c r="HE1302"/>
      <c r="HF1302"/>
      <c r="HG1302"/>
      <c r="HH1302"/>
      <c r="HI1302"/>
      <c r="HJ1302"/>
      <c r="HK1302"/>
      <c r="HL1302"/>
      <c r="HM1302"/>
      <c r="HN1302"/>
      <c r="HO1302"/>
      <c r="HP1302"/>
      <c r="HQ1302"/>
      <c r="HR1302"/>
      <c r="HS1302"/>
      <c r="HT1302"/>
      <c r="HU1302"/>
      <c r="HV1302"/>
      <c r="HW1302"/>
      <c r="HX1302"/>
      <c r="HY1302"/>
      <c r="HZ1302"/>
      <c r="IA1302"/>
      <c r="IB1302"/>
      <c r="IC1302"/>
      <c r="ID1302"/>
      <c r="IE1302"/>
      <c r="IF1302"/>
      <c r="IG1302"/>
      <c r="IH1302"/>
      <c r="II1302"/>
      <c r="IJ1302"/>
      <c r="IK1302"/>
      <c r="IL1302"/>
      <c r="IM1302"/>
      <c r="IN1302"/>
      <c r="IO1302"/>
      <c r="IP1302"/>
      <c r="IQ1302"/>
      <c r="IR1302"/>
      <c r="IS1302"/>
      <c r="IT1302"/>
      <c r="IU1302"/>
      <c r="IV1302"/>
    </row>
    <row r="1303" ht="17.25" customHeight="1">
      <c r="A1303" s="779" t="s">
        <v>943</v>
      </c>
      <c r="B1303" s="776"/>
      <c r="C1303" s="776"/>
      <c r="D1303" s="776"/>
      <c r="E1303" s="469"/>
      <c r="F1303" s="778" t="n">
        <f aca="false">E1303/$E$1304</f>
        <v>0</v>
      </c>
      <c r="G1303" s="782"/>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c r="DY1303"/>
      <c r="DZ1303"/>
      <c r="EA1303"/>
      <c r="EB1303"/>
      <c r="EC1303"/>
      <c r="ED1303"/>
      <c r="EE1303"/>
      <c r="EF1303"/>
      <c r="EG1303"/>
      <c r="EH1303"/>
      <c r="EI1303"/>
      <c r="EJ1303"/>
      <c r="EK1303"/>
      <c r="EL1303"/>
      <c r="EM1303"/>
      <c r="EN1303"/>
      <c r="EO1303"/>
      <c r="EP1303"/>
      <c r="EQ1303"/>
      <c r="ER1303"/>
      <c r="ES1303"/>
      <c r="ET1303"/>
      <c r="EU1303"/>
      <c r="EV1303"/>
      <c r="EW1303"/>
      <c r="EX1303"/>
      <c r="EY1303"/>
      <c r="EZ1303"/>
      <c r="FA1303"/>
      <c r="FB1303"/>
      <c r="FC1303"/>
      <c r="FD1303"/>
      <c r="FE1303"/>
      <c r="FF1303"/>
      <c r="FG1303"/>
      <c r="FH1303"/>
      <c r="FI1303"/>
      <c r="FJ1303"/>
      <c r="FK1303"/>
      <c r="FL1303"/>
      <c r="FM1303"/>
      <c r="FN1303"/>
      <c r="FO1303"/>
      <c r="FP1303"/>
      <c r="FQ1303"/>
      <c r="FR1303"/>
      <c r="FS1303"/>
      <c r="FT1303"/>
      <c r="FU1303"/>
      <c r="FV1303"/>
      <c r="FW1303"/>
      <c r="FX1303"/>
      <c r="FY1303"/>
      <c r="FZ1303"/>
      <c r="GA1303"/>
      <c r="GB1303"/>
      <c r="GC1303"/>
      <c r="GD1303"/>
      <c r="GE1303"/>
      <c r="GF1303"/>
      <c r="GG1303"/>
      <c r="GH1303"/>
      <c r="GI1303"/>
      <c r="GJ1303"/>
      <c r="GK1303"/>
      <c r="GL1303"/>
      <c r="GM1303"/>
      <c r="GN1303"/>
      <c r="GO1303"/>
      <c r="GP1303"/>
      <c r="GQ1303"/>
      <c r="GR1303"/>
      <c r="GS1303"/>
      <c r="GT1303"/>
      <c r="GU1303"/>
      <c r="GV1303"/>
      <c r="GW1303"/>
      <c r="GX1303"/>
      <c r="GY1303"/>
      <c r="GZ1303"/>
      <c r="HA1303"/>
      <c r="HB1303"/>
      <c r="HC1303"/>
      <c r="HD1303"/>
      <c r="HE1303"/>
      <c r="HF1303"/>
      <c r="HG1303"/>
      <c r="HH1303"/>
      <c r="HI1303"/>
      <c r="HJ1303"/>
      <c r="HK1303"/>
      <c r="HL1303"/>
      <c r="HM1303"/>
      <c r="HN1303"/>
      <c r="HO1303"/>
      <c r="HP1303"/>
      <c r="HQ1303"/>
      <c r="HR1303"/>
      <c r="HS1303"/>
      <c r="HT1303"/>
      <c r="HU1303"/>
      <c r="HV1303"/>
      <c r="HW1303"/>
      <c r="HX1303"/>
      <c r="HY1303"/>
      <c r="HZ1303"/>
      <c r="IA1303"/>
      <c r="IB1303"/>
      <c r="IC1303"/>
      <c r="ID1303"/>
      <c r="IE1303"/>
      <c r="IF1303"/>
      <c r="IG1303"/>
      <c r="IH1303"/>
      <c r="II1303"/>
      <c r="IJ1303"/>
      <c r="IK1303"/>
      <c r="IL1303"/>
      <c r="IM1303"/>
      <c r="IN1303"/>
      <c r="IO1303"/>
      <c r="IP1303"/>
      <c r="IQ1303"/>
      <c r="IR1303"/>
      <c r="IS1303"/>
      <c r="IT1303"/>
      <c r="IU1303"/>
      <c r="IV1303"/>
    </row>
    <row r="1304" ht="15.75" customHeight="1">
      <c r="B1304" s="812"/>
      <c r="C1304" s="43"/>
      <c r="D1304" s="821" t="s">
        <v>1786</v>
      </c>
      <c r="E1304" s="784" t="n">
        <f aca="false">SUM(E1245,E1250,E1256,E1261,E1266,E1275,E1279,E1282,E1287,E1292,E1295,E1299,E1302,)</f>
        <v>360</v>
      </c>
      <c r="F1304" s="381" t="s">
        <v>1787</v>
      </c>
      <c r="G1304" s="784" t="n">
        <f aca="false">SUM(G1245,G1250,G1256,G1261,G1266,G1275,G1279,G1282,G1287,G1292,G1295,G1299,G1302)</f>
        <v>360</v>
      </c>
      <c r="J1304" s="9"/>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c r="EI1304"/>
      <c r="EJ1304"/>
      <c r="EK1304"/>
      <c r="EL1304"/>
      <c r="EM1304"/>
      <c r="EN1304"/>
      <c r="EO1304"/>
      <c r="EP1304"/>
      <c r="EQ1304"/>
      <c r="ER1304"/>
      <c r="ES1304"/>
      <c r="ET1304"/>
      <c r="EU1304"/>
      <c r="EV1304"/>
      <c r="EW1304"/>
      <c r="EX1304"/>
      <c r="EY1304"/>
      <c r="EZ1304"/>
      <c r="FA1304"/>
      <c r="FB1304"/>
      <c r="FC1304"/>
      <c r="FD1304"/>
      <c r="FE1304"/>
      <c r="FF1304"/>
      <c r="FG1304"/>
      <c r="FH1304"/>
      <c r="FI1304"/>
      <c r="FJ1304"/>
      <c r="FK1304"/>
      <c r="FL1304"/>
      <c r="FM1304"/>
      <c r="FN1304"/>
      <c r="FO1304"/>
      <c r="FP1304"/>
      <c r="FQ1304"/>
      <c r="FR1304"/>
      <c r="FS1304"/>
      <c r="FT1304"/>
      <c r="FU1304"/>
      <c r="FV1304"/>
      <c r="FW1304"/>
      <c r="FX1304"/>
      <c r="FY1304"/>
      <c r="FZ1304"/>
      <c r="GA1304"/>
      <c r="GB1304"/>
      <c r="GC1304"/>
      <c r="GD1304"/>
      <c r="GE1304"/>
      <c r="GF1304"/>
      <c r="GG1304"/>
      <c r="GH1304"/>
      <c r="GI1304"/>
      <c r="GJ1304"/>
      <c r="GK1304"/>
      <c r="GL1304"/>
      <c r="GM1304"/>
      <c r="GN1304"/>
      <c r="GO1304"/>
      <c r="GP1304"/>
      <c r="GQ1304"/>
      <c r="GR1304"/>
      <c r="GS1304"/>
      <c r="GT1304"/>
      <c r="GU1304"/>
      <c r="GV1304"/>
      <c r="GW1304"/>
      <c r="GX1304"/>
      <c r="GY1304"/>
      <c r="GZ1304"/>
      <c r="HA1304"/>
      <c r="HB1304"/>
      <c r="HC1304"/>
      <c r="HD1304"/>
      <c r="HE1304"/>
      <c r="HF1304"/>
      <c r="HG1304"/>
      <c r="HH1304"/>
      <c r="HI1304"/>
      <c r="HJ1304"/>
      <c r="HK1304"/>
      <c r="HL1304"/>
      <c r="HM1304"/>
      <c r="HN1304"/>
      <c r="HO1304"/>
      <c r="HP1304"/>
      <c r="HQ1304"/>
      <c r="HR1304"/>
      <c r="HS1304"/>
      <c r="HT1304"/>
      <c r="HU1304"/>
      <c r="HV1304"/>
      <c r="HW1304"/>
      <c r="HX1304"/>
      <c r="HY1304"/>
      <c r="HZ1304"/>
      <c r="IA1304"/>
      <c r="IB1304"/>
      <c r="IC1304"/>
      <c r="ID1304"/>
      <c r="IE1304"/>
      <c r="IF1304"/>
      <c r="IG1304"/>
      <c r="IH1304"/>
      <c r="II1304"/>
      <c r="IJ1304"/>
      <c r="IK1304"/>
      <c r="IL1304"/>
      <c r="IM1304"/>
      <c r="IN1304"/>
      <c r="IO1304"/>
      <c r="IP1304"/>
      <c r="IQ1304"/>
      <c r="IR1304"/>
      <c r="IS1304"/>
      <c r="IT1304"/>
      <c r="IU1304"/>
      <c r="IV1304"/>
    </row>
    <row r="1305" ht="15" customHeight="1">
      <c r="B1305" s="812"/>
      <c r="C1305" s="401"/>
      <c r="D1305" s="401"/>
      <c r="E1305" s="821"/>
      <c r="F1305" s="401"/>
      <c r="G1305" s="401"/>
      <c r="J1305" s="9"/>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c r="EI1305"/>
      <c r="EJ1305"/>
      <c r="EK1305"/>
      <c r="EL1305"/>
      <c r="EM1305"/>
      <c r="EN1305"/>
      <c r="EO1305"/>
      <c r="EP1305"/>
      <c r="EQ1305"/>
      <c r="ER1305"/>
      <c r="ES1305"/>
      <c r="ET1305"/>
      <c r="EU1305"/>
      <c r="EV1305"/>
      <c r="EW1305"/>
      <c r="EX1305"/>
      <c r="EY1305"/>
      <c r="EZ1305"/>
      <c r="FA1305"/>
      <c r="FB1305"/>
      <c r="FC1305"/>
      <c r="FD1305"/>
      <c r="FE1305"/>
      <c r="FF1305"/>
      <c r="FG1305"/>
      <c r="FH1305"/>
      <c r="FI1305"/>
      <c r="FJ1305"/>
      <c r="FK1305"/>
      <c r="FL1305"/>
      <c r="FM1305"/>
      <c r="FN1305"/>
      <c r="FO1305"/>
      <c r="FP1305"/>
      <c r="FQ1305"/>
      <c r="FR1305"/>
      <c r="FS1305"/>
      <c r="FT1305"/>
      <c r="FU1305"/>
      <c r="FV1305"/>
      <c r="FW1305"/>
      <c r="FX1305"/>
      <c r="FY1305"/>
      <c r="FZ1305"/>
      <c r="GA1305"/>
      <c r="GB1305"/>
      <c r="GC1305"/>
      <c r="GD1305"/>
      <c r="GE1305"/>
      <c r="GF1305"/>
      <c r="GG1305"/>
      <c r="GH1305"/>
      <c r="GI1305"/>
      <c r="GJ1305"/>
      <c r="GK1305"/>
      <c r="GL1305"/>
      <c r="GM1305"/>
      <c r="GN1305"/>
      <c r="GO1305"/>
      <c r="GP1305"/>
      <c r="GQ1305"/>
      <c r="GR1305"/>
      <c r="GS1305"/>
      <c r="GT1305"/>
      <c r="GU1305"/>
      <c r="GV1305"/>
      <c r="GW1305"/>
      <c r="GX1305"/>
      <c r="GY1305"/>
      <c r="GZ1305"/>
      <c r="HA1305"/>
      <c r="HB1305"/>
      <c r="HC1305"/>
      <c r="HD1305"/>
      <c r="HE1305"/>
      <c r="HF1305"/>
      <c r="HG1305"/>
      <c r="HH1305"/>
      <c r="HI1305"/>
      <c r="HJ1305"/>
      <c r="HK1305"/>
      <c r="HL1305"/>
      <c r="HM1305"/>
      <c r="HN1305"/>
      <c r="HO1305"/>
      <c r="HP1305"/>
      <c r="HQ1305"/>
      <c r="HR1305"/>
      <c r="HS1305"/>
      <c r="HT1305"/>
      <c r="HU1305"/>
      <c r="HV1305"/>
      <c r="HW1305"/>
      <c r="HX1305"/>
      <c r="HY1305"/>
      <c r="HZ1305"/>
      <c r="IA1305"/>
      <c r="IB1305"/>
      <c r="IC1305"/>
      <c r="ID1305"/>
      <c r="IE1305"/>
      <c r="IF1305"/>
      <c r="IG1305"/>
      <c r="IH1305"/>
      <c r="II1305"/>
      <c r="IJ1305"/>
      <c r="IK1305"/>
      <c r="IL1305"/>
      <c r="IM1305"/>
      <c r="IN1305"/>
      <c r="IO1305"/>
      <c r="IP1305"/>
      <c r="IQ1305"/>
      <c r="IR1305"/>
      <c r="IS1305"/>
      <c r="IT1305"/>
      <c r="IU1305"/>
      <c r="IV1305"/>
    </row>
    <row r="1306" ht="15" customHeight="1">
      <c r="A1306" s="401"/>
      <c r="B1306" s="401"/>
      <c r="C1306" s="401"/>
      <c r="D1306" s="401"/>
      <c r="E1306" s="401"/>
      <c r="F1306" s="401"/>
      <c r="G1306" s="401"/>
      <c r="J1306" s="9"/>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c r="EI1306"/>
      <c r="EJ1306"/>
      <c r="EK1306"/>
      <c r="EL1306"/>
      <c r="EM1306"/>
      <c r="EN1306"/>
      <c r="EO1306"/>
      <c r="EP1306"/>
      <c r="EQ1306"/>
      <c r="ER1306"/>
      <c r="ES1306"/>
      <c r="ET1306"/>
      <c r="EU1306"/>
      <c r="EV1306"/>
      <c r="EW1306"/>
      <c r="EX1306"/>
      <c r="EY1306"/>
      <c r="EZ1306"/>
      <c r="FA1306"/>
      <c r="FB1306"/>
      <c r="FC1306"/>
      <c r="FD1306"/>
      <c r="FE1306"/>
      <c r="FF1306"/>
      <c r="FG1306"/>
      <c r="FH1306"/>
      <c r="FI1306"/>
      <c r="FJ1306"/>
      <c r="FK1306"/>
      <c r="FL1306"/>
      <c r="FM1306"/>
      <c r="FN1306"/>
      <c r="FO1306"/>
      <c r="FP1306"/>
      <c r="FQ1306"/>
      <c r="FR1306"/>
      <c r="FS1306"/>
      <c r="FT1306"/>
      <c r="FU1306"/>
      <c r="FV1306"/>
      <c r="FW1306"/>
      <c r="FX1306"/>
      <c r="FY1306"/>
      <c r="FZ1306"/>
      <c r="GA1306"/>
      <c r="GB1306"/>
      <c r="GC1306"/>
      <c r="GD1306"/>
      <c r="GE1306"/>
      <c r="GF1306"/>
      <c r="GG1306"/>
      <c r="GH1306"/>
      <c r="GI1306"/>
      <c r="GJ1306"/>
      <c r="GK1306"/>
      <c r="GL1306"/>
      <c r="GM1306"/>
      <c r="GN1306"/>
      <c r="GO1306"/>
      <c r="GP1306"/>
      <c r="GQ1306"/>
      <c r="GR1306"/>
      <c r="GS1306"/>
      <c r="GT1306"/>
      <c r="GU1306"/>
      <c r="GV1306"/>
      <c r="GW1306"/>
      <c r="GX1306"/>
      <c r="GY1306"/>
      <c r="GZ1306"/>
      <c r="HA1306"/>
      <c r="HB1306"/>
      <c r="HC1306"/>
      <c r="HD1306"/>
      <c r="HE1306"/>
      <c r="HF1306"/>
      <c r="HG1306"/>
      <c r="HH1306"/>
      <c r="HI1306"/>
      <c r="HJ1306"/>
      <c r="HK1306"/>
      <c r="HL1306"/>
      <c r="HM1306"/>
      <c r="HN1306"/>
      <c r="HO1306"/>
      <c r="HP1306"/>
      <c r="HQ1306"/>
      <c r="HR1306"/>
      <c r="HS1306"/>
      <c r="HT1306"/>
      <c r="HU1306"/>
      <c r="HV1306"/>
      <c r="HW1306"/>
      <c r="HX1306"/>
      <c r="HY1306"/>
      <c r="HZ1306"/>
      <c r="IA1306"/>
      <c r="IB1306"/>
      <c r="IC1306"/>
      <c r="ID1306"/>
      <c r="IE1306"/>
      <c r="IF1306"/>
      <c r="IG1306"/>
      <c r="IH1306"/>
      <c r="II1306"/>
      <c r="IJ1306"/>
      <c r="IK1306"/>
      <c r="IL1306"/>
      <c r="IM1306"/>
      <c r="IN1306"/>
      <c r="IO1306"/>
      <c r="IP1306"/>
      <c r="IQ1306"/>
      <c r="IR1306"/>
      <c r="IS1306"/>
      <c r="IT1306"/>
      <c r="IU1306"/>
      <c r="IV1306"/>
    </row>
    <row r="1307" ht="15.75" customHeight="1">
      <c r="A1307" s="1071" t="s">
        <v>1788</v>
      </c>
      <c r="B1307" s="1071"/>
      <c r="C1307" s="1071"/>
      <c r="D1307" s="1071"/>
      <c r="E1307" s="1071"/>
      <c r="F1307" s="1071"/>
      <c r="G1307" s="1071"/>
      <c r="H1307" s="42"/>
      <c r="I1307" s="42"/>
      <c r="J1307" s="42"/>
      <c r="K1307" s="1072"/>
      <c r="L1307" s="1073" t="s">
        <v>1636</v>
      </c>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c r="EI1307"/>
      <c r="EJ1307"/>
      <c r="EK1307"/>
      <c r="EL1307"/>
      <c r="EM1307"/>
      <c r="EN1307"/>
      <c r="EO1307"/>
      <c r="EP1307"/>
      <c r="EQ1307"/>
      <c r="ER1307"/>
      <c r="ES1307"/>
      <c r="ET1307"/>
      <c r="EU1307"/>
      <c r="EV1307"/>
      <c r="EW1307"/>
      <c r="EX1307"/>
      <c r="EY1307"/>
      <c r="EZ1307"/>
      <c r="FA1307"/>
      <c r="FB1307"/>
      <c r="FC1307"/>
      <c r="FD1307"/>
      <c r="FE1307"/>
      <c r="FF1307"/>
      <c r="FG1307"/>
      <c r="FH1307"/>
      <c r="FI1307"/>
      <c r="FJ1307"/>
      <c r="FK1307"/>
      <c r="FL1307"/>
      <c r="FM1307"/>
      <c r="FN1307"/>
      <c r="FO1307"/>
      <c r="FP1307"/>
      <c r="FQ1307"/>
      <c r="FR1307"/>
      <c r="FS1307"/>
      <c r="FT1307"/>
      <c r="FU1307"/>
      <c r="FV1307"/>
      <c r="FW1307"/>
      <c r="FX1307"/>
      <c r="FY1307"/>
      <c r="FZ1307"/>
      <c r="GA1307"/>
      <c r="GB1307"/>
      <c r="GC1307"/>
      <c r="GD1307"/>
      <c r="GE1307"/>
      <c r="GF1307"/>
      <c r="GG1307"/>
      <c r="GH1307"/>
      <c r="GI1307"/>
      <c r="GJ1307"/>
      <c r="GK1307"/>
      <c r="GL1307"/>
      <c r="GM1307"/>
      <c r="GN1307"/>
      <c r="GO1307"/>
      <c r="GP1307"/>
      <c r="GQ1307"/>
      <c r="GR1307"/>
      <c r="GS1307"/>
      <c r="GT1307"/>
      <c r="GU1307"/>
      <c r="GV1307"/>
      <c r="GW1307"/>
      <c r="GX1307"/>
      <c r="GY1307"/>
      <c r="GZ1307"/>
      <c r="HA1307"/>
      <c r="HB1307"/>
      <c r="HC1307"/>
      <c r="HD1307"/>
      <c r="HE1307"/>
      <c r="HF1307"/>
      <c r="HG1307"/>
      <c r="HH1307"/>
      <c r="HI1307"/>
      <c r="HJ1307"/>
      <c r="HK1307"/>
      <c r="HL1307"/>
      <c r="HM1307"/>
      <c r="HN1307"/>
      <c r="HO1307"/>
      <c r="HP1307"/>
      <c r="HQ1307"/>
      <c r="HR1307"/>
      <c r="HS1307"/>
      <c r="HT1307"/>
      <c r="HU1307"/>
      <c r="HV1307"/>
      <c r="HW1307"/>
      <c r="HX1307"/>
      <c r="HY1307"/>
      <c r="HZ1307"/>
      <c r="IA1307"/>
      <c r="IB1307"/>
      <c r="IC1307"/>
      <c r="ID1307"/>
      <c r="IE1307"/>
      <c r="IF1307"/>
      <c r="IG1307"/>
      <c r="IH1307"/>
      <c r="II1307"/>
      <c r="IJ1307"/>
      <c r="IK1307"/>
      <c r="IL1307"/>
      <c r="IM1307"/>
      <c r="IN1307"/>
      <c r="IO1307"/>
      <c r="IP1307"/>
      <c r="IQ1307"/>
      <c r="IR1307"/>
      <c r="IS1307"/>
      <c r="IT1307"/>
      <c r="IU1307"/>
      <c r="IV1307"/>
    </row>
    <row r="1308" ht="13.9" customHeight="1">
      <c r="A1308" s="378"/>
      <c r="B1308" s="378"/>
      <c r="C1308" s="378"/>
      <c r="D1308" s="378"/>
      <c r="E1308" s="378"/>
      <c r="F1308" s="378"/>
      <c r="G1308" s="378"/>
      <c r="H1308"/>
      <c r="I1308"/>
      <c r="J1308"/>
      <c r="K1308" s="1076"/>
      <c r="L1308" s="880"/>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c r="EI1308"/>
      <c r="EJ1308"/>
      <c r="EK1308"/>
      <c r="EL1308"/>
      <c r="EM1308"/>
      <c r="EN1308"/>
      <c r="EO1308"/>
      <c r="EP1308"/>
      <c r="EQ1308"/>
      <c r="ER1308"/>
      <c r="ES1308"/>
      <c r="ET1308"/>
      <c r="EU1308"/>
      <c r="EV1308"/>
      <c r="EW1308"/>
      <c r="EX1308"/>
      <c r="EY1308"/>
      <c r="EZ1308"/>
      <c r="FA1308"/>
      <c r="FB1308"/>
      <c r="FC1308"/>
      <c r="FD1308"/>
      <c r="FE1308"/>
      <c r="FF1308"/>
      <c r="FG1308"/>
      <c r="FH1308"/>
      <c r="FI1308"/>
      <c r="FJ1308"/>
      <c r="FK1308"/>
      <c r="FL1308"/>
      <c r="FM1308"/>
      <c r="FN1308"/>
      <c r="FO1308"/>
      <c r="FP1308"/>
      <c r="FQ1308"/>
      <c r="FR1308"/>
      <c r="FS1308"/>
      <c r="FT1308"/>
      <c r="FU1308"/>
      <c r="FV1308"/>
      <c r="FW1308"/>
      <c r="FX1308"/>
      <c r="FY1308"/>
      <c r="FZ1308"/>
      <c r="GA1308"/>
      <c r="GB1308"/>
      <c r="GC1308"/>
      <c r="GD1308"/>
      <c r="GE1308"/>
      <c r="GF1308"/>
      <c r="GG1308"/>
      <c r="GH1308"/>
      <c r="GI1308"/>
      <c r="GJ1308"/>
      <c r="GK1308"/>
      <c r="GL1308"/>
      <c r="GM1308"/>
      <c r="GN1308"/>
      <c r="GO1308"/>
      <c r="GP1308"/>
      <c r="GQ1308"/>
      <c r="GR1308"/>
      <c r="GS1308"/>
      <c r="GT1308"/>
      <c r="GU1308"/>
      <c r="GV1308"/>
      <c r="GW1308"/>
      <c r="GX1308"/>
      <c r="GY1308"/>
      <c r="GZ1308"/>
      <c r="HA1308"/>
      <c r="HB1308"/>
      <c r="HC1308"/>
      <c r="HD1308"/>
      <c r="HE1308"/>
      <c r="HF1308"/>
      <c r="HG1308"/>
      <c r="HH1308"/>
      <c r="HI1308"/>
      <c r="HJ1308"/>
      <c r="HK1308"/>
      <c r="HL1308"/>
      <c r="HM1308"/>
      <c r="HN1308"/>
      <c r="HO1308"/>
      <c r="HP1308"/>
      <c r="HQ1308"/>
      <c r="HR1308"/>
      <c r="HS1308"/>
      <c r="HT1308"/>
      <c r="HU1308"/>
      <c r="HV1308"/>
      <c r="HW1308"/>
      <c r="HX1308"/>
      <c r="HY1308"/>
      <c r="HZ1308"/>
      <c r="IA1308"/>
      <c r="IB1308"/>
      <c r="IC1308"/>
      <c r="ID1308"/>
      <c r="IE1308"/>
      <c r="IF1308"/>
      <c r="IG1308"/>
      <c r="IH1308"/>
      <c r="II1308"/>
      <c r="IJ1308"/>
      <c r="IK1308"/>
      <c r="IL1308"/>
      <c r="IM1308"/>
      <c r="IN1308"/>
      <c r="IO1308"/>
      <c r="IP1308"/>
      <c r="IQ1308"/>
      <c r="IR1308"/>
      <c r="IS1308"/>
      <c r="IT1308"/>
      <c r="IU1308"/>
      <c r="IV1308"/>
    </row>
    <row r="1309" ht="15.75" customHeight="1">
      <c r="A1309" s="12" t="s">
        <v>946</v>
      </c>
      <c r="B1309" s="821"/>
      <c r="C1309" s="821"/>
      <c r="D1309" s="785" t="n">
        <v>0.6</v>
      </c>
      <c r="E1309" s="821"/>
      <c r="K1309" s="634"/>
      <c r="L1309" s="748"/>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c r="EI1309"/>
      <c r="EJ1309"/>
      <c r="EK1309"/>
      <c r="EL1309"/>
      <c r="EM1309"/>
      <c r="EN1309"/>
      <c r="EO1309"/>
      <c r="EP1309"/>
      <c r="EQ1309"/>
      <c r="ER1309"/>
      <c r="ES1309"/>
      <c r="ET1309"/>
      <c r="EU1309"/>
      <c r="EV1309"/>
      <c r="EW1309"/>
      <c r="EX1309"/>
      <c r="EY1309"/>
      <c r="EZ1309"/>
      <c r="FA1309"/>
      <c r="FB1309"/>
      <c r="FC1309"/>
      <c r="FD1309"/>
      <c r="FE1309"/>
      <c r="FF1309"/>
      <c r="FG1309"/>
      <c r="FH1309"/>
      <c r="FI1309"/>
      <c r="FJ1309"/>
      <c r="FK1309"/>
      <c r="FL1309"/>
      <c r="FM1309"/>
      <c r="FN1309"/>
      <c r="FO1309"/>
      <c r="FP1309"/>
      <c r="FQ1309"/>
      <c r="FR1309"/>
      <c r="FS1309"/>
      <c r="FT1309"/>
      <c r="FU1309"/>
      <c r="FV1309"/>
      <c r="FW1309"/>
      <c r="FX1309"/>
      <c r="FY1309"/>
      <c r="FZ1309"/>
      <c r="GA1309"/>
      <c r="GB1309"/>
      <c r="GC1309"/>
      <c r="GD1309"/>
      <c r="GE1309"/>
      <c r="GF1309"/>
      <c r="GG1309"/>
      <c r="GH1309"/>
      <c r="GI1309"/>
      <c r="GJ1309"/>
      <c r="GK1309"/>
      <c r="GL1309"/>
      <c r="GM1309"/>
      <c r="GN1309"/>
      <c r="GO1309"/>
      <c r="GP1309"/>
      <c r="GQ1309"/>
      <c r="GR1309"/>
      <c r="GS1309"/>
      <c r="GT1309"/>
      <c r="GU1309"/>
      <c r="GV1309"/>
      <c r="GW1309"/>
      <c r="GX1309"/>
      <c r="GY1309"/>
      <c r="GZ1309"/>
      <c r="HA1309"/>
      <c r="HB1309"/>
      <c r="HC1309"/>
      <c r="HD1309"/>
      <c r="HE1309"/>
      <c r="HF1309"/>
      <c r="HG1309"/>
      <c r="HH1309"/>
      <c r="HI1309"/>
      <c r="HJ1309"/>
      <c r="HK1309"/>
      <c r="HL1309"/>
      <c r="HM1309"/>
      <c r="HN1309"/>
      <c r="HO1309"/>
      <c r="HP1309"/>
      <c r="HQ1309"/>
      <c r="HR1309"/>
      <c r="HS1309"/>
      <c r="HT1309"/>
      <c r="HU1309"/>
      <c r="HV1309"/>
      <c r="HW1309"/>
      <c r="HX1309"/>
      <c r="HY1309"/>
      <c r="HZ1309"/>
      <c r="IA1309"/>
      <c r="IB1309"/>
      <c r="IC1309"/>
      <c r="ID1309"/>
      <c r="IE1309"/>
      <c r="IF1309"/>
      <c r="IG1309"/>
      <c r="IH1309"/>
      <c r="II1309"/>
      <c r="IJ1309"/>
      <c r="IK1309"/>
      <c r="IL1309"/>
      <c r="IM1309"/>
      <c r="IN1309"/>
      <c r="IO1309"/>
      <c r="IP1309"/>
      <c r="IQ1309"/>
      <c r="IR1309"/>
      <c r="IS1309"/>
      <c r="IT1309"/>
      <c r="IU1309"/>
      <c r="IV1309"/>
    </row>
    <row r="1310" ht="15.75" customHeight="1">
      <c r="A1310" s="897" t="s">
        <v>947</v>
      </c>
      <c r="B1310" s="591"/>
      <c r="C1310" s="591"/>
      <c r="D1310" s="591"/>
      <c r="E1310" s="591"/>
      <c r="F1310" s="786"/>
      <c r="H1310" s="44"/>
      <c r="I1310" s="787"/>
      <c r="J1310" s="788"/>
      <c r="K1310"/>
      <c r="L1310"/>
      <c r="M1310" s="756"/>
    </row>
    <row r="1311" ht="15" customHeight="1">
      <c r="B1311" s="821"/>
      <c r="C1311" s="786"/>
      <c r="D1311" s="786"/>
      <c r="E1311" s="786"/>
      <c r="G1311" s="786"/>
      <c r="H1311" s="44"/>
      <c r="I1311" s="787"/>
      <c r="J1311" s="788"/>
      <c r="K1311" s="634"/>
      <c r="L1311" s="748"/>
      <c r="M1311" s="756"/>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c r="EI1311"/>
      <c r="EJ1311"/>
      <c r="EK1311"/>
      <c r="EL1311"/>
      <c r="EM1311"/>
      <c r="EN1311"/>
      <c r="EO1311"/>
      <c r="EP1311"/>
      <c r="EQ1311"/>
      <c r="ER1311"/>
      <c r="ES1311"/>
      <c r="ET1311"/>
      <c r="EU1311"/>
      <c r="EV1311"/>
      <c r="EW1311"/>
      <c r="EX1311"/>
      <c r="EY1311"/>
      <c r="EZ1311"/>
      <c r="FA1311"/>
      <c r="FB1311"/>
      <c r="FC1311"/>
      <c r="FD1311"/>
      <c r="FE1311"/>
      <c r="FF1311"/>
      <c r="FG1311"/>
      <c r="FH1311"/>
      <c r="FI1311"/>
      <c r="FJ1311"/>
      <c r="FK1311"/>
      <c r="FL1311"/>
      <c r="FM1311"/>
      <c r="FN1311"/>
      <c r="FO1311"/>
      <c r="FP1311"/>
      <c r="FQ1311"/>
      <c r="FR1311"/>
      <c r="FS1311"/>
      <c r="FT1311"/>
      <c r="FU1311"/>
      <c r="FV1311"/>
      <c r="FW1311"/>
      <c r="FX1311"/>
      <c r="FY1311"/>
      <c r="FZ1311"/>
      <c r="GA1311"/>
      <c r="GB1311"/>
      <c r="GC1311"/>
      <c r="GD1311"/>
      <c r="GE1311"/>
      <c r="GF1311"/>
      <c r="GG1311"/>
      <c r="GH1311"/>
      <c r="GI1311"/>
      <c r="GJ1311"/>
      <c r="GK1311"/>
      <c r="GL1311"/>
      <c r="GM1311"/>
      <c r="GN1311"/>
      <c r="GO1311"/>
      <c r="GP1311"/>
      <c r="GQ1311"/>
      <c r="GR1311"/>
      <c r="GS1311"/>
      <c r="GT1311"/>
      <c r="GU1311"/>
      <c r="GV1311"/>
      <c r="GW1311"/>
      <c r="GX1311"/>
      <c r="GY1311"/>
      <c r="GZ1311"/>
      <c r="HA1311"/>
      <c r="HB1311"/>
      <c r="HC1311"/>
      <c r="HD1311"/>
      <c r="HE1311"/>
      <c r="HF1311"/>
      <c r="HG1311"/>
      <c r="HH1311"/>
      <c r="HI1311"/>
      <c r="HJ1311"/>
      <c r="HK1311"/>
      <c r="HL1311"/>
      <c r="HM1311"/>
      <c r="HN1311"/>
      <c r="HO1311"/>
      <c r="HP1311"/>
      <c r="HQ1311"/>
      <c r="HR1311"/>
      <c r="HS1311"/>
      <c r="HT1311"/>
      <c r="HU1311"/>
      <c r="HV1311"/>
      <c r="HW1311"/>
      <c r="HX1311"/>
      <c r="HY1311"/>
      <c r="HZ1311"/>
      <c r="IA1311"/>
      <c r="IB1311"/>
      <c r="IC1311"/>
      <c r="ID1311"/>
      <c r="IE1311"/>
      <c r="IF1311"/>
      <c r="IG1311"/>
      <c r="IH1311"/>
      <c r="II1311"/>
      <c r="IJ1311"/>
      <c r="IK1311"/>
      <c r="IL1311"/>
      <c r="IM1311"/>
      <c r="IN1311"/>
      <c r="IO1311"/>
      <c r="IP1311"/>
      <c r="IQ1311"/>
      <c r="IR1311"/>
      <c r="IS1311"/>
      <c r="IT1311"/>
      <c r="IU1311"/>
      <c r="IV1311"/>
    </row>
    <row r="1312" ht="15" customHeight="1">
      <c r="A1312" s="12" t="s">
        <v>948</v>
      </c>
      <c r="B1312" s="12"/>
      <c r="C1312" s="12"/>
      <c r="D1312" s="785" t="s">
        <v>950</v>
      </c>
      <c r="E1312" s="43"/>
      <c r="G1312" s="43"/>
      <c r="H1312" s="9"/>
      <c r="I1312" s="9"/>
      <c r="J1312" s="10"/>
      <c r="K1312" s="634"/>
      <c r="L1312" s="748"/>
      <c r="M1312" s="756"/>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c r="EG1312"/>
      <c r="EH1312"/>
      <c r="EI1312"/>
      <c r="EJ1312"/>
      <c r="EK1312"/>
      <c r="EL1312"/>
      <c r="EM1312"/>
      <c r="EN1312"/>
      <c r="EO1312"/>
      <c r="EP1312"/>
      <c r="EQ1312"/>
      <c r="ER1312"/>
      <c r="ES1312"/>
      <c r="ET1312"/>
      <c r="EU1312"/>
      <c r="EV1312"/>
      <c r="EW1312"/>
      <c r="EX1312"/>
      <c r="EY1312"/>
      <c r="EZ1312"/>
      <c r="FA1312"/>
      <c r="FB1312"/>
      <c r="FC1312"/>
      <c r="FD1312"/>
      <c r="FE1312"/>
      <c r="FF1312"/>
      <c r="FG1312"/>
      <c r="FH1312"/>
      <c r="FI1312"/>
      <c r="FJ1312"/>
      <c r="FK1312"/>
      <c r="FL1312"/>
      <c r="FM1312"/>
      <c r="FN1312"/>
      <c r="FO1312"/>
      <c r="FP1312"/>
      <c r="FQ1312"/>
      <c r="FR1312"/>
      <c r="FS1312"/>
      <c r="FT1312"/>
      <c r="FU1312"/>
      <c r="FV1312"/>
      <c r="FW1312"/>
      <c r="FX1312"/>
      <c r="FY1312"/>
      <c r="FZ1312"/>
      <c r="GA1312"/>
      <c r="GB1312"/>
      <c r="GC1312"/>
      <c r="GD1312"/>
      <c r="GE1312"/>
      <c r="GF1312"/>
      <c r="GG1312"/>
      <c r="GH1312"/>
      <c r="GI1312"/>
      <c r="GJ1312"/>
      <c r="GK1312"/>
      <c r="GL1312"/>
      <c r="GM1312"/>
      <c r="GN1312"/>
      <c r="GO1312"/>
      <c r="GP1312"/>
      <c r="GQ1312"/>
      <c r="GR1312"/>
      <c r="GS1312"/>
      <c r="GT1312"/>
      <c r="GU1312"/>
      <c r="GV1312"/>
      <c r="GW1312"/>
      <c r="GX1312"/>
      <c r="GY1312"/>
      <c r="GZ1312"/>
      <c r="HA1312"/>
      <c r="HB1312"/>
      <c r="HC1312"/>
      <c r="HD1312"/>
      <c r="HE1312"/>
      <c r="HF1312"/>
      <c r="HG1312"/>
      <c r="HH1312"/>
      <c r="HI1312"/>
      <c r="HJ1312"/>
      <c r="HK1312"/>
      <c r="HL1312"/>
      <c r="HM1312"/>
      <c r="HN1312"/>
      <c r="HO1312"/>
      <c r="HP1312"/>
      <c r="HQ1312"/>
      <c r="HR1312"/>
      <c r="HS1312"/>
      <c r="HT1312"/>
      <c r="HU1312"/>
      <c r="HV1312"/>
      <c r="HW1312"/>
      <c r="HX1312"/>
      <c r="HY1312"/>
      <c r="HZ1312"/>
      <c r="IA1312"/>
      <c r="IB1312"/>
      <c r="IC1312"/>
      <c r="ID1312"/>
      <c r="IE1312"/>
      <c r="IF1312"/>
      <c r="IG1312"/>
      <c r="IH1312"/>
      <c r="II1312"/>
      <c r="IJ1312"/>
      <c r="IK1312"/>
      <c r="IL1312"/>
      <c r="IM1312"/>
      <c r="IN1312"/>
      <c r="IO1312"/>
      <c r="IP1312"/>
      <c r="IQ1312"/>
      <c r="IR1312"/>
      <c r="IS1312"/>
      <c r="IT1312"/>
      <c r="IU1312"/>
      <c r="IV1312"/>
    </row>
    <row r="1313" ht="15.75" customHeight="1">
      <c r="A1313" s="13" t="s">
        <v>951</v>
      </c>
      <c r="B1313" s="591"/>
      <c r="C1313" s="591"/>
      <c r="D1313" s="591"/>
      <c r="E1313" s="591"/>
      <c r="G1313" s="789"/>
      <c r="K1313" s="634"/>
      <c r="L1313" s="745"/>
      <c r="M1313" s="756"/>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c r="EG1313"/>
      <c r="EH1313"/>
      <c r="EI1313"/>
      <c r="EJ1313"/>
      <c r="EK1313"/>
      <c r="EL1313"/>
      <c r="EM1313"/>
      <c r="EN1313"/>
      <c r="EO1313"/>
      <c r="EP1313"/>
      <c r="EQ1313"/>
      <c r="ER1313"/>
      <c r="ES1313"/>
      <c r="ET1313"/>
      <c r="EU1313"/>
      <c r="EV1313"/>
      <c r="EW1313"/>
      <c r="EX1313"/>
      <c r="EY1313"/>
      <c r="EZ1313"/>
      <c r="FA1313"/>
      <c r="FB1313"/>
      <c r="FC1313"/>
      <c r="FD1313"/>
      <c r="FE1313"/>
      <c r="FF1313"/>
      <c r="FG1313"/>
      <c r="FH1313"/>
      <c r="FI1313"/>
      <c r="FJ1313"/>
      <c r="FK1313"/>
      <c r="FL1313"/>
      <c r="FM1313"/>
      <c r="FN1313"/>
      <c r="FO1313"/>
      <c r="FP1313"/>
      <c r="FQ1313"/>
      <c r="FR1313"/>
      <c r="FS1313"/>
      <c r="FT1313"/>
      <c r="FU1313"/>
      <c r="FV1313"/>
      <c r="FW1313"/>
      <c r="FX1313"/>
      <c r="FY1313"/>
      <c r="FZ1313"/>
      <c r="GA1313"/>
      <c r="GB1313"/>
      <c r="GC1313"/>
      <c r="GD1313"/>
      <c r="GE1313"/>
      <c r="GF1313"/>
      <c r="GG1313"/>
      <c r="GH1313"/>
      <c r="GI1313"/>
      <c r="GJ1313"/>
      <c r="GK1313"/>
      <c r="GL1313"/>
      <c r="GM1313"/>
      <c r="GN1313"/>
      <c r="GO1313"/>
      <c r="GP1313"/>
      <c r="GQ1313"/>
      <c r="GR1313"/>
      <c r="GS1313"/>
      <c r="GT1313"/>
      <c r="GU1313"/>
      <c r="GV1313"/>
      <c r="GW1313"/>
      <c r="GX1313"/>
      <c r="GY1313"/>
      <c r="GZ1313"/>
      <c r="HA1313"/>
      <c r="HB1313"/>
      <c r="HC1313"/>
      <c r="HD1313"/>
      <c r="HE1313"/>
      <c r="HF1313"/>
      <c r="HG1313"/>
      <c r="HH1313"/>
      <c r="HI1313"/>
      <c r="HJ1313"/>
      <c r="HK1313"/>
      <c r="HL1313"/>
      <c r="HM1313"/>
      <c r="HN1313"/>
      <c r="HO1313"/>
      <c r="HP1313"/>
      <c r="HQ1313"/>
      <c r="HR1313"/>
      <c r="HS1313"/>
      <c r="HT1313"/>
      <c r="HU1313"/>
      <c r="HV1313"/>
      <c r="HW1313"/>
      <c r="HX1313"/>
      <c r="HY1313"/>
      <c r="HZ1313"/>
      <c r="IA1313"/>
      <c r="IB1313"/>
      <c r="IC1313"/>
      <c r="ID1313"/>
      <c r="IE1313"/>
      <c r="IF1313"/>
      <c r="IG1313"/>
      <c r="IH1313"/>
      <c r="II1313"/>
      <c r="IJ1313"/>
      <c r="IK1313"/>
      <c r="IL1313"/>
      <c r="IM1313"/>
      <c r="IN1313"/>
      <c r="IO1313"/>
      <c r="IP1313"/>
      <c r="IQ1313"/>
      <c r="IR1313"/>
      <c r="IS1313"/>
      <c r="IT1313"/>
      <c r="IU1313"/>
      <c r="IV1313"/>
    </row>
    <row r="1314" ht="15.75" customHeight="1">
      <c r="G1314" s="789"/>
      <c r="K1314" s="634"/>
      <c r="L1314" s="748"/>
      <c r="M1314" s="756"/>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c r="EG1314"/>
      <c r="EH1314"/>
      <c r="EI1314"/>
      <c r="EJ1314"/>
      <c r="EK1314"/>
      <c r="EL1314"/>
      <c r="EM1314"/>
      <c r="EN1314"/>
      <c r="EO1314"/>
      <c r="EP1314"/>
      <c r="EQ1314"/>
      <c r="ER1314"/>
      <c r="ES1314"/>
      <c r="ET1314"/>
      <c r="EU1314"/>
      <c r="EV1314"/>
      <c r="EW1314"/>
      <c r="EX1314"/>
      <c r="EY1314"/>
      <c r="EZ1314"/>
      <c r="FA1314"/>
      <c r="FB1314"/>
      <c r="FC1314"/>
      <c r="FD1314"/>
      <c r="FE1314"/>
      <c r="FF1314"/>
      <c r="FG1314"/>
      <c r="FH1314"/>
      <c r="FI1314"/>
      <c r="FJ1314"/>
      <c r="FK1314"/>
      <c r="FL1314"/>
      <c r="FM1314"/>
      <c r="FN1314"/>
      <c r="FO1314"/>
      <c r="FP1314"/>
      <c r="FQ1314"/>
      <c r="FR1314"/>
      <c r="FS1314"/>
      <c r="FT1314"/>
      <c r="FU1314"/>
      <c r="FV1314"/>
      <c r="FW1314"/>
      <c r="FX1314"/>
      <c r="FY1314"/>
      <c r="FZ1314"/>
      <c r="GA1314"/>
      <c r="GB1314"/>
      <c r="GC1314"/>
      <c r="GD1314"/>
      <c r="GE1314"/>
      <c r="GF1314"/>
      <c r="GG1314"/>
      <c r="GH1314"/>
      <c r="GI1314"/>
      <c r="GJ1314"/>
      <c r="GK1314"/>
      <c r="GL1314"/>
      <c r="GM1314"/>
      <c r="GN1314"/>
      <c r="GO1314"/>
      <c r="GP1314"/>
      <c r="GQ1314"/>
      <c r="GR1314"/>
      <c r="GS1314"/>
      <c r="GT1314"/>
      <c r="GU1314"/>
      <c r="GV1314"/>
      <c r="GW1314"/>
      <c r="GX1314"/>
      <c r="GY1314"/>
      <c r="GZ1314"/>
      <c r="HA1314"/>
      <c r="HB1314"/>
      <c r="HC1314"/>
      <c r="HD1314"/>
      <c r="HE1314"/>
      <c r="HF1314"/>
      <c r="HG1314"/>
      <c r="HH1314"/>
      <c r="HI1314"/>
      <c r="HJ1314"/>
      <c r="HK1314"/>
      <c r="HL1314"/>
      <c r="HM1314"/>
      <c r="HN1314"/>
      <c r="HO1314"/>
      <c r="HP1314"/>
      <c r="HQ1314"/>
      <c r="HR1314"/>
      <c r="HS1314"/>
      <c r="HT1314"/>
      <c r="HU1314"/>
      <c r="HV1314"/>
      <c r="HW1314"/>
      <c r="HX1314"/>
      <c r="HY1314"/>
      <c r="HZ1314"/>
      <c r="IA1314"/>
      <c r="IB1314"/>
      <c r="IC1314"/>
      <c r="ID1314"/>
      <c r="IE1314"/>
      <c r="IF1314"/>
      <c r="IG1314"/>
      <c r="IH1314"/>
      <c r="II1314"/>
      <c r="IJ1314"/>
      <c r="IK1314"/>
      <c r="IL1314"/>
      <c r="IM1314"/>
      <c r="IN1314"/>
      <c r="IO1314"/>
      <c r="IP1314"/>
      <c r="IQ1314"/>
      <c r="IR1314"/>
      <c r="IS1314"/>
      <c r="IT1314"/>
      <c r="IU1314"/>
      <c r="IV1314"/>
    </row>
    <row r="1315" ht="15.75" customHeight="1">
      <c r="A1315" s="821" t="s">
        <v>1789</v>
      </c>
      <c r="B1315" s="381"/>
      <c r="C1315" s="9"/>
      <c r="D1315" s="785" t="s">
        <v>253</v>
      </c>
      <c r="E1315" s="9"/>
      <c r="F1315" s="790"/>
      <c r="H1315" s="9"/>
      <c r="I1315" s="835"/>
      <c r="J1315" s="499"/>
      <c r="K1315" s="633"/>
      <c r="L1315" s="745"/>
      <c r="M1315" s="756"/>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c r="EG1315"/>
      <c r="EH1315"/>
      <c r="EI1315"/>
      <c r="EJ1315"/>
      <c r="EK1315"/>
      <c r="EL1315"/>
      <c r="EM1315"/>
      <c r="EN1315"/>
      <c r="EO1315"/>
      <c r="EP1315"/>
      <c r="EQ1315"/>
      <c r="ER1315"/>
      <c r="ES1315"/>
      <c r="ET1315"/>
      <c r="EU1315"/>
      <c r="EV1315"/>
      <c r="EW1315"/>
      <c r="EX1315"/>
      <c r="EY1315"/>
      <c r="EZ1315"/>
      <c r="FA1315"/>
      <c r="FB1315"/>
      <c r="FC1315"/>
      <c r="FD1315"/>
      <c r="FE1315"/>
      <c r="FF1315"/>
      <c r="FG1315"/>
      <c r="FH1315"/>
      <c r="FI1315"/>
      <c r="FJ1315"/>
      <c r="FK1315"/>
      <c r="FL1315"/>
      <c r="FM1315"/>
      <c r="FN1315"/>
      <c r="FO1315"/>
      <c r="FP1315"/>
      <c r="FQ1315"/>
      <c r="FR1315"/>
      <c r="FS1315"/>
      <c r="FT1315"/>
      <c r="FU1315"/>
      <c r="FV1315"/>
      <c r="FW1315"/>
      <c r="FX1315"/>
      <c r="FY1315"/>
      <c r="FZ1315"/>
      <c r="GA1315"/>
      <c r="GB1315"/>
      <c r="GC1315"/>
      <c r="GD1315"/>
      <c r="GE1315"/>
      <c r="GF1315"/>
      <c r="GG1315"/>
      <c r="GH1315"/>
      <c r="GI1315"/>
      <c r="GJ1315"/>
      <c r="GK1315"/>
      <c r="GL1315"/>
      <c r="GM1315"/>
      <c r="GN1315"/>
      <c r="GO1315"/>
      <c r="GP1315"/>
      <c r="GQ1315"/>
      <c r="GR1315"/>
      <c r="GS1315"/>
      <c r="GT1315"/>
      <c r="GU1315"/>
      <c r="GV1315"/>
      <c r="GW1315"/>
      <c r="GX1315"/>
      <c r="GY1315"/>
      <c r="GZ1315"/>
      <c r="HA1315"/>
      <c r="HB1315"/>
      <c r="HC1315"/>
      <c r="HD1315"/>
      <c r="HE1315"/>
      <c r="HF1315"/>
      <c r="HG1315"/>
      <c r="HH1315"/>
      <c r="HI1315"/>
      <c r="HJ1315"/>
      <c r="HK1315"/>
      <c r="HL1315"/>
      <c r="HM1315"/>
      <c r="HN1315"/>
      <c r="HO1315"/>
      <c r="HP1315"/>
      <c r="HQ1315"/>
      <c r="HR1315"/>
      <c r="HS1315"/>
      <c r="HT1315"/>
      <c r="HU1315"/>
      <c r="HV1315"/>
      <c r="HW1315"/>
      <c r="HX1315"/>
      <c r="HY1315"/>
      <c r="HZ1315"/>
      <c r="IA1315"/>
      <c r="IB1315"/>
      <c r="IC1315"/>
      <c r="ID1315"/>
      <c r="IE1315"/>
      <c r="IF1315"/>
      <c r="IG1315"/>
      <c r="IH1315"/>
      <c r="II1315"/>
      <c r="IJ1315"/>
      <c r="IK1315"/>
      <c r="IL1315"/>
      <c r="IM1315"/>
      <c r="IN1315"/>
      <c r="IO1315"/>
      <c r="IP1315"/>
      <c r="IQ1315"/>
      <c r="IR1315"/>
      <c r="IS1315"/>
      <c r="IT1315"/>
      <c r="IU1315"/>
      <c r="IV1315"/>
    </row>
    <row r="1316" ht="15.75" customHeight="1">
      <c r="A1316" s="401"/>
      <c r="B1316" s="401"/>
      <c r="C1316" s="401"/>
      <c r="D1316" s="401"/>
      <c r="E1316" s="401"/>
      <c r="F1316" s="401"/>
      <c r="G1316" s="401"/>
      <c r="H1316" s="648"/>
      <c r="I1316" s="9"/>
      <c r="J1316" s="10"/>
      <c r="K1316" s="44"/>
      <c r="L1316"/>
      <c r="M1316" s="75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c r="EE1316"/>
      <c r="EF1316"/>
      <c r="EG1316"/>
      <c r="EH1316"/>
      <c r="EI1316"/>
      <c r="EJ1316"/>
      <c r="EK1316"/>
      <c r="EL1316"/>
      <c r="EM1316"/>
      <c r="EN1316"/>
      <c r="EO1316"/>
      <c r="EP1316"/>
      <c r="EQ1316"/>
      <c r="ER1316"/>
      <c r="ES1316"/>
      <c r="ET1316"/>
      <c r="EU1316"/>
      <c r="EV1316"/>
      <c r="EW1316"/>
      <c r="EX1316"/>
      <c r="EY1316"/>
      <c r="EZ1316"/>
      <c r="FA1316"/>
      <c r="FB1316"/>
      <c r="FC1316"/>
      <c r="FD1316"/>
      <c r="FE1316"/>
      <c r="FF1316"/>
      <c r="FG1316"/>
      <c r="FH1316"/>
      <c r="FI1316"/>
      <c r="FJ1316"/>
      <c r="FK1316"/>
      <c r="FL1316"/>
      <c r="FM1316"/>
      <c r="FN1316"/>
      <c r="FO1316"/>
      <c r="FP1316"/>
      <c r="FQ1316"/>
      <c r="FR1316"/>
      <c r="FS1316"/>
      <c r="FT1316"/>
      <c r="FU1316"/>
      <c r="FV1316"/>
      <c r="FW1316"/>
      <c r="FX1316"/>
      <c r="FY1316"/>
      <c r="FZ1316"/>
      <c r="GA1316"/>
      <c r="GB1316"/>
      <c r="GC1316"/>
      <c r="GD1316"/>
      <c r="GE1316"/>
      <c r="GF1316"/>
      <c r="GG1316"/>
      <c r="GH1316"/>
      <c r="GI1316"/>
      <c r="GJ1316"/>
      <c r="GK1316"/>
      <c r="GL1316"/>
      <c r="GM1316"/>
      <c r="GN1316"/>
      <c r="GO1316"/>
      <c r="GP1316"/>
      <c r="GQ1316"/>
      <c r="GR1316"/>
      <c r="GS1316"/>
      <c r="GT1316"/>
      <c r="GU1316"/>
      <c r="GV1316"/>
      <c r="GW1316"/>
      <c r="GX1316"/>
      <c r="GY1316"/>
      <c r="GZ1316"/>
      <c r="HA1316"/>
      <c r="HB1316"/>
      <c r="HC1316"/>
      <c r="HD1316"/>
      <c r="HE1316"/>
      <c r="HF1316"/>
      <c r="HG1316"/>
      <c r="HH1316"/>
      <c r="HI1316"/>
      <c r="HJ1316"/>
      <c r="HK1316"/>
      <c r="HL1316"/>
      <c r="HM1316"/>
      <c r="HN1316"/>
      <c r="HO1316"/>
      <c r="HP1316"/>
      <c r="HQ1316"/>
      <c r="HR1316"/>
      <c r="HS1316"/>
      <c r="HT1316"/>
      <c r="HU1316"/>
      <c r="HV1316"/>
      <c r="HW1316"/>
      <c r="HX1316"/>
      <c r="HY1316"/>
      <c r="HZ1316"/>
      <c r="IA1316"/>
      <c r="IB1316"/>
      <c r="IC1316"/>
      <c r="ID1316"/>
      <c r="IE1316"/>
      <c r="IF1316"/>
      <c r="IG1316"/>
      <c r="IH1316"/>
      <c r="II1316"/>
      <c r="IJ1316"/>
      <c r="IK1316"/>
      <c r="IL1316"/>
      <c r="IM1316"/>
      <c r="IN1316"/>
      <c r="IO1316"/>
      <c r="IP1316"/>
      <c r="IQ1316"/>
      <c r="IR1316"/>
      <c r="IS1316"/>
      <c r="IT1316"/>
      <c r="IU1316"/>
      <c r="IV1316"/>
    </row>
    <row r="1317" ht="15" customHeight="1">
      <c r="A1317" s="401"/>
      <c r="B1317" s="401"/>
      <c r="C1317" s="401"/>
      <c r="D1317" s="401"/>
      <c r="E1317" s="401"/>
      <c r="F1317" s="401"/>
      <c r="G1317" s="401"/>
      <c r="H1317" s="648"/>
      <c r="J1317"/>
      <c r="K1317" s="44"/>
    </row>
    <row r="1318" ht="15" customHeight="1">
      <c r="A1318" s="1071" t="s">
        <v>1790</v>
      </c>
      <c r="B1318" s="1071"/>
      <c r="C1318" s="1071"/>
      <c r="D1318" s="1071"/>
      <c r="E1318" s="1071"/>
      <c r="F1318" s="1071"/>
      <c r="G1318" s="1071"/>
      <c r="H1318" s="42"/>
      <c r="I1318" s="42"/>
      <c r="J1318" s="42"/>
      <c r="K1318" s="1072"/>
      <c r="L1318" s="1073"/>
      <c r="M1318" s="756"/>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c r="EG1318"/>
      <c r="EH1318"/>
      <c r="EI1318"/>
      <c r="EJ1318"/>
      <c r="EK1318"/>
      <c r="EL1318"/>
      <c r="EM1318"/>
      <c r="EN1318"/>
      <c r="EO1318"/>
      <c r="EP1318"/>
      <c r="EQ1318"/>
      <c r="ER1318"/>
      <c r="ES1318"/>
      <c r="ET1318"/>
      <c r="EU1318"/>
      <c r="EV1318"/>
      <c r="EW1318"/>
      <c r="EX1318"/>
      <c r="EY1318"/>
      <c r="EZ1318"/>
      <c r="FA1318"/>
      <c r="FB1318"/>
      <c r="FC1318"/>
      <c r="FD1318"/>
      <c r="FE1318"/>
      <c r="FF1318"/>
      <c r="FG1318"/>
      <c r="FH1318"/>
      <c r="FI1318"/>
      <c r="FJ1318"/>
      <c r="FK1318"/>
      <c r="FL1318"/>
      <c r="FM1318"/>
      <c r="FN1318"/>
      <c r="FO1318"/>
      <c r="FP1318"/>
      <c r="FQ1318"/>
      <c r="FR1318"/>
      <c r="FS1318"/>
      <c r="FT1318"/>
      <c r="FU1318"/>
      <c r="FV1318"/>
      <c r="FW1318"/>
      <c r="FX1318"/>
      <c r="FY1318"/>
      <c r="FZ1318"/>
      <c r="GA1318"/>
      <c r="GB1318"/>
      <c r="GC1318"/>
      <c r="GD1318"/>
      <c r="GE1318"/>
      <c r="GF1318"/>
      <c r="GG1318"/>
      <c r="GH1318"/>
      <c r="GI1318"/>
      <c r="GJ1318"/>
      <c r="GK1318"/>
      <c r="GL1318"/>
      <c r="GM1318"/>
      <c r="GN1318"/>
      <c r="GO1318"/>
      <c r="GP1318"/>
      <c r="GQ1318"/>
      <c r="GR1318"/>
      <c r="GS1318"/>
      <c r="GT1318"/>
      <c r="GU1318"/>
      <c r="GV1318"/>
      <c r="GW1318"/>
      <c r="GX1318"/>
      <c r="GY1318"/>
      <c r="GZ1318"/>
      <c r="HA1318"/>
      <c r="HB1318"/>
      <c r="HC1318"/>
      <c r="HD1318"/>
      <c r="HE1318"/>
      <c r="HF1318"/>
      <c r="HG1318"/>
      <c r="HH1318"/>
      <c r="HI1318"/>
      <c r="HJ1318"/>
      <c r="HK1318"/>
      <c r="HL1318"/>
      <c r="HM1318"/>
      <c r="HN1318"/>
      <c r="HO1318"/>
      <c r="HP1318"/>
      <c r="HQ1318"/>
      <c r="HR1318"/>
      <c r="HS1318"/>
      <c r="HT1318"/>
      <c r="HU1318"/>
      <c r="HV1318"/>
      <c r="HW1318"/>
      <c r="HX1318"/>
      <c r="HY1318"/>
      <c r="HZ1318"/>
      <c r="IA1318"/>
      <c r="IB1318"/>
      <c r="IC1318"/>
      <c r="ID1318"/>
      <c r="IE1318"/>
      <c r="IF1318"/>
      <c r="IG1318"/>
      <c r="IH1318"/>
      <c r="II1318"/>
      <c r="IJ1318"/>
      <c r="IK1318"/>
      <c r="IL1318"/>
      <c r="IM1318"/>
      <c r="IN1318"/>
      <c r="IO1318"/>
      <c r="IP1318"/>
      <c r="IQ1318"/>
      <c r="IR1318"/>
      <c r="IS1318"/>
      <c r="IT1318"/>
      <c r="IU1318"/>
      <c r="IV1318"/>
    </row>
    <row r="1319" ht="16.5" customHeight="1">
      <c r="A1319" s="378"/>
      <c r="B1319" s="378"/>
      <c r="C1319" s="378"/>
      <c r="D1319" s="378"/>
      <c r="E1319" s="378"/>
      <c r="F1319" s="378"/>
      <c r="G1319" s="378"/>
      <c r="H1319" s="648"/>
      <c r="J1319"/>
      <c r="K1319" s="633"/>
      <c r="L1319" s="745"/>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c r="EG1319"/>
      <c r="EH1319"/>
      <c r="EI1319"/>
      <c r="EJ1319"/>
      <c r="EK1319"/>
      <c r="EL1319"/>
      <c r="EM1319"/>
      <c r="EN1319"/>
      <c r="EO1319"/>
      <c r="EP1319"/>
      <c r="EQ1319"/>
      <c r="ER1319"/>
      <c r="ES1319"/>
      <c r="ET1319"/>
      <c r="EU1319"/>
      <c r="EV1319"/>
      <c r="EW1319"/>
      <c r="EX1319"/>
      <c r="EY1319"/>
      <c r="EZ1319"/>
      <c r="FA1319"/>
      <c r="FB1319"/>
      <c r="FC1319"/>
      <c r="FD1319"/>
      <c r="FE1319"/>
      <c r="FF1319"/>
      <c r="FG1319"/>
      <c r="FH1319"/>
      <c r="FI1319"/>
      <c r="FJ1319"/>
      <c r="FK1319"/>
      <c r="FL1319"/>
      <c r="FM1319"/>
      <c r="FN1319"/>
      <c r="FO1319"/>
      <c r="FP1319"/>
      <c r="FQ1319"/>
      <c r="FR1319"/>
      <c r="FS1319"/>
      <c r="FT1319"/>
      <c r="FU1319"/>
      <c r="FV1319"/>
      <c r="FW1319"/>
      <c r="FX1319"/>
      <c r="FY1319"/>
      <c r="FZ1319"/>
      <c r="GA1319"/>
      <c r="GB1319"/>
      <c r="GC1319"/>
      <c r="GD1319"/>
      <c r="GE1319"/>
      <c r="GF1319"/>
      <c r="GG1319"/>
      <c r="GH1319"/>
      <c r="GI1319"/>
      <c r="GJ1319"/>
      <c r="GK1319"/>
      <c r="GL1319"/>
      <c r="GM1319"/>
      <c r="GN1319"/>
      <c r="GO1319"/>
      <c r="GP1319"/>
      <c r="GQ1319"/>
      <c r="GR1319"/>
      <c r="GS1319"/>
      <c r="GT1319"/>
      <c r="GU1319"/>
      <c r="GV1319"/>
      <c r="GW1319"/>
      <c r="GX1319"/>
      <c r="GY1319"/>
      <c r="GZ1319"/>
      <c r="HA1319"/>
      <c r="HB1319"/>
      <c r="HC1319"/>
      <c r="HD1319"/>
      <c r="HE1319"/>
      <c r="HF1319"/>
      <c r="HG1319"/>
      <c r="HH1319"/>
      <c r="HI1319"/>
      <c r="HJ1319"/>
      <c r="HK1319"/>
      <c r="HL1319"/>
      <c r="HM1319"/>
      <c r="HN1319"/>
      <c r="HO1319"/>
      <c r="HP1319"/>
      <c r="HQ1319"/>
      <c r="HR1319"/>
      <c r="HS1319"/>
      <c r="HT1319"/>
      <c r="HU1319"/>
      <c r="HV1319"/>
      <c r="HW1319"/>
      <c r="HX1319"/>
      <c r="HY1319"/>
      <c r="HZ1319"/>
      <c r="IA1319"/>
      <c r="IB1319"/>
      <c r="IC1319"/>
      <c r="ID1319"/>
      <c r="IE1319"/>
      <c r="IF1319"/>
      <c r="IG1319"/>
      <c r="IH1319"/>
      <c r="II1319"/>
      <c r="IJ1319"/>
      <c r="IK1319"/>
      <c r="IL1319"/>
      <c r="IM1319"/>
      <c r="IN1319"/>
      <c r="IO1319"/>
      <c r="IP1319"/>
      <c r="IQ1319"/>
      <c r="IR1319"/>
      <c r="IS1319"/>
      <c r="IT1319"/>
      <c r="IU1319"/>
      <c r="IV1319"/>
    </row>
    <row r="1320" ht="15.75" customHeight="1">
      <c r="A1320" s="474" t="s">
        <v>1791</v>
      </c>
      <c r="B1320" s="618"/>
      <c r="C1320" s="791" t="s">
        <v>1792</v>
      </c>
      <c r="D1320" s="792" t="n">
        <f aca="false">I1185/I1187</f>
        <v>0.201788663739274</v>
      </c>
      <c r="E1320" s="633"/>
      <c r="F1320" s="401"/>
      <c r="G1320" s="401"/>
      <c r="H1320" s="648"/>
      <c r="J1320"/>
      <c r="K1320" s="44"/>
      <c r="M1320" s="756"/>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c r="EF1320"/>
      <c r="EG1320"/>
      <c r="EH1320"/>
      <c r="EI1320"/>
      <c r="EJ1320"/>
      <c r="EK1320"/>
      <c r="EL1320"/>
      <c r="EM1320"/>
      <c r="EN1320"/>
      <c r="EO1320"/>
      <c r="EP1320"/>
      <c r="EQ1320"/>
      <c r="ER1320"/>
      <c r="ES1320"/>
      <c r="ET1320"/>
      <c r="EU1320"/>
      <c r="EV1320"/>
      <c r="EW1320"/>
      <c r="EX1320"/>
      <c r="EY1320"/>
      <c r="EZ1320"/>
      <c r="FA1320"/>
      <c r="FB1320"/>
      <c r="FC1320"/>
      <c r="FD1320"/>
      <c r="FE1320"/>
      <c r="FF1320"/>
      <c r="FG1320"/>
      <c r="FH1320"/>
      <c r="FI1320"/>
      <c r="FJ1320"/>
      <c r="FK1320"/>
      <c r="FL1320"/>
      <c r="FM1320"/>
      <c r="FN1320"/>
      <c r="FO1320"/>
      <c r="FP1320"/>
      <c r="FQ1320"/>
      <c r="FR1320"/>
      <c r="FS1320"/>
      <c r="FT1320"/>
      <c r="FU1320"/>
      <c r="FV1320"/>
      <c r="FW1320"/>
      <c r="FX1320"/>
      <c r="FY1320"/>
      <c r="FZ1320"/>
      <c r="GA1320"/>
      <c r="GB1320"/>
      <c r="GC1320"/>
      <c r="GD1320"/>
      <c r="GE1320"/>
      <c r="GF1320"/>
      <c r="GG1320"/>
      <c r="GH1320"/>
      <c r="GI1320"/>
      <c r="GJ1320"/>
      <c r="GK1320"/>
      <c r="GL1320"/>
      <c r="GM1320"/>
      <c r="GN1320"/>
      <c r="GO1320"/>
      <c r="GP1320"/>
      <c r="GQ1320"/>
      <c r="GR1320"/>
      <c r="GS1320"/>
      <c r="GT1320"/>
      <c r="GU1320"/>
      <c r="GV1320"/>
      <c r="GW1320"/>
      <c r="GX1320"/>
      <c r="GY1320"/>
      <c r="GZ1320"/>
      <c r="HA1320"/>
      <c r="HB1320"/>
      <c r="HC1320"/>
      <c r="HD1320"/>
      <c r="HE1320"/>
      <c r="HF1320"/>
      <c r="HG1320"/>
      <c r="HH1320"/>
      <c r="HI1320"/>
      <c r="HJ1320"/>
      <c r="HK1320"/>
      <c r="HL1320"/>
      <c r="HM1320"/>
      <c r="HN1320"/>
      <c r="HO1320"/>
      <c r="HP1320"/>
      <c r="HQ1320"/>
      <c r="HR1320"/>
      <c r="HS1320"/>
      <c r="HT1320"/>
      <c r="HU1320"/>
      <c r="HV1320"/>
      <c r="HW1320"/>
      <c r="HX1320"/>
      <c r="HY1320"/>
      <c r="HZ1320"/>
      <c r="IA1320"/>
      <c r="IB1320"/>
      <c r="IC1320"/>
      <c r="ID1320"/>
      <c r="IE1320"/>
      <c r="IF1320"/>
      <c r="IG1320"/>
      <c r="IH1320"/>
      <c r="II1320"/>
      <c r="IJ1320"/>
      <c r="IK1320"/>
      <c r="IL1320"/>
      <c r="IM1320"/>
      <c r="IN1320"/>
      <c r="IO1320"/>
      <c r="IP1320"/>
      <c r="IQ1320"/>
      <c r="IR1320"/>
      <c r="IS1320"/>
      <c r="IT1320"/>
      <c r="IU1320"/>
      <c r="IV1320"/>
    </row>
    <row r="1321" ht="15" customHeight="1">
      <c r="A1321" s="934"/>
      <c r="B1321" s="43"/>
      <c r="C1321" s="934"/>
      <c r="D1321" s="43"/>
      <c r="E1321" s="633"/>
      <c r="F1321" s="401"/>
      <c r="G1321" s="401"/>
      <c r="H1321" s="648"/>
      <c r="J1321"/>
      <c r="K1321" s="44"/>
      <c r="M1321" s="9"/>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c r="EI1321"/>
      <c r="EJ1321"/>
      <c r="EK1321"/>
      <c r="EL1321"/>
      <c r="EM1321"/>
      <c r="EN1321"/>
      <c r="EO1321"/>
      <c r="EP1321"/>
      <c r="EQ1321"/>
      <c r="ER1321"/>
      <c r="ES1321"/>
      <c r="ET1321"/>
      <c r="EU1321"/>
      <c r="EV1321"/>
      <c r="EW1321"/>
      <c r="EX1321"/>
      <c r="EY1321"/>
      <c r="EZ1321"/>
      <c r="FA1321"/>
      <c r="FB1321"/>
      <c r="FC1321"/>
      <c r="FD1321"/>
      <c r="FE1321"/>
      <c r="FF1321"/>
      <c r="FG1321"/>
      <c r="FH1321"/>
      <c r="FI1321"/>
      <c r="FJ1321"/>
      <c r="FK1321"/>
      <c r="FL1321"/>
      <c r="FM1321"/>
      <c r="FN1321"/>
      <c r="FO1321"/>
      <c r="FP1321"/>
      <c r="FQ1321"/>
      <c r="FR1321"/>
      <c r="FS1321"/>
      <c r="FT1321"/>
      <c r="FU1321"/>
      <c r="FV1321"/>
      <c r="FW1321"/>
      <c r="FX1321"/>
      <c r="FY1321"/>
      <c r="FZ1321"/>
      <c r="GA1321"/>
      <c r="GB1321"/>
      <c r="GC1321"/>
      <c r="GD1321"/>
      <c r="GE1321"/>
      <c r="GF1321"/>
      <c r="GG1321"/>
      <c r="GH1321"/>
      <c r="GI1321"/>
      <c r="GJ1321"/>
      <c r="GK1321"/>
      <c r="GL1321"/>
      <c r="GM1321"/>
      <c r="GN1321"/>
      <c r="GO1321"/>
      <c r="GP1321"/>
      <c r="GQ1321"/>
      <c r="GR1321"/>
      <c r="GS1321"/>
      <c r="GT1321"/>
      <c r="GU1321"/>
      <c r="GV1321"/>
      <c r="GW1321"/>
      <c r="GX1321"/>
      <c r="GY1321"/>
      <c r="GZ1321"/>
      <c r="HA1321"/>
      <c r="HB1321"/>
      <c r="HC1321"/>
      <c r="HD1321"/>
      <c r="HE1321"/>
      <c r="HF1321"/>
      <c r="HG1321"/>
      <c r="HH1321"/>
      <c r="HI1321"/>
      <c r="HJ1321"/>
      <c r="HK1321"/>
      <c r="HL1321"/>
      <c r="HM1321"/>
      <c r="HN1321"/>
      <c r="HO1321"/>
      <c r="HP1321"/>
      <c r="HQ1321"/>
      <c r="HR1321"/>
      <c r="HS1321"/>
      <c r="HT1321"/>
      <c r="HU1321"/>
      <c r="HV1321"/>
      <c r="HW1321"/>
      <c r="HX1321"/>
      <c r="HY1321"/>
      <c r="HZ1321"/>
      <c r="IA1321"/>
      <c r="IB1321"/>
      <c r="IC1321"/>
      <c r="ID1321"/>
      <c r="IE1321"/>
      <c r="IF1321"/>
      <c r="IG1321"/>
      <c r="IH1321"/>
      <c r="II1321"/>
      <c r="IJ1321"/>
      <c r="IK1321"/>
      <c r="IL1321"/>
      <c r="IM1321"/>
      <c r="IN1321"/>
      <c r="IO1321"/>
      <c r="IP1321"/>
      <c r="IQ1321"/>
      <c r="IR1321"/>
      <c r="IS1321"/>
      <c r="IT1321"/>
      <c r="IU1321"/>
      <c r="IV1321"/>
    </row>
    <row r="1322" ht="15" customHeight="1">
      <c r="D1322" s="745"/>
      <c r="F1322" s="401"/>
      <c r="G1322" s="401"/>
      <c r="H1322" s="648"/>
      <c r="K1322" s="44"/>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c r="EI1322"/>
      <c r="EJ1322"/>
      <c r="EK1322"/>
      <c r="EL1322"/>
      <c r="EM1322"/>
      <c r="EN1322"/>
      <c r="EO1322"/>
      <c r="EP1322"/>
      <c r="EQ1322"/>
      <c r="ER1322"/>
      <c r="ES1322"/>
      <c r="ET1322"/>
      <c r="EU1322"/>
      <c r="EV1322"/>
      <c r="EW1322"/>
      <c r="EX1322"/>
      <c r="EY1322"/>
      <c r="EZ1322"/>
      <c r="FA1322"/>
      <c r="FB1322"/>
      <c r="FC1322"/>
      <c r="FD1322"/>
      <c r="FE1322"/>
      <c r="FF1322"/>
      <c r="FG1322"/>
      <c r="FH1322"/>
      <c r="FI1322"/>
      <c r="FJ1322"/>
      <c r="FK1322"/>
      <c r="FL1322"/>
      <c r="FM1322"/>
      <c r="FN1322"/>
      <c r="FO1322"/>
      <c r="FP1322"/>
      <c r="FQ1322"/>
      <c r="FR1322"/>
      <c r="FS1322"/>
      <c r="FT1322"/>
      <c r="FU1322"/>
      <c r="FV1322"/>
      <c r="FW1322"/>
      <c r="FX1322"/>
      <c r="FY1322"/>
      <c r="FZ1322"/>
      <c r="GA1322"/>
      <c r="GB1322"/>
      <c r="GC1322"/>
      <c r="GD1322"/>
      <c r="GE1322"/>
      <c r="GF1322"/>
      <c r="GG1322"/>
      <c r="GH1322"/>
      <c r="GI1322"/>
      <c r="GJ1322"/>
      <c r="GK1322"/>
      <c r="GL1322"/>
      <c r="GM1322"/>
      <c r="GN1322"/>
      <c r="GO1322"/>
      <c r="GP1322"/>
      <c r="GQ1322"/>
      <c r="GR1322"/>
      <c r="GS1322"/>
      <c r="GT1322"/>
      <c r="GU1322"/>
      <c r="GV1322"/>
      <c r="GW1322"/>
      <c r="GX1322"/>
      <c r="GY1322"/>
      <c r="GZ1322"/>
      <c r="HA1322"/>
      <c r="HB1322"/>
      <c r="HC1322"/>
      <c r="HD1322"/>
      <c r="HE1322"/>
      <c r="HF1322"/>
      <c r="HG1322"/>
      <c r="HH1322"/>
      <c r="HI1322"/>
      <c r="HJ1322"/>
      <c r="HK1322"/>
      <c r="HL1322"/>
      <c r="HM1322"/>
      <c r="HN1322"/>
      <c r="HO1322"/>
      <c r="HP1322"/>
      <c r="HQ1322"/>
      <c r="HR1322"/>
      <c r="HS1322"/>
      <c r="HT1322"/>
      <c r="HU1322"/>
      <c r="HV1322"/>
      <c r="HW1322"/>
      <c r="HX1322"/>
      <c r="HY1322"/>
      <c r="HZ1322"/>
      <c r="IA1322"/>
      <c r="IB1322"/>
      <c r="IC1322"/>
      <c r="ID1322"/>
      <c r="IE1322"/>
      <c r="IF1322"/>
      <c r="IG1322"/>
      <c r="IH1322"/>
      <c r="II1322"/>
      <c r="IJ1322"/>
      <c r="IK1322"/>
      <c r="IL1322"/>
      <c r="IM1322"/>
      <c r="IN1322"/>
      <c r="IO1322"/>
      <c r="IP1322"/>
      <c r="IQ1322"/>
      <c r="IR1322"/>
      <c r="IS1322"/>
      <c r="IT1322"/>
      <c r="IU1322"/>
      <c r="IV1322"/>
    </row>
    <row r="1323" ht="16.5" customHeight="1">
      <c r="A1323" s="1071" t="s">
        <v>1793</v>
      </c>
      <c r="B1323" s="1071"/>
      <c r="C1323" s="1071"/>
      <c r="D1323" s="1071"/>
      <c r="E1323" s="1071"/>
      <c r="F1323" s="1071"/>
      <c r="G1323" s="1071"/>
      <c r="H1323" s="42"/>
      <c r="I1323" s="42"/>
      <c r="J1323" s="42"/>
      <c r="K1323" s="1072"/>
      <c r="L1323" s="1073" t="s">
        <v>1712</v>
      </c>
      <c r="M1323" s="9"/>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c r="EK1323"/>
      <c r="EL1323"/>
      <c r="EM1323"/>
      <c r="EN1323"/>
      <c r="EO1323"/>
      <c r="EP1323"/>
      <c r="EQ1323"/>
      <c r="ER1323"/>
      <c r="ES1323"/>
      <c r="ET1323"/>
      <c r="EU1323"/>
      <c r="EV1323"/>
      <c r="EW1323"/>
      <c r="EX1323"/>
      <c r="EY1323"/>
      <c r="EZ1323"/>
      <c r="FA1323"/>
      <c r="FB1323"/>
      <c r="FC1323"/>
      <c r="FD1323"/>
      <c r="FE1323"/>
      <c r="FF1323"/>
      <c r="FG1323"/>
      <c r="FH1323"/>
      <c r="FI1323"/>
      <c r="FJ1323"/>
      <c r="FK1323"/>
      <c r="FL1323"/>
      <c r="FM1323"/>
      <c r="FN1323"/>
      <c r="FO1323"/>
      <c r="FP1323"/>
      <c r="FQ1323"/>
      <c r="FR1323"/>
      <c r="FS1323"/>
      <c r="FT1323"/>
      <c r="FU1323"/>
      <c r="FV1323"/>
      <c r="FW1323"/>
      <c r="FX1323"/>
      <c r="FY1323"/>
      <c r="FZ1323"/>
      <c r="GA1323"/>
      <c r="GB1323"/>
      <c r="GC1323"/>
      <c r="GD1323"/>
      <c r="GE1323"/>
      <c r="GF1323"/>
      <c r="GG1323"/>
      <c r="GH1323"/>
      <c r="GI1323"/>
      <c r="GJ1323"/>
      <c r="GK1323"/>
      <c r="GL1323"/>
      <c r="GM1323"/>
      <c r="GN1323"/>
      <c r="GO1323"/>
      <c r="GP1323"/>
      <c r="GQ1323"/>
      <c r="GR1323"/>
      <c r="GS1323"/>
      <c r="GT1323"/>
      <c r="GU1323"/>
      <c r="GV1323"/>
      <c r="GW1323"/>
      <c r="GX1323"/>
      <c r="GY1323"/>
      <c r="GZ1323"/>
      <c r="HA1323"/>
      <c r="HB1323"/>
      <c r="HC1323"/>
      <c r="HD1323"/>
      <c r="HE1323"/>
      <c r="HF1323"/>
      <c r="HG1323"/>
      <c r="HH1323"/>
      <c r="HI1323"/>
      <c r="HJ1323"/>
      <c r="HK1323"/>
      <c r="HL1323"/>
      <c r="HM1323"/>
      <c r="HN1323"/>
      <c r="HO1323"/>
      <c r="HP1323"/>
      <c r="HQ1323"/>
      <c r="HR1323"/>
      <c r="HS1323"/>
      <c r="HT1323"/>
      <c r="HU1323"/>
      <c r="HV1323"/>
      <c r="HW1323"/>
      <c r="HX1323"/>
      <c r="HY1323"/>
      <c r="HZ1323"/>
      <c r="IA1323"/>
      <c r="IB1323"/>
      <c r="IC1323"/>
      <c r="ID1323"/>
      <c r="IE1323"/>
      <c r="IF1323"/>
      <c r="IG1323"/>
      <c r="IH1323"/>
      <c r="II1323"/>
      <c r="IJ1323"/>
      <c r="IK1323"/>
      <c r="IL1323"/>
      <c r="IM1323"/>
      <c r="IN1323"/>
      <c r="IO1323"/>
      <c r="IP1323"/>
      <c r="IQ1323"/>
      <c r="IR1323"/>
      <c r="IS1323"/>
      <c r="IT1323"/>
      <c r="IU1323"/>
      <c r="IV1323"/>
    </row>
    <row r="1324" ht="16.5" customHeight="1">
      <c r="J1324" s="9"/>
      <c r="M1324" s="9"/>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c r="EG1324"/>
      <c r="EH1324"/>
      <c r="EI1324"/>
      <c r="EJ1324"/>
      <c r="EK1324"/>
      <c r="EL1324"/>
      <c r="EM1324"/>
      <c r="EN1324"/>
      <c r="EO1324"/>
      <c r="EP1324"/>
      <c r="EQ1324"/>
      <c r="ER1324"/>
      <c r="ES1324"/>
      <c r="ET1324"/>
      <c r="EU1324"/>
      <c r="EV1324"/>
      <c r="EW1324"/>
      <c r="EX1324"/>
      <c r="EY1324"/>
      <c r="EZ1324"/>
      <c r="FA1324"/>
      <c r="FB1324"/>
      <c r="FC1324"/>
      <c r="FD1324"/>
      <c r="FE1324"/>
      <c r="FF1324"/>
      <c r="FG1324"/>
      <c r="FH1324"/>
      <c r="FI1324"/>
      <c r="FJ1324"/>
      <c r="FK1324"/>
      <c r="FL1324"/>
      <c r="FM1324"/>
      <c r="FN1324"/>
      <c r="FO1324"/>
      <c r="FP1324"/>
      <c r="FQ1324"/>
      <c r="FR1324"/>
      <c r="FS1324"/>
      <c r="FT1324"/>
      <c r="FU1324"/>
      <c r="FV1324"/>
      <c r="FW1324"/>
      <c r="FX1324"/>
      <c r="FY1324"/>
      <c r="FZ1324"/>
      <c r="GA1324"/>
      <c r="GB1324"/>
      <c r="GC1324"/>
      <c r="GD1324"/>
      <c r="GE1324"/>
      <c r="GF1324"/>
      <c r="GG1324"/>
      <c r="GH1324"/>
      <c r="GI1324"/>
      <c r="GJ1324"/>
      <c r="GK1324"/>
      <c r="GL1324"/>
      <c r="GM1324"/>
      <c r="GN1324"/>
      <c r="GO1324"/>
      <c r="GP1324"/>
      <c r="GQ1324"/>
      <c r="GR1324"/>
      <c r="GS1324"/>
      <c r="GT1324"/>
      <c r="GU1324"/>
      <c r="GV1324"/>
      <c r="GW1324"/>
      <c r="GX1324"/>
      <c r="GY1324"/>
      <c r="GZ1324"/>
      <c r="HA1324"/>
      <c r="HB1324"/>
      <c r="HC1324"/>
      <c r="HD1324"/>
      <c r="HE1324"/>
      <c r="HF1324"/>
      <c r="HG1324"/>
      <c r="HH1324"/>
      <c r="HI1324"/>
      <c r="HJ1324"/>
      <c r="HK1324"/>
      <c r="HL1324"/>
      <c r="HM1324"/>
      <c r="HN1324"/>
      <c r="HO1324"/>
      <c r="HP1324"/>
      <c r="HQ1324"/>
      <c r="HR1324"/>
      <c r="HS1324"/>
      <c r="HT1324"/>
      <c r="HU1324"/>
      <c r="HV1324"/>
      <c r="HW1324"/>
      <c r="HX1324"/>
      <c r="HY1324"/>
      <c r="HZ1324"/>
      <c r="IA1324"/>
      <c r="IB1324"/>
      <c r="IC1324"/>
      <c r="ID1324"/>
      <c r="IE1324"/>
      <c r="IF1324"/>
      <c r="IG1324"/>
      <c r="IH1324"/>
      <c r="II1324"/>
      <c r="IJ1324"/>
      <c r="IK1324"/>
      <c r="IL1324"/>
      <c r="IM1324"/>
      <c r="IN1324"/>
      <c r="IO1324"/>
      <c r="IP1324"/>
      <c r="IQ1324"/>
      <c r="IR1324"/>
      <c r="IS1324"/>
      <c r="IT1324"/>
      <c r="IU1324"/>
      <c r="IV1324"/>
    </row>
    <row r="1325" ht="15" customHeight="1">
      <c r="A1325" s="12" t="s">
        <v>1794</v>
      </c>
      <c r="B1325" s="9"/>
      <c r="C1325" s="9"/>
      <c r="D1325" s="793" t="s">
        <v>253</v>
      </c>
      <c r="E1325" s="13" t="s">
        <v>1795</v>
      </c>
      <c r="F1325" s="829"/>
      <c r="G1325" s="829"/>
      <c r="H1325"/>
      <c r="I1325"/>
      <c r="J1325" s="9"/>
      <c r="K1325" s="44"/>
      <c r="L1325" s="44"/>
      <c r="M1325" s="9"/>
    </row>
    <row r="1326" ht="15.75" customHeight="1">
      <c r="A1326" s="401" t="s">
        <v>1796</v>
      </c>
      <c r="B1326" s="401"/>
      <c r="C1326" s="401"/>
      <c r="D1326" s="401"/>
      <c r="E1326" s="401"/>
      <c r="F1326" s="401"/>
      <c r="G1326" s="401"/>
      <c r="H1326" s="648"/>
      <c r="J1326"/>
      <c r="K1326"/>
      <c r="L1326"/>
      <c r="M1326" s="9"/>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c r="EG1326"/>
      <c r="EH1326"/>
      <c r="EI1326"/>
      <c r="EJ1326"/>
      <c r="EK1326"/>
      <c r="EL1326"/>
      <c r="EM1326"/>
      <c r="EN1326"/>
      <c r="EO1326"/>
      <c r="EP1326"/>
      <c r="EQ1326"/>
      <c r="ER1326"/>
      <c r="ES1326"/>
      <c r="ET1326"/>
      <c r="EU1326"/>
      <c r="EV1326"/>
      <c r="EW1326"/>
      <c r="EX1326"/>
      <c r="EY1326"/>
      <c r="EZ1326"/>
      <c r="FA1326"/>
      <c r="FB1326"/>
      <c r="FC1326"/>
      <c r="FD1326"/>
      <c r="FE1326"/>
      <c r="FF1326"/>
      <c r="FG1326"/>
      <c r="FH1326"/>
      <c r="FI1326"/>
      <c r="FJ1326"/>
      <c r="FK1326"/>
      <c r="FL1326"/>
      <c r="FM1326"/>
      <c r="FN1326"/>
      <c r="FO1326"/>
      <c r="FP1326"/>
      <c r="FQ1326"/>
      <c r="FR1326"/>
      <c r="FS1326"/>
      <c r="FT1326"/>
      <c r="FU1326"/>
      <c r="FV1326"/>
      <c r="FW1326"/>
      <c r="FX1326"/>
      <c r="FY1326"/>
      <c r="FZ1326"/>
      <c r="GA1326"/>
      <c r="GB1326"/>
      <c r="GC1326"/>
      <c r="GD1326"/>
      <c r="GE1326"/>
      <c r="GF1326"/>
      <c r="GG1326"/>
      <c r="GH1326"/>
      <c r="GI1326"/>
      <c r="GJ1326"/>
      <c r="GK1326"/>
      <c r="GL1326"/>
      <c r="GM1326"/>
      <c r="GN1326"/>
      <c r="GO1326"/>
      <c r="GP1326"/>
      <c r="GQ1326"/>
      <c r="GR1326"/>
      <c r="GS1326"/>
      <c r="GT1326"/>
      <c r="GU1326"/>
      <c r="GV1326"/>
      <c r="GW1326"/>
      <c r="GX1326"/>
      <c r="GY1326"/>
      <c r="GZ1326"/>
      <c r="HA1326"/>
      <c r="HB1326"/>
      <c r="HC1326"/>
      <c r="HD1326"/>
      <c r="HE1326"/>
      <c r="HF1326"/>
      <c r="HG1326"/>
      <c r="HH1326"/>
      <c r="HI1326"/>
      <c r="HJ1326"/>
      <c r="HK1326"/>
      <c r="HL1326"/>
      <c r="HM1326"/>
      <c r="HN1326"/>
      <c r="HO1326"/>
      <c r="HP1326"/>
      <c r="HQ1326"/>
      <c r="HR1326"/>
      <c r="HS1326"/>
      <c r="HT1326"/>
      <c r="HU1326"/>
      <c r="HV1326"/>
      <c r="HW1326"/>
      <c r="HX1326"/>
      <c r="HY1326"/>
      <c r="HZ1326"/>
      <c r="IA1326"/>
      <c r="IB1326"/>
      <c r="IC1326"/>
      <c r="ID1326"/>
      <c r="IE1326"/>
      <c r="IF1326"/>
      <c r="IG1326"/>
      <c r="IH1326"/>
      <c r="II1326"/>
      <c r="IJ1326"/>
      <c r="IK1326"/>
      <c r="IL1326"/>
      <c r="IM1326"/>
      <c r="IN1326"/>
      <c r="IO1326"/>
      <c r="IP1326"/>
      <c r="IQ1326"/>
      <c r="IR1326"/>
      <c r="IS1326"/>
      <c r="IT1326"/>
      <c r="IU1326"/>
      <c r="IV1326"/>
    </row>
    <row r="1327" ht="15.75" customHeight="1">
      <c r="A1327" s="401"/>
      <c r="B1327" s="401"/>
      <c r="C1327" s="401"/>
      <c r="D1327" s="401"/>
      <c r="E1327" s="401"/>
      <c r="F1327" s="401"/>
      <c r="G1327" s="401"/>
      <c r="H1327" s="648"/>
      <c r="J1327"/>
      <c r="K1327" s="44"/>
      <c r="M1327" s="9"/>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c r="EG1327"/>
      <c r="EH1327"/>
      <c r="EI1327"/>
      <c r="EJ1327"/>
      <c r="EK1327"/>
      <c r="EL1327"/>
      <c r="EM1327"/>
      <c r="EN1327"/>
      <c r="EO1327"/>
      <c r="EP1327"/>
      <c r="EQ1327"/>
      <c r="ER1327"/>
      <c r="ES1327"/>
      <c r="ET1327"/>
      <c r="EU1327"/>
      <c r="EV1327"/>
      <c r="EW1327"/>
      <c r="EX1327"/>
      <c r="EY1327"/>
      <c r="EZ1327"/>
      <c r="FA1327"/>
      <c r="FB1327"/>
      <c r="FC1327"/>
      <c r="FD1327"/>
      <c r="FE1327"/>
      <c r="FF1327"/>
      <c r="FG1327"/>
      <c r="FH1327"/>
      <c r="FI1327"/>
      <c r="FJ1327"/>
      <c r="FK1327"/>
      <c r="FL1327"/>
      <c r="FM1327"/>
      <c r="FN1327"/>
      <c r="FO1327"/>
      <c r="FP1327"/>
      <c r="FQ1327"/>
      <c r="FR1327"/>
      <c r="FS1327"/>
      <c r="FT1327"/>
      <c r="FU1327"/>
      <c r="FV1327"/>
      <c r="FW1327"/>
      <c r="FX1327"/>
      <c r="FY1327"/>
      <c r="FZ1327"/>
      <c r="GA1327"/>
      <c r="GB1327"/>
      <c r="GC1327"/>
      <c r="GD1327"/>
      <c r="GE1327"/>
      <c r="GF1327"/>
      <c r="GG1327"/>
      <c r="GH1327"/>
      <c r="GI1327"/>
      <c r="GJ1327"/>
      <c r="GK1327"/>
      <c r="GL1327"/>
      <c r="GM1327"/>
      <c r="GN1327"/>
      <c r="GO1327"/>
      <c r="GP1327"/>
      <c r="GQ1327"/>
      <c r="GR1327"/>
      <c r="GS1327"/>
      <c r="GT1327"/>
      <c r="GU1327"/>
      <c r="GV1327"/>
      <c r="GW1327"/>
      <c r="GX1327"/>
      <c r="GY1327"/>
      <c r="GZ1327"/>
      <c r="HA1327"/>
      <c r="HB1327"/>
      <c r="HC1327"/>
      <c r="HD1327"/>
      <c r="HE1327"/>
      <c r="HF1327"/>
      <c r="HG1327"/>
      <c r="HH1327"/>
      <c r="HI1327"/>
      <c r="HJ1327"/>
      <c r="HK1327"/>
      <c r="HL1327"/>
      <c r="HM1327"/>
      <c r="HN1327"/>
      <c r="HO1327"/>
      <c r="HP1327"/>
      <c r="HQ1327"/>
      <c r="HR1327"/>
      <c r="HS1327"/>
      <c r="HT1327"/>
      <c r="HU1327"/>
      <c r="HV1327"/>
      <c r="HW1327"/>
      <c r="HX1327"/>
      <c r="HY1327"/>
      <c r="HZ1327"/>
      <c r="IA1327"/>
      <c r="IB1327"/>
      <c r="IC1327"/>
      <c r="ID1327"/>
      <c r="IE1327"/>
      <c r="IF1327"/>
      <c r="IG1327"/>
      <c r="IH1327"/>
      <c r="II1327"/>
      <c r="IJ1327"/>
      <c r="IK1327"/>
      <c r="IL1327"/>
      <c r="IM1327"/>
      <c r="IN1327"/>
      <c r="IO1327"/>
      <c r="IP1327"/>
      <c r="IQ1327"/>
      <c r="IR1327"/>
      <c r="IS1327"/>
      <c r="IT1327"/>
      <c r="IU1327"/>
      <c r="IV1327"/>
    </row>
    <row r="1328" ht="15" customHeight="1">
      <c r="A1328" s="1071" t="s">
        <v>1797</v>
      </c>
      <c r="B1328" s="1071"/>
      <c r="C1328" s="1071"/>
      <c r="D1328" s="1071"/>
      <c r="E1328" s="1071"/>
      <c r="F1328" s="1071"/>
      <c r="G1328" s="1071"/>
      <c r="H1328" s="42"/>
      <c r="I1328" s="42"/>
      <c r="J1328" s="42"/>
      <c r="K1328" s="1072"/>
      <c r="L1328" s="1073"/>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c r="EF1328"/>
      <c r="EG1328"/>
      <c r="EH1328"/>
      <c r="EI1328"/>
      <c r="EJ1328"/>
      <c r="EK1328"/>
      <c r="EL1328"/>
      <c r="EM1328"/>
      <c r="EN1328"/>
      <c r="EO1328"/>
      <c r="EP1328"/>
      <c r="EQ1328"/>
      <c r="ER1328"/>
      <c r="ES1328"/>
      <c r="ET1328"/>
      <c r="EU1328"/>
      <c r="EV1328"/>
      <c r="EW1328"/>
      <c r="EX1328"/>
      <c r="EY1328"/>
      <c r="EZ1328"/>
      <c r="FA1328"/>
      <c r="FB1328"/>
      <c r="FC1328"/>
      <c r="FD1328"/>
      <c r="FE1328"/>
      <c r="FF1328"/>
      <c r="FG1328"/>
      <c r="FH1328"/>
      <c r="FI1328"/>
      <c r="FJ1328"/>
      <c r="FK1328"/>
      <c r="FL1328"/>
      <c r="FM1328"/>
      <c r="FN1328"/>
      <c r="FO1328"/>
      <c r="FP1328"/>
      <c r="FQ1328"/>
      <c r="FR1328"/>
      <c r="FS1328"/>
      <c r="FT1328"/>
      <c r="FU1328"/>
      <c r="FV1328"/>
      <c r="FW1328"/>
      <c r="FX1328"/>
      <c r="FY1328"/>
      <c r="FZ1328"/>
      <c r="GA1328"/>
      <c r="GB1328"/>
      <c r="GC1328"/>
      <c r="GD1328"/>
      <c r="GE1328"/>
      <c r="GF1328"/>
      <c r="GG1328"/>
      <c r="GH1328"/>
      <c r="GI1328"/>
      <c r="GJ1328"/>
      <c r="GK1328"/>
      <c r="GL1328"/>
      <c r="GM1328"/>
      <c r="GN1328"/>
      <c r="GO1328"/>
      <c r="GP1328"/>
      <c r="GQ1328"/>
      <c r="GR1328"/>
      <c r="GS1328"/>
      <c r="GT1328"/>
      <c r="GU1328"/>
      <c r="GV1328"/>
      <c r="GW1328"/>
      <c r="GX1328"/>
      <c r="GY1328"/>
      <c r="GZ1328"/>
      <c r="HA1328"/>
      <c r="HB1328"/>
      <c r="HC1328"/>
      <c r="HD1328"/>
      <c r="HE1328"/>
      <c r="HF1328"/>
      <c r="HG1328"/>
      <c r="HH1328"/>
      <c r="HI1328"/>
      <c r="HJ1328"/>
      <c r="HK1328"/>
      <c r="HL1328"/>
      <c r="HM1328"/>
      <c r="HN1328"/>
      <c r="HO1328"/>
      <c r="HP1328"/>
      <c r="HQ1328"/>
      <c r="HR1328"/>
      <c r="HS1328"/>
      <c r="HT1328"/>
      <c r="HU1328"/>
      <c r="HV1328"/>
      <c r="HW1328"/>
      <c r="HX1328"/>
      <c r="HY1328"/>
      <c r="HZ1328"/>
      <c r="IA1328"/>
      <c r="IB1328"/>
      <c r="IC1328"/>
      <c r="ID1328"/>
      <c r="IE1328"/>
      <c r="IF1328"/>
      <c r="IG1328"/>
      <c r="IH1328"/>
      <c r="II1328"/>
      <c r="IJ1328"/>
      <c r="IK1328"/>
      <c r="IL1328"/>
      <c r="IM1328"/>
      <c r="IN1328"/>
      <c r="IO1328"/>
      <c r="IP1328"/>
      <c r="IQ1328"/>
      <c r="IR1328"/>
      <c r="IS1328"/>
      <c r="IT1328"/>
      <c r="IU1328"/>
      <c r="IV1328"/>
    </row>
    <row r="1329" ht="15" customHeight="1">
      <c r="A1329" s="378"/>
      <c r="B1329" s="378"/>
      <c r="C1329" s="378"/>
      <c r="D1329" s="378"/>
      <c r="E1329" s="378"/>
      <c r="F1329" s="378"/>
      <c r="G1329" s="378"/>
      <c r="H1329" s="648"/>
      <c r="J1329"/>
      <c r="K1329" s="633"/>
      <c r="L1329" s="748"/>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c r="EG1329"/>
      <c r="EH1329"/>
      <c r="EI1329"/>
      <c r="EJ1329"/>
      <c r="EK1329"/>
      <c r="EL1329"/>
      <c r="EM1329"/>
      <c r="EN1329"/>
      <c r="EO1329"/>
      <c r="EP1329"/>
      <c r="EQ1329"/>
      <c r="ER1329"/>
      <c r="ES1329"/>
      <c r="ET1329"/>
      <c r="EU1329"/>
      <c r="EV1329"/>
      <c r="EW1329"/>
      <c r="EX1329"/>
      <c r="EY1329"/>
      <c r="EZ1329"/>
      <c r="FA1329"/>
      <c r="FB1329"/>
      <c r="FC1329"/>
      <c r="FD1329"/>
      <c r="FE1329"/>
      <c r="FF1329"/>
      <c r="FG1329"/>
      <c r="FH1329"/>
      <c r="FI1329"/>
      <c r="FJ1329"/>
      <c r="FK1329"/>
      <c r="FL1329"/>
      <c r="FM1329"/>
      <c r="FN1329"/>
      <c r="FO1329"/>
      <c r="FP1329"/>
      <c r="FQ1329"/>
      <c r="FR1329"/>
      <c r="FS1329"/>
      <c r="FT1329"/>
      <c r="FU1329"/>
      <c r="FV1329"/>
      <c r="FW1329"/>
      <c r="FX1329"/>
      <c r="FY1329"/>
      <c r="FZ1329"/>
      <c r="GA1329"/>
      <c r="GB1329"/>
      <c r="GC1329"/>
      <c r="GD1329"/>
      <c r="GE1329"/>
      <c r="GF1329"/>
      <c r="GG1329"/>
      <c r="GH1329"/>
      <c r="GI1329"/>
      <c r="GJ1329"/>
      <c r="GK1329"/>
      <c r="GL1329"/>
      <c r="GM1329"/>
      <c r="GN1329"/>
      <c r="GO1329"/>
      <c r="GP1329"/>
      <c r="GQ1329"/>
      <c r="GR1329"/>
      <c r="GS1329"/>
      <c r="GT1329"/>
      <c r="GU1329"/>
      <c r="GV1329"/>
      <c r="GW1329"/>
      <c r="GX1329"/>
      <c r="GY1329"/>
      <c r="GZ1329"/>
      <c r="HA1329"/>
      <c r="HB1329"/>
      <c r="HC1329"/>
      <c r="HD1329"/>
      <c r="HE1329"/>
      <c r="HF1329"/>
      <c r="HG1329"/>
      <c r="HH1329"/>
      <c r="HI1329"/>
      <c r="HJ1329"/>
      <c r="HK1329"/>
      <c r="HL1329"/>
      <c r="HM1329"/>
      <c r="HN1329"/>
      <c r="HO1329"/>
      <c r="HP1329"/>
      <c r="HQ1329"/>
      <c r="HR1329"/>
      <c r="HS1329"/>
      <c r="HT1329"/>
      <c r="HU1329"/>
      <c r="HV1329"/>
      <c r="HW1329"/>
      <c r="HX1329"/>
      <c r="HY1329"/>
      <c r="HZ1329"/>
      <c r="IA1329"/>
      <c r="IB1329"/>
      <c r="IC1329"/>
      <c r="ID1329"/>
      <c r="IE1329"/>
      <c r="IF1329"/>
      <c r="IG1329"/>
      <c r="IH1329"/>
      <c r="II1329"/>
      <c r="IJ1329"/>
      <c r="IK1329"/>
      <c r="IL1329"/>
      <c r="IM1329"/>
      <c r="IN1329"/>
      <c r="IO1329"/>
      <c r="IP1329"/>
      <c r="IQ1329"/>
      <c r="IR1329"/>
      <c r="IS1329"/>
      <c r="IT1329"/>
      <c r="IU1329"/>
      <c r="IV1329"/>
    </row>
    <row r="1330" ht="15.75" customHeight="1">
      <c r="A1330" s="794" t="s">
        <v>1798</v>
      </c>
      <c r="B1330" s="794"/>
      <c r="C1330" s="794"/>
      <c r="D1330" s="795" t="n">
        <f aca="false">I1207/C38</f>
        <v>647629</v>
      </c>
      <c r="E1330" s="401"/>
      <c r="F1330" s="401"/>
      <c r="G1330" s="401"/>
      <c r="H1330" s="648"/>
      <c r="K1330" s="44"/>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c r="EI1330"/>
      <c r="EJ1330"/>
      <c r="EK1330"/>
      <c r="EL1330"/>
      <c r="EM1330"/>
      <c r="EN1330"/>
      <c r="EO1330"/>
      <c r="EP1330"/>
      <c r="EQ1330"/>
      <c r="ER1330"/>
      <c r="ES1330"/>
      <c r="ET1330"/>
      <c r="EU1330"/>
      <c r="EV1330"/>
      <c r="EW1330"/>
      <c r="EX1330"/>
      <c r="EY1330"/>
      <c r="EZ1330"/>
      <c r="FA1330"/>
      <c r="FB1330"/>
      <c r="FC1330"/>
      <c r="FD1330"/>
      <c r="FE1330"/>
      <c r="FF1330"/>
      <c r="FG1330"/>
      <c r="FH1330"/>
      <c r="FI1330"/>
      <c r="FJ1330"/>
      <c r="FK1330"/>
      <c r="FL1330"/>
      <c r="FM1330"/>
      <c r="FN1330"/>
      <c r="FO1330"/>
      <c r="FP1330"/>
      <c r="FQ1330"/>
      <c r="FR1330"/>
      <c r="FS1330"/>
      <c r="FT1330"/>
      <c r="FU1330"/>
      <c r="FV1330"/>
      <c r="FW1330"/>
      <c r="FX1330"/>
      <c r="FY1330"/>
      <c r="FZ1330"/>
      <c r="GA1330"/>
      <c r="GB1330"/>
      <c r="GC1330"/>
      <c r="GD1330"/>
      <c r="GE1330"/>
      <c r="GF1330"/>
      <c r="GG1330"/>
      <c r="GH1330"/>
      <c r="GI1330"/>
      <c r="GJ1330"/>
      <c r="GK1330"/>
      <c r="GL1330"/>
      <c r="GM1330"/>
      <c r="GN1330"/>
      <c r="GO1330"/>
      <c r="GP1330"/>
      <c r="GQ1330"/>
      <c r="GR1330"/>
      <c r="GS1330"/>
      <c r="GT1330"/>
      <c r="GU1330"/>
      <c r="GV1330"/>
      <c r="GW1330"/>
      <c r="GX1330"/>
      <c r="GY1330"/>
      <c r="GZ1330"/>
      <c r="HA1330"/>
      <c r="HB1330"/>
      <c r="HC1330"/>
      <c r="HD1330"/>
      <c r="HE1330"/>
      <c r="HF1330"/>
      <c r="HG1330"/>
      <c r="HH1330"/>
      <c r="HI1330"/>
      <c r="HJ1330"/>
      <c r="HK1330"/>
      <c r="HL1330"/>
      <c r="HM1330"/>
      <c r="HN1330"/>
      <c r="HO1330"/>
      <c r="HP1330"/>
      <c r="HQ1330"/>
      <c r="HR1330"/>
      <c r="HS1330"/>
      <c r="HT1330"/>
      <c r="HU1330"/>
      <c r="HV1330"/>
      <c r="HW1330"/>
      <c r="HX1330"/>
      <c r="HY1330"/>
      <c r="HZ1330"/>
      <c r="IA1330"/>
      <c r="IB1330"/>
      <c r="IC1330"/>
      <c r="ID1330"/>
      <c r="IE1330"/>
      <c r="IF1330"/>
      <c r="IG1330"/>
      <c r="IH1330"/>
      <c r="II1330"/>
      <c r="IJ1330"/>
      <c r="IK1330"/>
      <c r="IL1330"/>
      <c r="IM1330"/>
      <c r="IN1330"/>
      <c r="IO1330"/>
      <c r="IP1330"/>
      <c r="IQ1330"/>
      <c r="IR1330"/>
      <c r="IS1330"/>
      <c r="IT1330"/>
      <c r="IU1330"/>
      <c r="IV1330"/>
    </row>
    <row r="1331" ht="15.75" customHeight="1">
      <c r="A1331" s="401"/>
      <c r="B1331" s="401"/>
      <c r="C1331" s="401"/>
      <c r="D1331" s="401"/>
      <c r="E1331" s="401"/>
      <c r="F1331" s="401"/>
      <c r="G1331" s="401"/>
      <c r="H1331" s="648"/>
      <c r="I1331"/>
      <c r="J1331" s="10"/>
      <c r="K1331" s="44"/>
      <c r="L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c r="EG1331"/>
      <c r="EH1331"/>
      <c r="EI1331"/>
      <c r="EJ1331"/>
      <c r="EK1331"/>
      <c r="EL1331"/>
      <c r="EM1331"/>
      <c r="EN1331"/>
      <c r="EO1331"/>
      <c r="EP1331"/>
      <c r="EQ1331"/>
      <c r="ER1331"/>
      <c r="ES1331"/>
      <c r="ET1331"/>
      <c r="EU1331"/>
      <c r="EV1331"/>
      <c r="EW1331"/>
      <c r="EX1331"/>
      <c r="EY1331"/>
      <c r="EZ1331"/>
      <c r="FA1331"/>
      <c r="FB1331"/>
      <c r="FC1331"/>
      <c r="FD1331"/>
      <c r="FE1331"/>
      <c r="FF1331"/>
      <c r="FG1331"/>
      <c r="FH1331"/>
      <c r="FI1331"/>
      <c r="FJ1331"/>
      <c r="FK1331"/>
      <c r="FL1331"/>
      <c r="FM1331"/>
      <c r="FN1331"/>
      <c r="FO1331"/>
      <c r="FP1331"/>
      <c r="FQ1331"/>
      <c r="FR1331"/>
      <c r="FS1331"/>
      <c r="FT1331"/>
      <c r="FU1331"/>
      <c r="FV1331"/>
      <c r="FW1331"/>
      <c r="FX1331"/>
      <c r="FY1331"/>
      <c r="FZ1331"/>
      <c r="GA1331"/>
      <c r="GB1331"/>
      <c r="GC1331"/>
      <c r="GD1331"/>
      <c r="GE1331"/>
      <c r="GF1331"/>
      <c r="GG1331"/>
      <c r="GH1331"/>
      <c r="GI1331"/>
      <c r="GJ1331"/>
      <c r="GK1331"/>
      <c r="GL1331"/>
      <c r="GM1331"/>
      <c r="GN1331"/>
      <c r="GO1331"/>
      <c r="GP1331"/>
      <c r="GQ1331"/>
      <c r="GR1331"/>
      <c r="GS1331"/>
      <c r="GT1331"/>
      <c r="GU1331"/>
      <c r="GV1331"/>
      <c r="GW1331"/>
      <c r="GX1331"/>
      <c r="GY1331"/>
      <c r="GZ1331"/>
      <c r="HA1331"/>
      <c r="HB1331"/>
      <c r="HC1331"/>
      <c r="HD1331"/>
      <c r="HE1331"/>
      <c r="HF1331"/>
      <c r="HG1331"/>
      <c r="HH1331"/>
      <c r="HI1331"/>
      <c r="HJ1331"/>
      <c r="HK1331"/>
      <c r="HL1331"/>
      <c r="HM1331"/>
      <c r="HN1331"/>
      <c r="HO1331"/>
      <c r="HP1331"/>
      <c r="HQ1331"/>
      <c r="HR1331"/>
      <c r="HS1331"/>
      <c r="HT1331"/>
      <c r="HU1331"/>
      <c r="HV1331"/>
      <c r="HW1331"/>
      <c r="HX1331"/>
      <c r="HY1331"/>
      <c r="HZ1331"/>
      <c r="IA1331"/>
      <c r="IB1331"/>
      <c r="IC1331"/>
      <c r="ID1331"/>
      <c r="IE1331"/>
      <c r="IF1331"/>
      <c r="IG1331"/>
      <c r="IH1331"/>
      <c r="II1331"/>
      <c r="IJ1331"/>
      <c r="IK1331"/>
      <c r="IL1331"/>
      <c r="IM1331"/>
      <c r="IN1331"/>
      <c r="IO1331"/>
      <c r="IP1331"/>
      <c r="IQ1331"/>
      <c r="IR1331"/>
      <c r="IS1331"/>
      <c r="IT1331"/>
      <c r="IU1331"/>
      <c r="IV1331"/>
    </row>
    <row r="1332" ht="15.75" customHeight="1">
      <c r="A1332" s="794" t="s">
        <v>1799</v>
      </c>
      <c r="B1332" s="794"/>
      <c r="C1332" s="794"/>
      <c r="D1332" s="795" t="n">
        <f aca="false">I1187/C38</f>
        <v>111703.5</v>
      </c>
      <c r="E1332" s="401"/>
      <c r="F1332" s="401"/>
      <c r="G1332" s="401"/>
      <c r="H1332" s="648"/>
      <c r="J1332"/>
      <c r="K1332" s="44"/>
    </row>
    <row r="1333" ht="15.75" customHeight="1">
      <c r="A1333" s="10"/>
      <c r="C1333" s="633"/>
      <c r="D1333" s="748"/>
      <c r="E1333" s="401"/>
      <c r="F1333" s="401"/>
      <c r="G1333" s="401"/>
      <c r="H1333" s="648"/>
      <c r="J1333"/>
      <c r="K1333" s="44"/>
    </row>
    <row r="1334" ht="15.75" customHeight="1">
      <c r="A1334" s="10"/>
      <c r="C1334" s="633"/>
      <c r="D1334" s="748"/>
      <c r="E1334" s="401"/>
      <c r="F1334" s="401"/>
      <c r="G1334" s="401"/>
      <c r="H1334" s="648"/>
      <c r="I1334" s="9"/>
      <c r="J1334" s="10"/>
      <c r="K1334" s="4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c r="EK1334"/>
      <c r="EL1334"/>
      <c r="EM1334"/>
      <c r="EN1334"/>
      <c r="EO1334"/>
      <c r="EP1334"/>
      <c r="EQ1334"/>
      <c r="ER1334"/>
      <c r="ES1334"/>
      <c r="ET1334"/>
      <c r="EU1334"/>
      <c r="EV1334"/>
      <c r="EW1334"/>
      <c r="EX1334"/>
      <c r="EY1334"/>
      <c r="EZ1334"/>
      <c r="FA1334"/>
      <c r="FB1334"/>
      <c r="FC1334"/>
      <c r="FD1334"/>
      <c r="FE1334"/>
      <c r="FF1334"/>
      <c r="FG1334"/>
      <c r="FH1334"/>
      <c r="FI1334"/>
      <c r="FJ1334"/>
      <c r="FK1334"/>
      <c r="FL1334"/>
      <c r="FM1334"/>
      <c r="FN1334"/>
      <c r="FO1334"/>
      <c r="FP1334"/>
      <c r="FQ1334"/>
      <c r="FR1334"/>
      <c r="FS1334"/>
      <c r="FT1334"/>
      <c r="FU1334"/>
      <c r="FV1334"/>
      <c r="FW1334"/>
      <c r="FX1334"/>
      <c r="FY1334"/>
      <c r="FZ1334"/>
      <c r="GA1334"/>
      <c r="GB1334"/>
      <c r="GC1334"/>
      <c r="GD1334"/>
      <c r="GE1334"/>
      <c r="GF1334"/>
      <c r="GG1334"/>
      <c r="GH1334"/>
      <c r="GI1334"/>
      <c r="GJ1334"/>
      <c r="GK1334"/>
      <c r="GL1334"/>
      <c r="GM1334"/>
      <c r="GN1334"/>
      <c r="GO1334"/>
      <c r="GP1334"/>
      <c r="GQ1334"/>
      <c r="GR1334"/>
      <c r="GS1334"/>
      <c r="GT1334"/>
      <c r="GU1334"/>
      <c r="GV1334"/>
      <c r="GW1334"/>
      <c r="GX1334"/>
      <c r="GY1334"/>
      <c r="GZ1334"/>
      <c r="HA1334"/>
      <c r="HB1334"/>
      <c r="HC1334"/>
      <c r="HD1334"/>
      <c r="HE1334"/>
      <c r="HF1334"/>
      <c r="HG1334"/>
      <c r="HH1334"/>
      <c r="HI1334"/>
      <c r="HJ1334"/>
      <c r="HK1334"/>
      <c r="HL1334"/>
      <c r="HM1334"/>
      <c r="HN1334"/>
      <c r="HO1334"/>
      <c r="HP1334"/>
      <c r="HQ1334"/>
      <c r="HR1334"/>
      <c r="HS1334"/>
      <c r="HT1334"/>
      <c r="HU1334"/>
      <c r="HV1334"/>
      <c r="HW1334"/>
      <c r="HX1334"/>
      <c r="HY1334"/>
      <c r="HZ1334"/>
      <c r="IA1334"/>
      <c r="IB1334"/>
      <c r="IC1334"/>
      <c r="ID1334"/>
      <c r="IE1334"/>
      <c r="IF1334"/>
      <c r="IG1334"/>
      <c r="IH1334"/>
      <c r="II1334"/>
      <c r="IJ1334"/>
      <c r="IK1334"/>
      <c r="IL1334"/>
      <c r="IM1334"/>
      <c r="IN1334"/>
      <c r="IO1334"/>
      <c r="IP1334"/>
      <c r="IQ1334"/>
      <c r="IR1334"/>
      <c r="IS1334"/>
      <c r="IT1334"/>
      <c r="IU1334"/>
      <c r="IV1334"/>
    </row>
    <row r="1335" ht="15.75" customHeight="1">
      <c r="A1335" s="1071" t="s">
        <v>1800</v>
      </c>
      <c r="B1335" s="1071"/>
      <c r="C1335" s="1071"/>
      <c r="D1335" s="1071"/>
      <c r="E1335" s="1071"/>
      <c r="F1335" s="1071"/>
      <c r="G1335" s="1071"/>
      <c r="H1335" s="42"/>
      <c r="I1335" s="42"/>
      <c r="J1335" s="42"/>
      <c r="K1335" s="1072"/>
      <c r="L1335" s="1073" t="s">
        <v>1712</v>
      </c>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c r="EI1335"/>
      <c r="EJ1335"/>
      <c r="EK1335"/>
      <c r="EL1335"/>
      <c r="EM1335"/>
      <c r="EN1335"/>
      <c r="EO1335"/>
      <c r="EP1335"/>
      <c r="EQ1335"/>
      <c r="ER1335"/>
      <c r="ES1335"/>
      <c r="ET1335"/>
      <c r="EU1335"/>
      <c r="EV1335"/>
      <c r="EW1335"/>
      <c r="EX1335"/>
      <c r="EY1335"/>
      <c r="EZ1335"/>
      <c r="FA1335"/>
      <c r="FB1335"/>
      <c r="FC1335"/>
      <c r="FD1335"/>
      <c r="FE1335"/>
      <c r="FF1335"/>
      <c r="FG1335"/>
      <c r="FH1335"/>
      <c r="FI1335"/>
      <c r="FJ1335"/>
      <c r="FK1335"/>
      <c r="FL1335"/>
      <c r="FM1335"/>
      <c r="FN1335"/>
      <c r="FO1335"/>
      <c r="FP1335"/>
      <c r="FQ1335"/>
      <c r="FR1335"/>
      <c r="FS1335"/>
      <c r="FT1335"/>
      <c r="FU1335"/>
      <c r="FV1335"/>
      <c r="FW1335"/>
      <c r="FX1335"/>
      <c r="FY1335"/>
      <c r="FZ1335"/>
      <c r="GA1335"/>
      <c r="GB1335"/>
      <c r="GC1335"/>
      <c r="GD1335"/>
      <c r="GE1335"/>
      <c r="GF1335"/>
      <c r="GG1335"/>
      <c r="GH1335"/>
      <c r="GI1335"/>
      <c r="GJ1335"/>
      <c r="GK1335"/>
      <c r="GL1335"/>
      <c r="GM1335"/>
      <c r="GN1335"/>
      <c r="GO1335"/>
      <c r="GP1335"/>
      <c r="GQ1335"/>
      <c r="GR1335"/>
      <c r="GS1335"/>
      <c r="GT1335"/>
      <c r="GU1335"/>
      <c r="GV1335"/>
      <c r="GW1335"/>
      <c r="GX1335"/>
      <c r="GY1335"/>
      <c r="GZ1335"/>
      <c r="HA1335"/>
      <c r="HB1335"/>
      <c r="HC1335"/>
      <c r="HD1335"/>
      <c r="HE1335"/>
      <c r="HF1335"/>
      <c r="HG1335"/>
      <c r="HH1335"/>
      <c r="HI1335"/>
      <c r="HJ1335"/>
      <c r="HK1335"/>
      <c r="HL1335"/>
      <c r="HM1335"/>
      <c r="HN1335"/>
      <c r="HO1335"/>
      <c r="HP1335"/>
      <c r="HQ1335"/>
      <c r="HR1335"/>
      <c r="HS1335"/>
      <c r="HT1335"/>
      <c r="HU1335"/>
      <c r="HV1335"/>
      <c r="HW1335"/>
      <c r="HX1335"/>
      <c r="HY1335"/>
      <c r="HZ1335"/>
      <c r="IA1335"/>
      <c r="IB1335"/>
      <c r="IC1335"/>
      <c r="ID1335"/>
      <c r="IE1335"/>
      <c r="IF1335"/>
      <c r="IG1335"/>
      <c r="IH1335"/>
      <c r="II1335"/>
      <c r="IJ1335"/>
      <c r="IK1335"/>
      <c r="IL1335"/>
      <c r="IM1335"/>
      <c r="IN1335"/>
      <c r="IO1335"/>
      <c r="IP1335"/>
      <c r="IQ1335"/>
      <c r="IR1335"/>
      <c r="IS1335"/>
      <c r="IT1335"/>
      <c r="IU1335"/>
      <c r="IV1335"/>
    </row>
    <row r="1336" ht="15.75" customHeight="1">
      <c r="A1336" s="378"/>
      <c r="B1336" s="378"/>
      <c r="C1336" s="378"/>
      <c r="D1336" s="378"/>
      <c r="E1336" s="378"/>
      <c r="F1336" s="378"/>
      <c r="G1336" s="378"/>
      <c r="H1336"/>
      <c r="I1336"/>
      <c r="J1336"/>
      <c r="K1336" s="1076"/>
      <c r="L1336" s="880"/>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c r="EI1336"/>
      <c r="EJ1336"/>
      <c r="EK1336"/>
      <c r="EL1336"/>
      <c r="EM1336"/>
      <c r="EN1336"/>
      <c r="EO1336"/>
      <c r="EP1336"/>
      <c r="EQ1336"/>
      <c r="ER1336"/>
      <c r="ES1336"/>
      <c r="ET1336"/>
      <c r="EU1336"/>
      <c r="EV1336"/>
      <c r="EW1336"/>
      <c r="EX1336"/>
      <c r="EY1336"/>
      <c r="EZ1336"/>
      <c r="FA1336"/>
      <c r="FB1336"/>
      <c r="FC1336"/>
      <c r="FD1336"/>
      <c r="FE1336"/>
      <c r="FF1336"/>
      <c r="FG1336"/>
      <c r="FH1336"/>
      <c r="FI1336"/>
      <c r="FJ1336"/>
      <c r="FK1336"/>
      <c r="FL1336"/>
      <c r="FM1336"/>
      <c r="FN1336"/>
      <c r="FO1336"/>
      <c r="FP1336"/>
      <c r="FQ1336"/>
      <c r="FR1336"/>
      <c r="FS1336"/>
      <c r="FT1336"/>
      <c r="FU1336"/>
      <c r="FV1336"/>
      <c r="FW1336"/>
      <c r="FX1336"/>
      <c r="FY1336"/>
      <c r="FZ1336"/>
      <c r="GA1336"/>
      <c r="GB1336"/>
      <c r="GC1336"/>
      <c r="GD1336"/>
      <c r="GE1336"/>
      <c r="GF1336"/>
      <c r="GG1336"/>
      <c r="GH1336"/>
      <c r="GI1336"/>
      <c r="GJ1336"/>
      <c r="GK1336"/>
      <c r="GL1336"/>
      <c r="GM1336"/>
      <c r="GN1336"/>
      <c r="GO1336"/>
      <c r="GP1336"/>
      <c r="GQ1336"/>
      <c r="GR1336"/>
      <c r="GS1336"/>
      <c r="GT1336"/>
      <c r="GU1336"/>
      <c r="GV1336"/>
      <c r="GW1336"/>
      <c r="GX1336"/>
      <c r="GY1336"/>
      <c r="GZ1336"/>
      <c r="HA1336"/>
      <c r="HB1336"/>
      <c r="HC1336"/>
      <c r="HD1336"/>
      <c r="HE1336"/>
      <c r="HF1336"/>
      <c r="HG1336"/>
      <c r="HH1336"/>
      <c r="HI1336"/>
      <c r="HJ1336"/>
      <c r="HK1336"/>
      <c r="HL1336"/>
      <c r="HM1336"/>
      <c r="HN1336"/>
      <c r="HO1336"/>
      <c r="HP1336"/>
      <c r="HQ1336"/>
      <c r="HR1336"/>
      <c r="HS1336"/>
      <c r="HT1336"/>
      <c r="HU1336"/>
      <c r="HV1336"/>
      <c r="HW1336"/>
      <c r="HX1336"/>
      <c r="HY1336"/>
      <c r="HZ1336"/>
      <c r="IA1336"/>
      <c r="IB1336"/>
      <c r="IC1336"/>
      <c r="ID1336"/>
      <c r="IE1336"/>
      <c r="IF1336"/>
      <c r="IG1336"/>
      <c r="IH1336"/>
      <c r="II1336"/>
      <c r="IJ1336"/>
      <c r="IK1336"/>
      <c r="IL1336"/>
      <c r="IM1336"/>
      <c r="IN1336"/>
      <c r="IO1336"/>
      <c r="IP1336"/>
      <c r="IQ1336"/>
      <c r="IR1336"/>
      <c r="IS1336"/>
      <c r="IT1336"/>
      <c r="IU1336"/>
      <c r="IV1336"/>
    </row>
    <row r="1337" ht="15.75" customHeight="1">
      <c r="A1337" s="821" t="s">
        <v>1801</v>
      </c>
      <c r="D1337" s="796" t="s">
        <v>880</v>
      </c>
      <c r="H1337" s="797"/>
      <c r="I1337" s="835"/>
      <c r="J1337" s="499"/>
      <c r="K1337" s="633"/>
      <c r="L1337" s="74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c r="EI1337"/>
      <c r="EJ1337"/>
      <c r="EK1337"/>
      <c r="EL1337"/>
      <c r="EM1337"/>
      <c r="EN1337"/>
      <c r="EO1337"/>
      <c r="EP1337"/>
      <c r="EQ1337"/>
      <c r="ER1337"/>
      <c r="ES1337"/>
      <c r="ET1337"/>
      <c r="EU1337"/>
      <c r="EV1337"/>
      <c r="EW1337"/>
      <c r="EX1337"/>
      <c r="EY1337"/>
      <c r="EZ1337"/>
      <c r="FA1337"/>
      <c r="FB1337"/>
      <c r="FC1337"/>
      <c r="FD1337"/>
      <c r="FE1337"/>
      <c r="FF1337"/>
      <c r="FG1337"/>
      <c r="FH1337"/>
      <c r="FI1337"/>
      <c r="FJ1337"/>
      <c r="FK1337"/>
      <c r="FL1337"/>
      <c r="FM1337"/>
      <c r="FN1337"/>
      <c r="FO1337"/>
      <c r="FP1337"/>
      <c r="FQ1337"/>
      <c r="FR1337"/>
      <c r="FS1337"/>
      <c r="FT1337"/>
      <c r="FU1337"/>
      <c r="FV1337"/>
      <c r="FW1337"/>
      <c r="FX1337"/>
      <c r="FY1337"/>
      <c r="FZ1337"/>
      <c r="GA1337"/>
      <c r="GB1337"/>
      <c r="GC1337"/>
      <c r="GD1337"/>
      <c r="GE1337"/>
      <c r="GF1337"/>
      <c r="GG1337"/>
      <c r="GH1337"/>
      <c r="GI1337"/>
      <c r="GJ1337"/>
      <c r="GK1337"/>
      <c r="GL1337"/>
      <c r="GM1337"/>
      <c r="GN1337"/>
      <c r="GO1337"/>
      <c r="GP1337"/>
      <c r="GQ1337"/>
      <c r="GR1337"/>
      <c r="GS1337"/>
      <c r="GT1337"/>
      <c r="GU1337"/>
      <c r="GV1337"/>
      <c r="GW1337"/>
      <c r="GX1337"/>
      <c r="GY1337"/>
      <c r="GZ1337"/>
      <c r="HA1337"/>
      <c r="HB1337"/>
      <c r="HC1337"/>
      <c r="HD1337"/>
      <c r="HE1337"/>
      <c r="HF1337"/>
      <c r="HG1337"/>
      <c r="HH1337"/>
      <c r="HI1337"/>
      <c r="HJ1337"/>
      <c r="HK1337"/>
      <c r="HL1337"/>
      <c r="HM1337"/>
      <c r="HN1337"/>
      <c r="HO1337"/>
      <c r="HP1337"/>
      <c r="HQ1337"/>
      <c r="HR1337"/>
      <c r="HS1337"/>
      <c r="HT1337"/>
      <c r="HU1337"/>
      <c r="HV1337"/>
      <c r="HW1337"/>
      <c r="HX1337"/>
      <c r="HY1337"/>
      <c r="HZ1337"/>
      <c r="IA1337"/>
      <c r="IB1337"/>
      <c r="IC1337"/>
      <c r="ID1337"/>
      <c r="IE1337"/>
      <c r="IF1337"/>
      <c r="IG1337"/>
      <c r="IH1337"/>
      <c r="II1337"/>
      <c r="IJ1337"/>
      <c r="IK1337"/>
      <c r="IL1337"/>
      <c r="IM1337"/>
      <c r="IN1337"/>
      <c r="IO1337"/>
      <c r="IP1337"/>
      <c r="IQ1337"/>
      <c r="IR1337"/>
      <c r="IS1337"/>
      <c r="IT1337"/>
      <c r="IU1337"/>
      <c r="IV1337"/>
    </row>
    <row r="1338" ht="15.75" customHeight="1">
      <c r="A1338" s="821"/>
      <c r="E1338"/>
      <c r="H1338" s="797"/>
      <c r="I1338" s="835"/>
      <c r="J1338" s="499"/>
      <c r="K1338" s="633"/>
      <c r="L1338" s="745"/>
    </row>
    <row r="1339" ht="15" customHeight="1">
      <c r="A1339" s="821"/>
      <c r="E1339" s="9"/>
      <c r="F1339"/>
      <c r="G1339"/>
      <c r="H1339" s="797"/>
      <c r="I1339" s="835"/>
      <c r="J1339" s="499"/>
      <c r="K1339" s="633"/>
      <c r="L1339" s="745"/>
      <c r="M1339"/>
      <c r="N1339"/>
      <c r="O1339"/>
      <c r="P1339"/>
      <c r="Q1339"/>
      <c r="R1339"/>
    </row>
    <row r="1340" ht="15" customHeight="1">
      <c r="A1340" s="12" t="s">
        <v>884</v>
      </c>
      <c r="B1340" s="12"/>
      <c r="C1340"/>
      <c r="D1340" s="796" t="s">
        <v>253</v>
      </c>
      <c r="E1340" s="9"/>
      <c r="F1340"/>
      <c r="G1340" s="9"/>
      <c r="H1340" s="9"/>
      <c r="I1340" s="9"/>
      <c r="J1340" s="10"/>
      <c r="K1340" s="633"/>
      <c r="L1340" s="745"/>
    </row>
    <row r="1341" ht="15.75" customHeight="1">
      <c r="A1341" s="798" t="s">
        <v>885</v>
      </c>
      <c r="B1341" s="10"/>
      <c r="C1341" s="821"/>
      <c r="D1341" s="789"/>
      <c r="J1341" s="9"/>
      <c r="K1341" s="633"/>
      <c r="L1341" s="745"/>
      <c r="M1341"/>
    </row>
    <row r="1342" ht="15.75" customHeight="1">
      <c r="A1342" s="12"/>
      <c r="B1342" s="799"/>
      <c r="C1342" s="14"/>
      <c r="D1342" s="9"/>
      <c r="J1342" s="9"/>
      <c r="K1342" s="633"/>
      <c r="L1342" s="745"/>
      <c r="M1342"/>
    </row>
    <row r="1343" ht="15" customHeight="1">
      <c r="A1343" s="12" t="s">
        <v>1802</v>
      </c>
      <c r="B1343" s="12"/>
      <c r="C1343" s="14"/>
      <c r="D1343" s="796" t="s">
        <v>253</v>
      </c>
      <c r="J1343" s="9"/>
      <c r="K1343" s="633"/>
      <c r="L1343" s="745"/>
      <c r="M1343"/>
    </row>
    <row r="1344" ht="15" customHeight="1">
      <c r="A1344" s="13" t="s">
        <v>1803</v>
      </c>
      <c r="B1344" s="591"/>
      <c r="C1344" s="591"/>
      <c r="D1344" s="591"/>
      <c r="E1344" s="591"/>
      <c r="F1344" s="591"/>
      <c r="G1344" s="591"/>
      <c r="H1344" s="591"/>
      <c r="I1344" s="14"/>
      <c r="J1344" s="800"/>
      <c r="K1344" s="633"/>
      <c r="L1344" s="745"/>
      <c r="M1344"/>
    </row>
    <row r="1345" ht="15.75" customHeight="1">
      <c r="F1345"/>
      <c r="G1345"/>
      <c r="H1345" s="14"/>
      <c r="J1345" s="398"/>
      <c r="K1345" s="633"/>
      <c r="L1345" s="745"/>
      <c r="M1345"/>
    </row>
    <row r="1346" ht="15.75" customHeight="1">
      <c r="A1346" s="12" t="s">
        <v>1804</v>
      </c>
      <c r="B1346" s="12"/>
      <c r="D1346" s="796" t="s">
        <v>893</v>
      </c>
      <c r="F1346"/>
      <c r="G1346" s="43"/>
      <c r="H1346" s="43"/>
      <c r="I1346" s="43"/>
      <c r="J1346" s="801"/>
      <c r="K1346" s="633"/>
      <c r="L1346" s="745"/>
      <c r="M1346"/>
    </row>
    <row r="1347" ht="16.5" customHeight="1">
      <c r="A1347" s="798" t="s">
        <v>890</v>
      </c>
      <c r="B1347" s="802"/>
      <c r="C1347" s="14"/>
      <c r="D1347" s="629"/>
      <c r="F1347"/>
      <c r="G1347" s="629"/>
      <c r="H1347" s="12"/>
      <c r="I1347" s="12"/>
      <c r="J1347" s="398"/>
      <c r="K1347" s="633"/>
      <c r="L1347" s="745"/>
      <c r="M1347"/>
    </row>
    <row r="1348" ht="16.5" customHeight="1">
      <c r="A1348" s="798" t="s">
        <v>892</v>
      </c>
      <c r="B1348" s="802"/>
      <c r="C1348" s="14"/>
      <c r="D1348" s="629"/>
      <c r="F1348"/>
      <c r="G1348" s="629"/>
      <c r="H1348" s="14"/>
      <c r="I1348" s="14"/>
      <c r="J1348" s="800"/>
      <c r="K1348" s="633"/>
      <c r="L1348" s="745"/>
      <c r="M1348"/>
    </row>
    <row r="1349" ht="15" customHeight="1">
      <c r="A1349" s="798" t="s">
        <v>894</v>
      </c>
      <c r="B1349" s="803"/>
      <c r="C1349" s="14"/>
      <c r="D1349" s="629"/>
      <c r="F1349" s="43"/>
      <c r="G1349" s="43"/>
      <c r="H1349" s="43"/>
      <c r="I1349" s="43"/>
      <c r="J1349" s="934"/>
      <c r="K1349" s="633"/>
      <c r="L1349" s="745"/>
      <c r="M1349"/>
    </row>
    <row r="1350" ht="15" customHeight="1">
      <c r="A1350" s="12"/>
      <c r="B1350" s="12"/>
      <c r="C1350" s="14"/>
      <c r="D1350" s="9"/>
      <c r="E1350" s="22"/>
      <c r="F1350" s="9"/>
      <c r="G1350" s="629"/>
      <c r="H1350" s="14"/>
      <c r="I1350" s="14"/>
      <c r="J1350" s="10"/>
      <c r="K1350" s="633"/>
      <c r="L1350" s="745"/>
      <c r="M1350"/>
    </row>
    <row r="1351" ht="15" customHeight="1">
      <c r="A1351" s="12"/>
      <c r="B1351" s="12"/>
      <c r="C1351" s="14"/>
      <c r="D1351" s="9"/>
      <c r="E1351" s="22"/>
      <c r="F1351" s="9"/>
      <c r="G1351" s="629"/>
      <c r="H1351" s="14"/>
      <c r="I1351" s="14"/>
      <c r="J1351" s="10"/>
      <c r="K1351" s="633"/>
      <c r="L1351" s="745"/>
      <c r="M1351"/>
    </row>
    <row r="1352" ht="16.5" customHeight="1">
      <c r="A1352" s="1071" t="s">
        <v>1805</v>
      </c>
      <c r="B1352" s="1071"/>
      <c r="C1352" s="1071"/>
      <c r="D1352" s="1071"/>
      <c r="E1352" s="1071"/>
      <c r="F1352" s="1071"/>
      <c r="G1352" s="1071"/>
      <c r="H1352" s="42"/>
      <c r="I1352" s="42"/>
      <c r="J1352" s="42"/>
      <c r="K1352" s="1072"/>
      <c r="L1352" s="1073"/>
      <c r="M1352"/>
    </row>
    <row r="1353" ht="16.5" customHeight="1">
      <c r="A1353" s="378"/>
      <c r="B1353" s="378"/>
      <c r="C1353" s="378"/>
      <c r="D1353" s="378"/>
      <c r="E1353" s="378"/>
      <c r="F1353" s="378"/>
      <c r="G1353" s="378"/>
      <c r="H1353" s="43"/>
      <c r="I1353" s="43"/>
      <c r="J1353" s="934"/>
      <c r="K1353" s="633"/>
      <c r="L1353" s="745"/>
      <c r="M1353"/>
    </row>
    <row r="1354" ht="15.75" customHeight="1">
      <c r="A1354" s="749" t="s">
        <v>1806</v>
      </c>
      <c r="B1354" s="749"/>
      <c r="C1354" s="834" t="s">
        <v>1807</v>
      </c>
      <c r="D1354" s="795" t="n">
        <f aca="false">(I1183-I1164)/I1183</f>
        <v>0.621708206832508</v>
      </c>
      <c r="F1354" s="9"/>
      <c r="G1354" s="43"/>
      <c r="H1354" s="43"/>
      <c r="I1354" s="43"/>
      <c r="J1354" s="934"/>
      <c r="K1354" s="633"/>
      <c r="L1354" s="745"/>
      <c r="M1354"/>
    </row>
    <row r="1355" ht="15" customHeight="1">
      <c r="A1355" s="752"/>
      <c r="B1355"/>
      <c r="C1355" s="633"/>
      <c r="D1355" s="748"/>
      <c r="E1355" s="415"/>
      <c r="F1355"/>
      <c r="G1355"/>
      <c r="H1355"/>
      <c r="I1355"/>
      <c r="J1355"/>
      <c r="K1355"/>
      <c r="L1355"/>
    </row>
    <row r="1356" ht="25.5" customHeight="1">
      <c r="A1356"/>
      <c r="B1356"/>
      <c r="C1356"/>
      <c r="D1356"/>
      <c r="E1356"/>
      <c r="F1356"/>
      <c r="G1356"/>
      <c r="H1356"/>
      <c r="I1356"/>
      <c r="J1356"/>
      <c r="K1356"/>
      <c r="L1356"/>
    </row>
    <row r="1357" ht="15" customHeight="1">
      <c r="A1357" s="1071" t="s">
        <v>1808</v>
      </c>
      <c r="B1357" s="1071"/>
      <c r="C1357" s="1071"/>
      <c r="D1357" s="1071"/>
      <c r="E1357" s="1071"/>
      <c r="F1357" s="1071"/>
      <c r="G1357" s="1071"/>
      <c r="H1357" s="42"/>
      <c r="I1357" s="42"/>
      <c r="J1357" s="42"/>
      <c r="K1357" s="1072"/>
      <c r="L1357" s="1073"/>
    </row>
    <row r="1358" ht="15" customHeight="1">
      <c r="A1358" s="378"/>
      <c r="B1358" s="378"/>
      <c r="C1358" s="378"/>
      <c r="D1358" s="378"/>
      <c r="E1358" s="378"/>
      <c r="F1358" s="378"/>
      <c r="G1358" s="378"/>
    </row>
    <row r="1359" ht="15" customHeight="1">
      <c r="A1359" s="749" t="s">
        <v>1809</v>
      </c>
      <c r="B1359" s="749"/>
      <c r="C1359" s="834" t="s">
        <v>1810</v>
      </c>
      <c r="D1359" s="804" t="n">
        <f aca="false">I1166/B24</f>
        <v>1970.54545454545</v>
      </c>
      <c r="F1359"/>
      <c r="G1359"/>
    </row>
    <row r="1360" ht="24.75" customHeight="1"/>
    <row r="1362" ht="15.75" customHeight="1"/>
  </sheetData>
  <mergeCells count="822">
    <mergeCell ref="A1:L1"/>
    <mergeCell ref="H14:J28"/>
    <mergeCell ref="A38:B38"/>
    <mergeCell ref="A39:B39"/>
    <mergeCell ref="A40:B40"/>
    <mergeCell ref="D42:G42"/>
    <mergeCell ref="A48:A49"/>
    <mergeCell ref="B48:C49"/>
    <mergeCell ref="D48:D49"/>
    <mergeCell ref="E48:F48"/>
    <mergeCell ref="G48:G49"/>
    <mergeCell ref="H48:H49"/>
    <mergeCell ref="I48:I49"/>
    <mergeCell ref="J48:J49"/>
    <mergeCell ref="B51:C51"/>
    <mergeCell ref="A52:A54"/>
    <mergeCell ref="B52:C52"/>
    <mergeCell ref="B53:C53"/>
    <mergeCell ref="B54:C54"/>
    <mergeCell ref="B55:C55"/>
    <mergeCell ref="A56:A60"/>
    <mergeCell ref="B56:C56"/>
    <mergeCell ref="B57:C57"/>
    <mergeCell ref="B58:C58"/>
    <mergeCell ref="B59:C59"/>
    <mergeCell ref="B60:C60"/>
    <mergeCell ref="B61:C61"/>
    <mergeCell ref="A62:A66"/>
    <mergeCell ref="B62:C62"/>
    <mergeCell ref="B63:C63"/>
    <mergeCell ref="B64:C64"/>
    <mergeCell ref="B65:C65"/>
    <mergeCell ref="B66:C66"/>
    <mergeCell ref="B67:C67"/>
    <mergeCell ref="A68:A72"/>
    <mergeCell ref="B68:C68"/>
    <mergeCell ref="B69:C69"/>
    <mergeCell ref="B70:C70"/>
    <mergeCell ref="B71:C71"/>
    <mergeCell ref="B72:C72"/>
    <mergeCell ref="B73:C73"/>
    <mergeCell ref="A74:A87"/>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4:C94"/>
    <mergeCell ref="B95:C95"/>
    <mergeCell ref="A105:A108"/>
    <mergeCell ref="K110:L110"/>
    <mergeCell ref="K111:L111"/>
    <mergeCell ref="K112:L112"/>
    <mergeCell ref="K113:L113"/>
    <mergeCell ref="K114:L114"/>
    <mergeCell ref="K115:L115"/>
    <mergeCell ref="K116:L116"/>
    <mergeCell ref="K117:L117"/>
    <mergeCell ref="K118:L118"/>
    <mergeCell ref="K119:L119"/>
    <mergeCell ref="K120:L120"/>
    <mergeCell ref="K121:L121"/>
    <mergeCell ref="K122:L122"/>
    <mergeCell ref="K123:L123"/>
    <mergeCell ref="K124:L124"/>
    <mergeCell ref="K125:L125"/>
    <mergeCell ref="K126:L126"/>
    <mergeCell ref="K127:L127"/>
    <mergeCell ref="K128:L128"/>
    <mergeCell ref="K129:L129"/>
    <mergeCell ref="K130:L130"/>
    <mergeCell ref="K131:L131"/>
    <mergeCell ref="K132:L132"/>
    <mergeCell ref="K133:L133"/>
    <mergeCell ref="K134:L134"/>
    <mergeCell ref="K135:L135"/>
    <mergeCell ref="K136:L136"/>
    <mergeCell ref="K137:L137"/>
    <mergeCell ref="K138:L138"/>
    <mergeCell ref="K139:L139"/>
    <mergeCell ref="K140:L140"/>
    <mergeCell ref="K141:L141"/>
    <mergeCell ref="K142:L142"/>
    <mergeCell ref="K143:L143"/>
    <mergeCell ref="K144:L144"/>
    <mergeCell ref="K145:L145"/>
    <mergeCell ref="K146:L146"/>
    <mergeCell ref="K147:L147"/>
    <mergeCell ref="K148:L148"/>
    <mergeCell ref="A156:B156"/>
    <mergeCell ref="A157:B157"/>
    <mergeCell ref="F178:H178"/>
    <mergeCell ref="G179:H179"/>
    <mergeCell ref="G180:H180"/>
    <mergeCell ref="B202:D202"/>
    <mergeCell ref="B203:D203"/>
    <mergeCell ref="C204:D204"/>
    <mergeCell ref="C205:D205"/>
    <mergeCell ref="B212:F212"/>
    <mergeCell ref="G212:I212"/>
    <mergeCell ref="J212:L212"/>
    <mergeCell ref="H213:I213"/>
    <mergeCell ref="K213:L213"/>
    <mergeCell ref="H214:I214"/>
    <mergeCell ref="K214:L214"/>
    <mergeCell ref="H215:I215"/>
    <mergeCell ref="K215:L215"/>
    <mergeCell ref="H216:I216"/>
    <mergeCell ref="K216:L216"/>
    <mergeCell ref="H217:I217"/>
    <mergeCell ref="K217:L217"/>
    <mergeCell ref="H218:I218"/>
    <mergeCell ref="K218:L218"/>
    <mergeCell ref="H219:I219"/>
    <mergeCell ref="K219:L219"/>
    <mergeCell ref="H220:I220"/>
    <mergeCell ref="K220:L220"/>
    <mergeCell ref="H221:I221"/>
    <mergeCell ref="K221:L221"/>
    <mergeCell ref="H222:I222"/>
    <mergeCell ref="K222:L222"/>
    <mergeCell ref="H223:I223"/>
    <mergeCell ref="K223:L223"/>
    <mergeCell ref="H224:I224"/>
    <mergeCell ref="K224:L224"/>
    <mergeCell ref="H225:I225"/>
    <mergeCell ref="K225:L225"/>
    <mergeCell ref="H226:I226"/>
    <mergeCell ref="K226:L226"/>
    <mergeCell ref="H227:I227"/>
    <mergeCell ref="K227:L227"/>
    <mergeCell ref="H228:I228"/>
    <mergeCell ref="K228:L228"/>
    <mergeCell ref="H229:I229"/>
    <mergeCell ref="K229:L229"/>
    <mergeCell ref="H230:I230"/>
    <mergeCell ref="K230:L230"/>
    <mergeCell ref="H231:I231"/>
    <mergeCell ref="K231:L231"/>
    <mergeCell ref="H232:I232"/>
    <mergeCell ref="K232:L232"/>
    <mergeCell ref="H233:I233"/>
    <mergeCell ref="K233:L233"/>
    <mergeCell ref="H234:I234"/>
    <mergeCell ref="K234:L234"/>
    <mergeCell ref="H235:I235"/>
    <mergeCell ref="K235:L235"/>
    <mergeCell ref="H236:I236"/>
    <mergeCell ref="K236:L236"/>
    <mergeCell ref="H237:I237"/>
    <mergeCell ref="K237:L237"/>
    <mergeCell ref="H238:I238"/>
    <mergeCell ref="K238:L238"/>
    <mergeCell ref="H239:I239"/>
    <mergeCell ref="K239:L239"/>
    <mergeCell ref="H240:I240"/>
    <mergeCell ref="K240:L240"/>
    <mergeCell ref="H241:I241"/>
    <mergeCell ref="K241:L241"/>
    <mergeCell ref="H242:I242"/>
    <mergeCell ref="K242:L242"/>
    <mergeCell ref="H243:I243"/>
    <mergeCell ref="K243:L243"/>
    <mergeCell ref="H244:I244"/>
    <mergeCell ref="K244:L244"/>
    <mergeCell ref="H245:I245"/>
    <mergeCell ref="K245:L245"/>
    <mergeCell ref="H246:I246"/>
    <mergeCell ref="K246:L246"/>
    <mergeCell ref="H247:I247"/>
    <mergeCell ref="K247:L247"/>
    <mergeCell ref="H248:I248"/>
    <mergeCell ref="K248:L248"/>
    <mergeCell ref="H249:I249"/>
    <mergeCell ref="K249:L249"/>
    <mergeCell ref="H250:I250"/>
    <mergeCell ref="K250:L250"/>
    <mergeCell ref="H251:I251"/>
    <mergeCell ref="K251:L251"/>
    <mergeCell ref="H252:I252"/>
    <mergeCell ref="K252:L252"/>
    <mergeCell ref="E254:F254"/>
    <mergeCell ref="E255:F255"/>
    <mergeCell ref="E256:F256"/>
    <mergeCell ref="E257:F257"/>
    <mergeCell ref="B261:F261"/>
    <mergeCell ref="G261:I261"/>
    <mergeCell ref="J261:L261"/>
    <mergeCell ref="H262:I262"/>
    <mergeCell ref="K262:L262"/>
    <mergeCell ref="H263:I263"/>
    <mergeCell ref="K263:L263"/>
    <mergeCell ref="H264:I264"/>
    <mergeCell ref="K264:L264"/>
    <mergeCell ref="H265:I265"/>
    <mergeCell ref="K265:L265"/>
    <mergeCell ref="H266:I266"/>
    <mergeCell ref="K266:L266"/>
    <mergeCell ref="H267:I267"/>
    <mergeCell ref="K267:L267"/>
    <mergeCell ref="H268:I268"/>
    <mergeCell ref="K268:L268"/>
    <mergeCell ref="H269:I269"/>
    <mergeCell ref="K269:L269"/>
    <mergeCell ref="H270:I270"/>
    <mergeCell ref="K270:L270"/>
    <mergeCell ref="H271:I271"/>
    <mergeCell ref="K271:L271"/>
    <mergeCell ref="H272:I272"/>
    <mergeCell ref="K272:L272"/>
    <mergeCell ref="H273:I273"/>
    <mergeCell ref="K273:L273"/>
    <mergeCell ref="H274:I274"/>
    <mergeCell ref="K274:L274"/>
    <mergeCell ref="H275:I275"/>
    <mergeCell ref="K275:L275"/>
    <mergeCell ref="H276:I276"/>
    <mergeCell ref="K276:L276"/>
    <mergeCell ref="H277:I277"/>
    <mergeCell ref="K277:L277"/>
    <mergeCell ref="H278:I278"/>
    <mergeCell ref="K278:L278"/>
    <mergeCell ref="H279:I279"/>
    <mergeCell ref="K279:L279"/>
    <mergeCell ref="H280:I280"/>
    <mergeCell ref="K280:L280"/>
    <mergeCell ref="H281:I281"/>
    <mergeCell ref="K281:L281"/>
    <mergeCell ref="H282:I282"/>
    <mergeCell ref="K282:L282"/>
    <mergeCell ref="H283:I283"/>
    <mergeCell ref="K283:L283"/>
    <mergeCell ref="H284:I284"/>
    <mergeCell ref="K284:L284"/>
    <mergeCell ref="H285:I285"/>
    <mergeCell ref="K285:L285"/>
    <mergeCell ref="H286:I286"/>
    <mergeCell ref="K286:L286"/>
    <mergeCell ref="H287:I287"/>
    <mergeCell ref="K287:L287"/>
    <mergeCell ref="H289:I289"/>
    <mergeCell ref="K289:L289"/>
    <mergeCell ref="H291:I291"/>
    <mergeCell ref="K291:L291"/>
    <mergeCell ref="H292:I292"/>
    <mergeCell ref="K292:L292"/>
    <mergeCell ref="H293:I293"/>
    <mergeCell ref="K293:L293"/>
    <mergeCell ref="H294:I294"/>
    <mergeCell ref="K294:L294"/>
    <mergeCell ref="H295:I295"/>
    <mergeCell ref="K295:L295"/>
    <mergeCell ref="H297:I297"/>
    <mergeCell ref="K297:L297"/>
    <mergeCell ref="H298:I298"/>
    <mergeCell ref="K298:L298"/>
    <mergeCell ref="H299:I299"/>
    <mergeCell ref="K299:L299"/>
    <mergeCell ref="H300:I300"/>
    <mergeCell ref="K300:L300"/>
    <mergeCell ref="H301:I301"/>
    <mergeCell ref="K301:L301"/>
    <mergeCell ref="H302:I302"/>
    <mergeCell ref="K302:L302"/>
    <mergeCell ref="H303:I303"/>
    <mergeCell ref="K303:L303"/>
    <mergeCell ref="H305:I305"/>
    <mergeCell ref="K305:L305"/>
    <mergeCell ref="H306:I306"/>
    <mergeCell ref="K306:L306"/>
    <mergeCell ref="H307:I307"/>
    <mergeCell ref="K307:L307"/>
    <mergeCell ref="H308:I308"/>
    <mergeCell ref="K308:L308"/>
    <mergeCell ref="H309:I309"/>
    <mergeCell ref="K309:L309"/>
    <mergeCell ref="B320:E320"/>
    <mergeCell ref="B321:C321"/>
    <mergeCell ref="D321:E321"/>
    <mergeCell ref="G321:J321"/>
    <mergeCell ref="B322:C322"/>
    <mergeCell ref="D322:E322"/>
    <mergeCell ref="G322:J322"/>
    <mergeCell ref="B323:C323"/>
    <mergeCell ref="D323:E323"/>
    <mergeCell ref="G323:J323"/>
    <mergeCell ref="B324:C324"/>
    <mergeCell ref="D324:E324"/>
    <mergeCell ref="G324:J324"/>
    <mergeCell ref="B325:C325"/>
    <mergeCell ref="D325:E325"/>
    <mergeCell ref="G325:J325"/>
    <mergeCell ref="B326:C326"/>
    <mergeCell ref="D326:E326"/>
    <mergeCell ref="G326:J326"/>
    <mergeCell ref="B327:C327"/>
    <mergeCell ref="D327:E327"/>
    <mergeCell ref="G327:J327"/>
    <mergeCell ref="A372:D372"/>
    <mergeCell ref="A373:D373"/>
    <mergeCell ref="A377:J377"/>
    <mergeCell ref="A380:G380"/>
    <mergeCell ref="B382:C382"/>
    <mergeCell ref="F386:H386"/>
    <mergeCell ref="D388:D391"/>
    <mergeCell ref="F388:F391"/>
    <mergeCell ref="A391:B391"/>
    <mergeCell ref="B394:C394"/>
    <mergeCell ref="D394:G394"/>
    <mergeCell ref="D396:G396"/>
    <mergeCell ref="D398:G398"/>
    <mergeCell ref="E399:G399"/>
    <mergeCell ref="A402:C402"/>
    <mergeCell ref="A405:G405"/>
    <mergeCell ref="A407:I407"/>
    <mergeCell ref="B411:C411"/>
    <mergeCell ref="A412:E412"/>
    <mergeCell ref="D415:E416"/>
    <mergeCell ref="B417:C417"/>
    <mergeCell ref="B418:C418"/>
    <mergeCell ref="B419:C419"/>
    <mergeCell ref="B420:C420"/>
    <mergeCell ref="B421:C421"/>
    <mergeCell ref="B422:C422"/>
    <mergeCell ref="B423:C423"/>
    <mergeCell ref="B424:C424"/>
    <mergeCell ref="C427:D427"/>
    <mergeCell ref="B428:D428"/>
    <mergeCell ref="A430:D430"/>
    <mergeCell ref="C432:F432"/>
    <mergeCell ref="B433:B436"/>
    <mergeCell ref="D433:E433"/>
    <mergeCell ref="D434:E434"/>
    <mergeCell ref="D435:E435"/>
    <mergeCell ref="D436:E436"/>
    <mergeCell ref="B437:F437"/>
    <mergeCell ref="G437:H437"/>
    <mergeCell ref="D440:E441"/>
    <mergeCell ref="F443:G443"/>
    <mergeCell ref="F444:H444"/>
    <mergeCell ref="C447:F447"/>
    <mergeCell ref="B448:B451"/>
    <mergeCell ref="D448:E448"/>
    <mergeCell ref="D449:E449"/>
    <mergeCell ref="D450:E450"/>
    <mergeCell ref="D451:E451"/>
    <mergeCell ref="B452:F452"/>
    <mergeCell ref="G452:H452"/>
    <mergeCell ref="D455:E456"/>
    <mergeCell ref="D457:E457"/>
    <mergeCell ref="A459:E459"/>
    <mergeCell ref="A461:E461"/>
    <mergeCell ref="G461:H461"/>
    <mergeCell ref="D464:E465"/>
    <mergeCell ref="C466:E466"/>
    <mergeCell ref="A468:E468"/>
    <mergeCell ref="G468:H468"/>
    <mergeCell ref="B471:C471"/>
    <mergeCell ref="C472:E472"/>
    <mergeCell ref="F476:I476"/>
    <mergeCell ref="A479:G479"/>
    <mergeCell ref="D481:E484"/>
    <mergeCell ref="F481:H481"/>
    <mergeCell ref="I481:J481"/>
    <mergeCell ref="F483:I483"/>
    <mergeCell ref="D487:E491"/>
    <mergeCell ref="F487:I487"/>
    <mergeCell ref="F489:I489"/>
    <mergeCell ref="F491:I491"/>
    <mergeCell ref="D494:E498"/>
    <mergeCell ref="F494:I494"/>
    <mergeCell ref="F496:I496"/>
    <mergeCell ref="F498:I498"/>
    <mergeCell ref="A501:G501"/>
    <mergeCell ref="D503:E503"/>
    <mergeCell ref="F503:I503"/>
    <mergeCell ref="D506:E506"/>
    <mergeCell ref="F506:I506"/>
    <mergeCell ref="D508:E508"/>
    <mergeCell ref="F508:I508"/>
    <mergeCell ref="D511:E513"/>
    <mergeCell ref="F511:I511"/>
    <mergeCell ref="F513:I513"/>
    <mergeCell ref="A515:I515"/>
    <mergeCell ref="B519:C519"/>
    <mergeCell ref="B520:C520"/>
    <mergeCell ref="B521:C521"/>
    <mergeCell ref="H521:I522"/>
    <mergeCell ref="J521:J522"/>
    <mergeCell ref="B522:C522"/>
    <mergeCell ref="B523:C523"/>
    <mergeCell ref="B524:C524"/>
    <mergeCell ref="B526:C526"/>
    <mergeCell ref="B527:C527"/>
    <mergeCell ref="B528:C528"/>
    <mergeCell ref="B529:C529"/>
    <mergeCell ref="B530:C530"/>
    <mergeCell ref="B531:C531"/>
    <mergeCell ref="A535:G535"/>
    <mergeCell ref="G537:I537"/>
    <mergeCell ref="E540:G540"/>
    <mergeCell ref="E542:G542"/>
    <mergeCell ref="E545:I545"/>
    <mergeCell ref="A548:G548"/>
    <mergeCell ref="C550:G550"/>
    <mergeCell ref="H550:J550"/>
    <mergeCell ref="D553:G553"/>
    <mergeCell ref="D554:G554"/>
    <mergeCell ref="D555:G555"/>
    <mergeCell ref="D559:I559"/>
    <mergeCell ref="A562:G562"/>
    <mergeCell ref="B564:C564"/>
    <mergeCell ref="E565:F565"/>
    <mergeCell ref="D567:E567"/>
    <mergeCell ref="H567:I567"/>
    <mergeCell ref="D570:E570"/>
    <mergeCell ref="H570:I570"/>
    <mergeCell ref="M570:N572"/>
    <mergeCell ref="O570:P572"/>
    <mergeCell ref="A575:G575"/>
    <mergeCell ref="I577:I579"/>
    <mergeCell ref="J577:J579"/>
    <mergeCell ref="A582:D582"/>
    <mergeCell ref="H582:I582"/>
    <mergeCell ref="A583:D583"/>
    <mergeCell ref="A584:D584"/>
    <mergeCell ref="A588:G588"/>
    <mergeCell ref="C593:F593"/>
    <mergeCell ref="D594:E594"/>
    <mergeCell ref="A595:A596"/>
    <mergeCell ref="C595:C596"/>
    <mergeCell ref="D595:E595"/>
    <mergeCell ref="F595:F596"/>
    <mergeCell ref="D596:E596"/>
    <mergeCell ref="C600:F600"/>
    <mergeCell ref="D601:E601"/>
    <mergeCell ref="A602:A605"/>
    <mergeCell ref="D602:E602"/>
    <mergeCell ref="D603:E603"/>
    <mergeCell ref="G603:G605"/>
    <mergeCell ref="H603:H605"/>
    <mergeCell ref="D604:E604"/>
    <mergeCell ref="D605:E605"/>
    <mergeCell ref="A608:G608"/>
    <mergeCell ref="D610:E610"/>
    <mergeCell ref="K610:L610"/>
    <mergeCell ref="A613:G613"/>
    <mergeCell ref="A615:F615"/>
    <mergeCell ref="A616:B616"/>
    <mergeCell ref="A617:B617"/>
    <mergeCell ref="A618:B618"/>
    <mergeCell ref="G618:G621"/>
    <mergeCell ref="A619:B619"/>
    <mergeCell ref="A620:B620"/>
    <mergeCell ref="A621:B621"/>
    <mergeCell ref="A622:B622"/>
    <mergeCell ref="A623:B623"/>
    <mergeCell ref="A624:B624"/>
    <mergeCell ref="A625:B625"/>
    <mergeCell ref="A626:B626"/>
    <mergeCell ref="A627:B627"/>
    <mergeCell ref="C628:E628"/>
    <mergeCell ref="A629:F629"/>
    <mergeCell ref="A630:B630"/>
    <mergeCell ref="I630:I631"/>
    <mergeCell ref="J630:J631"/>
    <mergeCell ref="A632:B632"/>
    <mergeCell ref="A633:B633"/>
    <mergeCell ref="A634:B634"/>
    <mergeCell ref="A635:B635"/>
    <mergeCell ref="H635:I635"/>
    <mergeCell ref="A636:B636"/>
    <mergeCell ref="A637:B637"/>
    <mergeCell ref="A638:B638"/>
    <mergeCell ref="A639:B639"/>
    <mergeCell ref="A640:B640"/>
    <mergeCell ref="K640:L640"/>
    <mergeCell ref="A644:G644"/>
    <mergeCell ref="A646:C646"/>
    <mergeCell ref="D648:E648"/>
    <mergeCell ref="A653:C653"/>
    <mergeCell ref="A654:E654"/>
    <mergeCell ref="A662:C662"/>
    <mergeCell ref="A673:G673"/>
    <mergeCell ref="A676:C676"/>
    <mergeCell ref="A679:C679"/>
    <mergeCell ref="A681:C681"/>
    <mergeCell ref="A684:C684"/>
    <mergeCell ref="A685:C685"/>
    <mergeCell ref="A686:C686"/>
    <mergeCell ref="A688:C688"/>
    <mergeCell ref="G691:J693"/>
    <mergeCell ref="A692:E693"/>
    <mergeCell ref="A696:G696"/>
    <mergeCell ref="A698:C698"/>
    <mergeCell ref="D698:E698"/>
    <mergeCell ref="A699:C699"/>
    <mergeCell ref="A700:C700"/>
    <mergeCell ref="A702:C702"/>
    <mergeCell ref="A704:B704"/>
    <mergeCell ref="D704:E704"/>
    <mergeCell ref="D705:E705"/>
    <mergeCell ref="B706:C706"/>
    <mergeCell ref="G706:G708"/>
    <mergeCell ref="H706:H708"/>
    <mergeCell ref="B707:C707"/>
    <mergeCell ref="D707:D708"/>
    <mergeCell ref="B708:C708"/>
    <mergeCell ref="A711:G711"/>
    <mergeCell ref="A713:E713"/>
    <mergeCell ref="A714:D714"/>
    <mergeCell ref="G714:L714"/>
    <mergeCell ref="B715:C716"/>
    <mergeCell ref="G715:L715"/>
    <mergeCell ref="G716:L716"/>
    <mergeCell ref="G717:L717"/>
    <mergeCell ref="A720:E720"/>
    <mergeCell ref="A721:D721"/>
    <mergeCell ref="G721:L721"/>
    <mergeCell ref="G722:L722"/>
    <mergeCell ref="G723:L723"/>
    <mergeCell ref="G724:L724"/>
    <mergeCell ref="I728:I730"/>
    <mergeCell ref="J728:J730"/>
    <mergeCell ref="A733:G733"/>
    <mergeCell ref="A735:C735"/>
    <mergeCell ref="A737:C737"/>
    <mergeCell ref="A738:C738"/>
    <mergeCell ref="A741:C741"/>
    <mergeCell ref="A743:C743"/>
    <mergeCell ref="H747:I747"/>
    <mergeCell ref="A749:E749"/>
    <mergeCell ref="A750:E750"/>
    <mergeCell ref="A751:E751"/>
    <mergeCell ref="A752:E752"/>
    <mergeCell ref="A753:E753"/>
    <mergeCell ref="A754:E754"/>
    <mergeCell ref="A757:G757"/>
    <mergeCell ref="A759:D759"/>
    <mergeCell ref="A760:E760"/>
    <mergeCell ref="A761:E761"/>
    <mergeCell ref="A763:D763"/>
    <mergeCell ref="A764:E764"/>
    <mergeCell ref="A765:E765"/>
    <mergeCell ref="A766:B766"/>
    <mergeCell ref="D767:E767"/>
    <mergeCell ref="E768:G768"/>
    <mergeCell ref="C770:C771"/>
    <mergeCell ref="I770:I772"/>
    <mergeCell ref="J770:J772"/>
    <mergeCell ref="C772:D772"/>
    <mergeCell ref="E772:G772"/>
    <mergeCell ref="A775:G775"/>
    <mergeCell ref="A778:A782"/>
    <mergeCell ref="A783:A785"/>
    <mergeCell ref="C784:C785"/>
    <mergeCell ref="D784:D785"/>
    <mergeCell ref="A786:A788"/>
    <mergeCell ref="C786:C787"/>
    <mergeCell ref="D786:D787"/>
    <mergeCell ref="A789:G789"/>
    <mergeCell ref="A790:A793"/>
    <mergeCell ref="A794:G794"/>
    <mergeCell ref="K795:L795"/>
    <mergeCell ref="A799:G799"/>
    <mergeCell ref="A801:G801"/>
    <mergeCell ref="A820:C820"/>
    <mergeCell ref="B823:D823"/>
    <mergeCell ref="B824:D824"/>
    <mergeCell ref="B825:D825"/>
    <mergeCell ref="B826:D826"/>
    <mergeCell ref="A829:G829"/>
    <mergeCell ref="A830:C830"/>
    <mergeCell ref="A831:B831"/>
    <mergeCell ref="E831:F831"/>
    <mergeCell ref="A833:E833"/>
    <mergeCell ref="A834:E834"/>
    <mergeCell ref="A836:E836"/>
    <mergeCell ref="A837:E837"/>
    <mergeCell ref="A840:J840"/>
    <mergeCell ref="K840:L840"/>
    <mergeCell ref="A843:G843"/>
    <mergeCell ref="A845:C845"/>
    <mergeCell ref="E847:I847"/>
    <mergeCell ref="G849:I849"/>
    <mergeCell ref="A852:G852"/>
    <mergeCell ref="A856:C856"/>
    <mergeCell ref="H856:I856"/>
    <mergeCell ref="A860:C860"/>
    <mergeCell ref="G860:I860"/>
    <mergeCell ref="A864:G864"/>
    <mergeCell ref="A867:C867"/>
    <mergeCell ref="F867:H867"/>
    <mergeCell ref="A869:C869"/>
    <mergeCell ref="F869:H869"/>
    <mergeCell ref="A870:C870"/>
    <mergeCell ref="F870:H870"/>
    <mergeCell ref="A871:C871"/>
    <mergeCell ref="A874:G874"/>
    <mergeCell ref="A882:E882"/>
    <mergeCell ref="A888:G888"/>
    <mergeCell ref="A890:D890"/>
    <mergeCell ref="A891:F891"/>
    <mergeCell ref="A893:D893"/>
    <mergeCell ref="A894:F894"/>
    <mergeCell ref="H894:J894"/>
    <mergeCell ref="A896:D897"/>
    <mergeCell ref="A899:G899"/>
    <mergeCell ref="A902:F902"/>
    <mergeCell ref="A905:D905"/>
    <mergeCell ref="H905:I905"/>
    <mergeCell ref="A906:F906"/>
    <mergeCell ref="A909:G909"/>
    <mergeCell ref="A912:B912"/>
    <mergeCell ref="E912:F912"/>
    <mergeCell ref="A913:B913"/>
    <mergeCell ref="A914:B914"/>
    <mergeCell ref="A915:B915"/>
    <mergeCell ref="A917:G917"/>
    <mergeCell ref="G919:I919"/>
    <mergeCell ref="F922:G923"/>
    <mergeCell ref="A925:D925"/>
    <mergeCell ref="G925:H925"/>
    <mergeCell ref="A928:G928"/>
    <mergeCell ref="B938:G938"/>
    <mergeCell ref="A956:G956"/>
    <mergeCell ref="A958:C958"/>
    <mergeCell ref="A959:C959"/>
    <mergeCell ref="F959:I959"/>
    <mergeCell ref="A960:C960"/>
    <mergeCell ref="F960:I960"/>
    <mergeCell ref="F961:I961"/>
    <mergeCell ref="G964:H964"/>
    <mergeCell ref="F967:H967"/>
    <mergeCell ref="I967:J967"/>
    <mergeCell ref="F968:H968"/>
    <mergeCell ref="I968:J968"/>
    <mergeCell ref="A971:G971"/>
    <mergeCell ref="A976:G976"/>
    <mergeCell ref="F978:F979"/>
    <mergeCell ref="G978:G979"/>
    <mergeCell ref="B979:E979"/>
    <mergeCell ref="B980:B985"/>
    <mergeCell ref="C980:E980"/>
    <mergeCell ref="C981:E983"/>
    <mergeCell ref="F981:F983"/>
    <mergeCell ref="G981:G983"/>
    <mergeCell ref="H981:H983"/>
    <mergeCell ref="I981:I983"/>
    <mergeCell ref="J982:J984"/>
    <mergeCell ref="K982:K984"/>
    <mergeCell ref="C984:E985"/>
    <mergeCell ref="F984:F985"/>
    <mergeCell ref="G984:G985"/>
    <mergeCell ref="H984:H985"/>
    <mergeCell ref="I984:I985"/>
    <mergeCell ref="C986:E986"/>
    <mergeCell ref="A993:G993"/>
    <mergeCell ref="A996:G996"/>
    <mergeCell ref="B997:F997"/>
    <mergeCell ref="A1002:G1002"/>
    <mergeCell ref="A1004:B1004"/>
    <mergeCell ref="A1007:D1007"/>
    <mergeCell ref="A1019:G1019"/>
    <mergeCell ref="F1027:J1027"/>
    <mergeCell ref="A1028:E1028"/>
    <mergeCell ref="A1031:G1031"/>
    <mergeCell ref="A1034:D1034"/>
    <mergeCell ref="A1036:B1036"/>
    <mergeCell ref="A1038:D1038"/>
    <mergeCell ref="A1041:G1041"/>
    <mergeCell ref="A1043:D1043"/>
    <mergeCell ref="A1045:D1045"/>
    <mergeCell ref="A1046:E1046"/>
    <mergeCell ref="A1054:G1054"/>
    <mergeCell ref="A1056:C1056"/>
    <mergeCell ref="A1058:C1058"/>
    <mergeCell ref="A1060:C1060"/>
    <mergeCell ref="A1063:G1063"/>
    <mergeCell ref="F1073:H1073"/>
    <mergeCell ref="D1075:F1075"/>
    <mergeCell ref="G1075:J1075"/>
    <mergeCell ref="A1080:G1080"/>
    <mergeCell ref="A1082:B1082"/>
    <mergeCell ref="E1082:F1082"/>
    <mergeCell ref="A1085:B1085"/>
    <mergeCell ref="E1085:F1085"/>
    <mergeCell ref="A1089:G1089"/>
    <mergeCell ref="A1094:G1094"/>
    <mergeCell ref="A1096:D1096"/>
    <mergeCell ref="A1097:D1097"/>
    <mergeCell ref="A1101:G1101"/>
    <mergeCell ref="A1105:I1105"/>
    <mergeCell ref="A1109:C1109"/>
    <mergeCell ref="A1110:C1111"/>
    <mergeCell ref="D1110:D1111"/>
    <mergeCell ref="E1110:E1111"/>
    <mergeCell ref="A1124:I1124"/>
    <mergeCell ref="F1127:H1128"/>
    <mergeCell ref="I1127:I1128"/>
    <mergeCell ref="J1127:J1128"/>
    <mergeCell ref="A1128:C1129"/>
    <mergeCell ref="D1128:D1129"/>
    <mergeCell ref="E1128:E1129"/>
    <mergeCell ref="F1129:H1130"/>
    <mergeCell ref="I1129:I1130"/>
    <mergeCell ref="J1129:J1130"/>
    <mergeCell ref="A1130:C1130"/>
    <mergeCell ref="A1132:C1133"/>
    <mergeCell ref="D1132:D1133"/>
    <mergeCell ref="E1132:E1133"/>
    <mergeCell ref="F1133:H1134"/>
    <mergeCell ref="I1133:I1134"/>
    <mergeCell ref="J1133:J1134"/>
    <mergeCell ref="A1140:L1140"/>
    <mergeCell ref="A1143:G1143"/>
    <mergeCell ref="A1145:E1146"/>
    <mergeCell ref="F1145:H1145"/>
    <mergeCell ref="I1145:I1146"/>
    <mergeCell ref="A1147:E1147"/>
    <mergeCell ref="A1148:E1148"/>
    <mergeCell ref="A1149:E1149"/>
    <mergeCell ref="A1150:E1150"/>
    <mergeCell ref="A1152:E1152"/>
    <mergeCell ref="A1153:E1153"/>
    <mergeCell ref="A1154:E1154"/>
    <mergeCell ref="A1155:E1155"/>
    <mergeCell ref="A1156:E1156"/>
    <mergeCell ref="A1157:E1157"/>
    <mergeCell ref="A1159:E1159"/>
    <mergeCell ref="A1160:E1160"/>
    <mergeCell ref="A1161:E1161"/>
    <mergeCell ref="A1162:E1162"/>
    <mergeCell ref="A1164:E1164"/>
    <mergeCell ref="A1165:E1165"/>
    <mergeCell ref="A1166:E1166"/>
    <mergeCell ref="A1167:E1167"/>
    <mergeCell ref="A1169:E1169"/>
    <mergeCell ref="A1170:E1170"/>
    <mergeCell ref="A1173:G1173"/>
    <mergeCell ref="A1175:E1176"/>
    <mergeCell ref="F1175:H1175"/>
    <mergeCell ref="I1175:I1176"/>
    <mergeCell ref="A1177:E1177"/>
    <mergeCell ref="A1178:E1178"/>
    <mergeCell ref="A1179:E1179"/>
    <mergeCell ref="A1180:E1180"/>
    <mergeCell ref="A1181:E1181"/>
    <mergeCell ref="A1182:E1182"/>
    <mergeCell ref="A1183:E1183"/>
    <mergeCell ref="A1185:E1185"/>
    <mergeCell ref="A1186:E1186"/>
    <mergeCell ref="A1187:E1187"/>
    <mergeCell ref="A1188:E1188"/>
    <mergeCell ref="A1189:E1189"/>
    <mergeCell ref="A1191:G1191"/>
    <mergeCell ref="A1193:E1194"/>
    <mergeCell ref="F1193:H1193"/>
    <mergeCell ref="I1193:I1194"/>
    <mergeCell ref="A1195:E1195"/>
    <mergeCell ref="A1196:E1196"/>
    <mergeCell ref="A1197:E1197"/>
    <mergeCell ref="A1198:E1198"/>
    <mergeCell ref="A1199:E1199"/>
    <mergeCell ref="A1200:E1200"/>
    <mergeCell ref="A1203:G1203"/>
    <mergeCell ref="A1205:E1206"/>
    <mergeCell ref="F1205:H1205"/>
    <mergeCell ref="I1205:I1206"/>
    <mergeCell ref="A1207:E1207"/>
    <mergeCell ref="A1208:E1208"/>
    <mergeCell ref="A1210:E1210"/>
    <mergeCell ref="A1211:E1211"/>
    <mergeCell ref="A1212:E1212"/>
    <mergeCell ref="A1213:E1213"/>
    <mergeCell ref="A1216:G1216"/>
    <mergeCell ref="A1220:B1220"/>
    <mergeCell ref="A1222:B1222"/>
    <mergeCell ref="F1222:G1222"/>
    <mergeCell ref="C1224:C1225"/>
    <mergeCell ref="D1224:D1225"/>
    <mergeCell ref="A1228:C1228"/>
    <mergeCell ref="A1231:G1231"/>
    <mergeCell ref="A1233:B1233"/>
    <mergeCell ref="A1236:G1236"/>
    <mergeCell ref="A1238:B1238"/>
    <mergeCell ref="A1241:G1241"/>
    <mergeCell ref="A1250:D1250"/>
    <mergeCell ref="I1250:I1256"/>
    <mergeCell ref="J1250:J1256"/>
    <mergeCell ref="G1251:G1255"/>
    <mergeCell ref="G1257:G1260"/>
    <mergeCell ref="I1261:I1265"/>
    <mergeCell ref="J1261:J1265"/>
    <mergeCell ref="G1283:G1286"/>
    <mergeCell ref="G1288:G1291"/>
    <mergeCell ref="G1293:G1294"/>
    <mergeCell ref="G1296:G1298"/>
    <mergeCell ref="A1307:G1307"/>
    <mergeCell ref="B1310:E1310"/>
    <mergeCell ref="B1313:E1313"/>
    <mergeCell ref="A1318:G1318"/>
    <mergeCell ref="A1323:G1323"/>
    <mergeCell ref="A1328:G1328"/>
    <mergeCell ref="A1330:C1330"/>
    <mergeCell ref="A1332:C1332"/>
    <mergeCell ref="A1335:G1335"/>
    <mergeCell ref="A1352:G1352"/>
    <mergeCell ref="A1354:B1354"/>
    <mergeCell ref="A1357:G1357"/>
    <mergeCell ref="A1359:B1359"/>
  </mergeCells>
  <dataValidations count="55">
    <dataValidation allowBlank="true" operator="equal" showDropDown="false" showErrorMessage="true" showInputMessage="false" sqref="F17" type="list">
      <formula1>"Individuel,EARL,GAEC,SCEA,GFA,Autre"</formula1>
      <formula2>0</formula2>
    </dataValidation>
    <dataValidation allowBlank="true" operator="equal" showDropDown="false" showErrorMessage="true" showInputMessage="false" sqref="H396 H398 E427:E428 D443 F459 F461 F468 J483 J496 J498 J513 I518:I520 I523:I526 J545 D651 D653 D657 D660 D662 D664 D666 H670 D681 E691 D738 D743 F819 E823:E826 F833:F834 F836:F837 J847 J849 D871 F884 E905 C912 C914:C915 D922:D923 E925 D951:D953 D964 J973 F980:F986 B989 D995 D999 E1006:E1007 D1022:D1025 D1027 C1036 E1036 E1045 E1049 E1051 D1058 G1071 D1073 C1075 C1077 C1085 D1315 D1325 D1340 D1343 F1350:F1351" type="list">
      <formula1>"oui,non"</formula1>
      <formula2>0</formula2>
    </dataValidation>
    <dataValidation allowBlank="true" operator="equal" showDropDown="false" showErrorMessage="true" showInputMessage="false" sqref="E113:E120 E122:E125 E127:E131 E133:E142 E144:E148 J158:J172 D159:D162 D164:D171 D173:D187 D189:D197" type="list">
      <formula1>"Locale,non-locale"</formula1>
      <formula2>0</formula2>
    </dataValidation>
    <dataValidation allowBlank="true" operator="equal" showDropDown="false" showErrorMessage="true" showInputMessage="false" sqref="F372 J407 F412 D679 J708 D867:D870 F877:F883 B973 E973 E1010 E1016 D1108:D1110 I1108:I1113 D1112 I1114:I1116 B1120 D1120 F1120 H1120 D1127:D1128 I1127 I1129 D1130:D1132 I1131:I1133 D1134:D1135 I1137" type="list">
      <formula1>"oui,non,NC"</formula1>
      <formula2>0</formula2>
    </dataValidation>
    <dataValidation allowBlank="true" operator="equal" showDropDown="false" showErrorMessage="true" showInputMessage="false" sqref="J476" type="list">
      <formula1>"oui,critère principal,non,critère secondaire ou absent"</formula1>
      <formula2>0</formula2>
    </dataValidation>
    <dataValidation allowBlank="true" operator="equal" showDropDown="false" showErrorMessage="true" showInputMessage="false" sqref="B427" type="list">
      <formula1>"Critères principaux,Critères secondaires,Pas pris en compte,NC"</formula1>
      <formula2>0</formula2>
    </dataValidation>
    <dataValidation allowBlank="true" operator="equal" showDropDown="false" showErrorMessage="true" showInputMessage="false" sqref="E1033" type="list">
      <formula1>"0,1,2,3,4"</formula1>
      <formula2>0</formula2>
    </dataValidation>
    <dataValidation allowBlank="true" operator="equal" showDropDown="false" showErrorMessage="true" showInputMessage="false" sqref="F457 I461 F466 I468 H557 B1103" type="none">
      <formula1>0</formula1>
      <formula2>0</formula2>
    </dataValidation>
    <dataValidation allowBlank="true" operator="equal" showDropDown="false" showErrorMessage="true" showInputMessage="false" sqref="J537" type="list">
      <formula1>"sans phyto entretien écologique,sans phyto entretien intensif,présence phyto,aucune zone non productive"</formula1>
      <formula2>0</formula2>
    </dataValidation>
    <dataValidation allowBlank="true" operator="equal" showDropDown="false" showErrorMessage="true" showInputMessage="false" sqref="H553:H555" type="list">
      <formula1>"Oui,Non"</formula1>
      <formula2>0</formula2>
    </dataValidation>
    <dataValidation allowBlank="true" operator="equal" showDropDown="false" showErrorMessage="true" showInputMessage="false" sqref="B564:C564" type="list">
      <formula1>"pas d'élevage,herbivore,monogastrique"</formula1>
      <formula2>0</formula2>
    </dataValidation>
    <dataValidation allowBlank="true" operator="equal" showDropDown="false" showErrorMessage="true" showInputMessage="false" sqref="D590" type="list">
      <formula1>"Oui,Non"</formula1>
      <formula2>0</formula2>
    </dataValidation>
    <dataValidation allowBlank="true" operator="equal" showDropDown="false" showErrorMessage="true" showInputMessage="false" sqref="D700" type="list">
      <formula1>"Totale et systématique,Partielle ou occasionnelle,Aucune alternance"</formula1>
      <formula2>0</formula2>
    </dataValidation>
    <dataValidation allowBlank="true" operator="equal" showDropDown="false" showErrorMessage="true" showInputMessage="false" sqref="C704" type="list">
      <formula1>"Alternance,Pas d'alternance"</formula1>
      <formula2>0</formula2>
    </dataValidation>
    <dataValidation allowBlank="true" operator="equal" showDropDown="false" showErrorMessage="true" showInputMessage="false" sqref="F704" type="list">
      <formula1>"Application systématique,Traitement au cas par cas"</formula1>
      <formula2>0</formula2>
    </dataValidation>
    <dataValidation allowBlank="true" operator="equal" showDropDown="false" showErrorMessage="true" showInputMessage="false" sqref="H706:H708" type="list">
      <formula1>"0,2,4"</formula1>
      <formula2>0</formula2>
    </dataValidation>
    <dataValidation allowBlank="true" operator="equal" showDropDown="false" showErrorMessage="true" showInputMessage="false" sqref="D727" type="list">
      <formula1>"Concerné par cet item,Non concerné"</formula1>
      <formula2>0</formula2>
    </dataValidation>
    <dataValidation allowBlank="true" operator="equal" showDropDown="false" showErrorMessage="true" showInputMessage="false" sqref="H603:H605" type="list">
      <formula1>"0,2,4,6,8"</formula1>
      <formula2>0</formula2>
    </dataValidation>
    <dataValidation allowBlank="true" operator="equal" showDropDown="false" showErrorMessage="true" showInputMessage="false" sqref="J770:J772" type="list">
      <formula1>"0,1,2,3"</formula1>
      <formula2>0</formula2>
    </dataValidation>
    <dataValidation allowBlank="true" operator="equal" showDropDown="false" showErrorMessage="true" showInputMessage="false" sqref="E890 E893 E897" type="list">
      <formula1>"oui ,non"</formula1>
      <formula2>0</formula2>
    </dataValidation>
    <dataValidation allowBlank="true" operator="equal" showDropDown="false" showErrorMessage="true" showInputMessage="false" sqref="D959:D960 J959:J962 D967" type="list">
      <formula1>"oui,non "</formula1>
      <formula2>0</formula2>
    </dataValidation>
    <dataValidation allowBlank="true" operator="equal" showDropDown="false" showErrorMessage="true" showInputMessage="false" sqref="G980:G981 G986" type="list">
      <formula1>"tri ou recyclage,autre (pas de tri,brulage),pas concerné"</formula1>
      <formula2>0</formula2>
    </dataValidation>
    <dataValidation allowBlank="true" operator="equal" showDropDown="false" showErrorMessage="true" showInputMessage="false" sqref="G982:G983 G985" type="list">
      <formula1>"tri ou recyclage,autre"</formula1>
      <formula2>0</formula2>
    </dataValidation>
    <dataValidation allowBlank="true" operator="equal" showDropDown="false" showErrorMessage="true" showInputMessage="false" sqref="G984" type="list">
      <formula1>"tri ou recyclage,autre (pas de tri,brulage),pas concerné"</formula1>
      <formula2>0</formula2>
    </dataValidation>
    <dataValidation allowBlank="true" operator="equal" showDropDown="false" showErrorMessage="true" showInputMessage="false" sqref="E1015" type="list">
      <formula1>"variées,répétitives,NC"</formula1>
      <formula2>0</formula2>
    </dataValidation>
    <dataValidation allowBlank="true" operator="equal" showDropDown="false" showErrorMessage="true" showInputMessage="false" sqref="E1038" type="list">
      <formula1>"0,-1,-2,-3,-4"</formula1>
      <formula2>0</formula2>
    </dataValidation>
    <dataValidation allowBlank="true" operator="equal" showDropDown="false" showErrorMessage="true" showInputMessage="false" sqref="E1043" type="list">
      <formula1>"0,1,2"</formula1>
      <formula2>0</formula2>
    </dataValidation>
    <dataValidation allowBlank="true" operator="equal" showDropDown="false" showErrorMessage="true" showInputMessage="false" sqref="C1082" type="list">
      <formula1>"oui démarche certifiée,oui démarche non certifiée,non"</formula1>
      <formula2>0</formula2>
    </dataValidation>
    <dataValidation allowBlank="true" operator="equal" showDropDown="false" showErrorMessage="true" showInputMessage="false" sqref="C1091" type="list">
      <formula1>"0,1,2,3,4,5,6"</formula1>
      <formula2>0</formula2>
    </dataValidation>
    <dataValidation allowBlank="true" operator="equal" showDropDown="false" showErrorMessage="true" showInputMessage="false" sqref="D1228" type="list">
      <formula1>"0,1,2,3,4,5"</formula1>
      <formula2>0</formula2>
    </dataValidation>
    <dataValidation allowBlank="true" operator="equal" showDropDown="false" showErrorMessage="true" showInputMessage="false" sqref="D1312" type="list">
      <formula1>"absence de contrat,adhésion coop,contrat longue durée,contrat solidaire"</formula1>
      <formula2>0</formula2>
    </dataValidation>
    <dataValidation allowBlank="true" operator="equal" showDropDown="false" showErrorMessage="true" showInputMessage="false" sqref="D1337" type="list">
      <formula1>"Existence quasi-certaine,Existence probable,Existence souhaitée si possible,Disparition probable "</formula1>
      <formula2>0</formula2>
    </dataValidation>
    <dataValidation allowBlank="true" operator="equal" showDropDown="false" showErrorMessage="true" showInputMessage="false" sqref="D1346" type="list">
      <formula1>"Difficile,Normale,Bonne"</formula1>
      <formula2>0</formula2>
    </dataValidation>
    <dataValidation allowBlank="true" operator="equal" showDropDown="false" showErrorMessage="true" showInputMessage="false" sqref="I437 I452 E1096:E1097" type="list">
      <formula1>"0,1,2,3"</formula1>
      <formula2>0</formula2>
    </dataValidation>
    <dataValidation allowBlank="true" operator="equal" showDropDown="false" showErrorMessage="true" showInputMessage="false" sqref="J487" type="list">
      <formula1>"0 à 2 ans,3 à 5 ans,6 à 7 ans,plus de 7 ans,NC"</formula1>
      <formula2>0</formula2>
    </dataValidation>
    <dataValidation allowBlank="true" operator="equal" showDropDown="false" showErrorMessage="true" showInputMessage="false" sqref="J489" type="list">
      <formula1>"0 à 1 an,1 à 2 ans,2 à 3 ans,3 ans et +,NC"</formula1>
      <formula2>0</formula2>
    </dataValidation>
    <dataValidation allowBlank="true" operator="equal" showDropDown="false" showErrorMessage="true" showInputMessage="false" sqref="J491" type="list">
      <formula1>"Sol nu ou jachère,Couvert à vocation agronomique,NC"</formula1>
      <formula2>0</formula2>
    </dataValidation>
    <dataValidation allowBlank="true" operator="equal" showDropDown="false" showErrorMessage="true" showInputMessage="false" sqref="H550:J550" type="list">
      <formula1>"Oui de manière significative,Oui de manière non significative,Non"</formula1>
      <formula2>0</formula2>
    </dataValidation>
    <dataValidation allowBlank="false" operator="between" showDropDown="false" showErrorMessage="true" showInputMessage="false" sqref="D648" type="list">
      <formula1>"Maraichage sous serres - Cultures florales sous serres - Arboriculture,Systèmes en grandes cultures avec cultures irriguées dominantes de maïs,soja,pomme de terre ou légumes plein champ,Autres cultures irriguées,Pas de culture irriguée - Non concerné"</formula1>
      <formula2>0</formula2>
    </dataValidation>
    <dataValidation allowBlank="true" operator="equal" showDropDown="false" showErrorMessage="true" showInputMessage="false" sqref="E901" type="list">
      <formula1>"Oui sur plus de 50% de la SAU,Oui sur moins de 50% de la SAU,Non"</formula1>
      <formula2>0</formula2>
    </dataValidation>
    <dataValidation allowBlank="true" operator="equal" showDropDown="false" showErrorMessage="true" showInputMessage="false" sqref="H394" type="list">
      <formula1>"1 famille,2 ou 3 familles,4 ou 5 familles,6 familles et +"</formula1>
      <formula2>0</formula2>
    </dataValidation>
    <dataValidation allowBlank="true" operator="between" showDropDown="false" showErrorMessage="true" showInputMessage="false" sqref="F720" type="list">
      <formula1>$F$721:$F$724</formula1>
      <formula2>0</formula2>
    </dataValidation>
    <dataValidation allowBlank="true" operator="between" showDropDown="false" showErrorMessage="true" showInputMessage="false" sqref="F713" type="list">
      <formula1>$F$714:$F$717</formula1>
      <formula2>0</formula2>
    </dataValidation>
    <dataValidation allowBlank="true" operator="equal" showDropDown="false" showErrorMessage="true" showInputMessage="false" sqref="B804:B815" type="list">
      <formula1>"Fongicide (F),Herbicide (H),Insecticide (I)"</formula1>
      <formula2>0</formula2>
    </dataValidation>
    <dataValidation allowBlank="true" operator="equal" showDropDown="false" showErrorMessage="true" showInputMessage="false" sqref="B322:C327" type="list">
      <formula1>"rotation courte (=&lt;3 ans),rotation longues,NC"</formula1>
      <formula2>0</formula2>
    </dataValidation>
    <dataValidation allowBlank="true" operator="equal" showDropDown="false" showErrorMessage="true" showInputMessage="false" sqref="D322:E327 B770 E1014 E1048" type="list">
      <formula1>"oui,non,NC"</formula1>
      <formula2>0</formula2>
    </dataValidation>
    <dataValidation allowBlank="true" operator="equal" showDropDown="false" showErrorMessage="true" showInputMessage="false" sqref="F19 B21 F21 F472 D688 D934 D937 E944:E945 E947:E948" type="list">
      <formula1>"oui,non"</formula1>
      <formula2>0</formula2>
    </dataValidation>
    <dataValidation allowBlank="true" operator="equal" showDropDown="false" showErrorMessage="true" showInputMessage="false" sqref="G1065 G1068" type="list">
      <formula1>"Non,Oui,en tant que simple adhérent,Oui,en tant que responsable"</formula1>
      <formula2>0</formula2>
    </dataValidation>
    <dataValidation allowBlank="true" operator="between" showDropDown="false" showErrorMessage="true" showInputMessage="false" sqref="J391" type="list">
      <formula1>"0,1,2,3,4,5"</formula1>
      <formula2>0</formula2>
    </dataValidation>
    <dataValidation allowBlank="true" operator="equal" showDropDown="false" showErrorMessage="true" showInputMessage="false" sqref="J494" type="list">
      <formula1>"1 famille,2 familles,3 familles,4 familles et +"</formula1>
      <formula2>0</formula2>
    </dataValidation>
    <dataValidation allowBlank="true" operator="equal" showDropDown="false" showErrorMessage="true" showInputMessage="false" sqref="D698" type="list">
      <formula1>"Oui les 2,Oui seulement des produits phyto,Oui seulement des produits véto,Non"</formula1>
      <formula2>0</formula2>
    </dataValidation>
    <dataValidation allowBlank="true" operator="equal" showDropDown="false" showErrorMessage="true" showInputMessage="false" sqref="B19" type="list">
      <formula1>"0 - pas d'élevage,1 - monogastrique,2 - herbivore"</formula1>
      <formula2>0</formula2>
    </dataValidation>
    <dataValidation allowBlank="true" operator="between" showDropDown="false" showErrorMessage="true" showInputMessage="false" sqref="F38" type="list">
      <formula1>"0-25,26-35,36-45,46-55,56-65,66+"</formula1>
      <formula2>0</formula2>
    </dataValidation>
    <dataValidation allowBlank="true" error="Le code exploitation doit être un code à 6 chiffres qui ne commence pas par 0." errorTitle="ERREUR DE CODIFICATION" operator="between" prompt="Indiquer un code à 6 chiffres pour identifier l'exploitation dans les bases de données" showDropDown="false" showErrorMessage="true" showInputMessage="true" sqref="B5" type="whole">
      <formula1>100000</formula1>
      <formula2>999999</formula2>
    </dataValidation>
    <dataValidation allowBlank="true" operator="between" showDropDown="false" showErrorMessage="true" showInputMessage="false" sqref="F8" type="whole">
      <formula1>2000</formula1>
      <formula2>9999</formula2>
    </dataValidation>
  </dataValidations>
  <hyperlinks>
    <hyperlink ref="I50" display="Réfèrence UGB" location="'Tables de conversion'!A5"/>
    <hyperlink ref="E230" display="reference" location="'Tables de conversion'!A47"/>
    <hyperlink ref="G335" display="référence" location="'Tables de conversion'!A69"/>
    <hyperlink ref="L346" r:id="rId4h" display="https://occitanie.chambre-agriculture.fr/fileadmin/user_upload/National/FAL_commun/publications/Occitanie/18_Teneur_Azote_tab.pdf"/>
    <hyperlink ref="G395" display="Référence" location="'Tables de conversion'!A870"/>
    <hyperlink ref="G397" display="Référence" location="'Tables de conversion'!A870"/>
    <hyperlink ref="G400" display="Référence" location="'Tables de conversion'!A870"/>
    <hyperlink ref="E467" display="Référence" location="'Tables de conversion'!A870"/>
    <hyperlink ref="I495" display="Référence" location="'Tables de conversion'!A870"/>
    <hyperlink ref="I497" display="Référence" location="'Tables de conversion'!A870"/>
    <hyperlink ref="C516" display="Référence" location="'Tables de conversion'!A104"/>
    <hyperlink ref="A823" display="Référence" location="'Tables de conversion'!A1100"/>
  </hyperlinks>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legacyDrawing r:id="rIdvml"/>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tabColor rgb="FF333333"/>
      <pageSetUpPr fitToPage="true"/>
    </sheetPr>
  </sheetPr>
  <dimension ref="A1"/>
  <sheetViews>
    <sheetView showFormulas="false" showGridLines="true" showRowColHeaders="true" showZeros="true" rightToLeft="false" tabSelected="0" showOutlineSymbols="true" defaultGridColor="true" view="normal" topLeftCell="A463" colorId="64" zoomScale="100" zoomScaleNormal="100" zoomScalePageLayoutView="100" workbookViewId="0">
      <selection pane="topLeft" activeCell="D479" activeCellId="0" sqref="D479"/>
    </sheetView>
  </sheetViews>
  <sheetFormatPr defaultRowHeight="15.0" baseColWidth="10" outlineLevelCol="1"/>
  <cols>
    <col min="1" max="1" width="24.53" hidden="false" outlineLevel="1" customWidth="1"/>
    <col min="2" max="2" width="28.83" hidden="false" outlineLevel="1" customWidth="1"/>
    <col min="3" max="3" width="12.83" hidden="false" outlineLevel="1" customWidth="1"/>
    <col min="4" max="4" width="12.4" hidden="false" outlineLevel="1" customWidth="1"/>
    <col min="5" max="5" width="10.98" hidden="false" outlineLevel="1" customWidth="1"/>
    <col min="6" max="6" width="10.69" hidden="false" outlineLevel="1" customWidth="1"/>
    <col min="7" max="7" width="10.69" hidden="false" outlineLevel="1" customWidth="1"/>
    <col min="8" max="8" width="10.69" hidden="false" outlineLevel="1" customWidth="1"/>
    <col min="9" max="9" width="10.69" hidden="false" outlineLevel="1" customWidth="1"/>
    <col min="10" max="10" width="10.69" hidden="false" outlineLevel="1" customWidth="1"/>
    <col min="11" max="11" width="7.84" hidden="false" outlineLevel="1" customWidth="1"/>
    <col min="12" max="12" width="10.69" hidden="false" outlineLevel="1" customWidth="1"/>
    <col min="13" max="13" width="10.27" hidden="false" outlineLevel="1" customWidth="1"/>
    <col min="14" max="14" width="10.69" hidden="false" outlineLevel="1" customWidth="1"/>
    <col min="15" max="15" width="82.89" hidden="false" outlineLevel="1" customWidth="1"/>
    <col min="16" max="16" width="10.69" hidden="false" outlineLevel="1" customWidth="1"/>
    <col min="17" max="17" width="10.69" hidden="false" outlineLevel="1" customWidth="1"/>
    <col min="18" max="18" width="10.69" hidden="false" outlineLevel="1" customWidth="1"/>
    <col min="19" max="19" width="10.69" hidden="false" outlineLevel="1" customWidth="1"/>
    <col min="20" max="20" width="10.69" hidden="false" outlineLevel="1" customWidth="1"/>
    <col min="21" max="21" width="10.69" hidden="false" outlineLevel="1" customWidth="1"/>
    <col min="22" max="22" width="10.69" hidden="false" outlineLevel="1" customWidth="1"/>
    <col min="23" max="23" width="10.69" hidden="false" outlineLevel="1" customWidth="1"/>
    <col min="24" max="24" width="10.69" hidden="false" outlineLevel="1" customWidth="1"/>
    <col min="25" max="25" width="10.69" hidden="false" outlineLevel="1" customWidth="1"/>
    <col min="26" max="26" width="10.69" hidden="false" outlineLevel="1" customWidth="1"/>
    <col min="27" max="27" width="10.69" hidden="false" outlineLevel="1" customWidth="1"/>
    <col min="28" max="28" width="10.69" hidden="false" outlineLevel="1" customWidth="1"/>
    <col min="29" max="29" width="10.69" hidden="false" outlineLevel="1" customWidth="1"/>
    <col min="30" max="30" width="10.69" hidden="false" outlineLevel="1" customWidth="1"/>
    <col min="31" max="31" width="10.69" hidden="false" outlineLevel="1" customWidth="1"/>
    <col min="32" max="32" width="10.69" hidden="false" outlineLevel="1" customWidth="1"/>
    <col min="33" max="33" width="10.69" hidden="false" outlineLevel="1" customWidth="1"/>
    <col min="34" max="34" width="10.69" hidden="false" outlineLevel="1" customWidth="1"/>
    <col min="35" max="35" width="10.69" hidden="false" outlineLevel="1" customWidth="1"/>
    <col min="36" max="36" width="10.69" hidden="false" outlineLevel="1" customWidth="1"/>
    <col min="37" max="37" width="10.69" hidden="false" outlineLevel="1" customWidth="1"/>
    <col min="38" max="38" width="10.69" hidden="false" outlineLevel="1" customWidth="1"/>
    <col min="39" max="39" width="10.69" hidden="false" outlineLevel="1" customWidth="1"/>
    <col min="40" max="40" width="10.69" hidden="false" outlineLevel="1" customWidth="1"/>
    <col min="41" max="41" width="10.69" hidden="false" outlineLevel="1" customWidth="1"/>
    <col min="42" max="42" width="10.69" hidden="false" outlineLevel="1" customWidth="1"/>
    <col min="43" max="43" width="10.69" hidden="false" outlineLevel="1" customWidth="1"/>
    <col min="44" max="44" width="10.69" hidden="false" outlineLevel="1" customWidth="1"/>
    <col min="45" max="45" width="10.69" hidden="false" outlineLevel="1" customWidth="1"/>
    <col min="46" max="46" width="10.69" hidden="false" outlineLevel="1" customWidth="1"/>
    <col min="47" max="47" width="10.69" hidden="false" outlineLevel="1" customWidth="1"/>
    <col min="48" max="48" width="10.69" hidden="false" outlineLevel="1" customWidth="1"/>
    <col min="49" max="49" width="10.69" hidden="false" outlineLevel="1" customWidth="1"/>
    <col min="50" max="50" width="10.69" hidden="false" outlineLevel="1" customWidth="1"/>
    <col min="51" max="51" width="10.69" hidden="false" outlineLevel="1" customWidth="1"/>
    <col min="52" max="52" width="10.69" hidden="false" outlineLevel="1" customWidth="1"/>
    <col min="53" max="53" width="10.69" hidden="false" outlineLevel="1" customWidth="1"/>
    <col min="54" max="54" width="10.69" hidden="false" outlineLevel="1" customWidth="1"/>
    <col min="55" max="55" width="10.69" hidden="false" outlineLevel="1" customWidth="1"/>
    <col min="56" max="56" width="10.69" hidden="false" outlineLevel="1" customWidth="1"/>
    <col min="57" max="57" width="10.69" hidden="false" outlineLevel="1" customWidth="1"/>
    <col min="58" max="58" width="10.69" hidden="false" outlineLevel="1" customWidth="1"/>
    <col min="59" max="59" width="10.69" hidden="false" outlineLevel="1" customWidth="1"/>
    <col min="60" max="60" width="10.69" hidden="false" outlineLevel="1" customWidth="1"/>
    <col min="61" max="61" width="10.69" hidden="false" outlineLevel="1" customWidth="1"/>
    <col min="62" max="62" width="10.69" hidden="false" outlineLevel="1" customWidth="1"/>
    <col min="63" max="63" width="10.69" hidden="false" outlineLevel="1" customWidth="1"/>
    <col min="64" max="64" width="10.69" hidden="false" outlineLevel="1" customWidth="1"/>
    <col min="65" max="65" width="10.69" hidden="false" outlineLevel="1" customWidth="1"/>
    <col min="66" max="66" width="10.69" hidden="false" outlineLevel="1" customWidth="1"/>
    <col min="67" max="67" width="10.69" hidden="false" outlineLevel="1" customWidth="1"/>
    <col min="68" max="68" width="10.69" hidden="false" outlineLevel="1" customWidth="1"/>
    <col min="69" max="69" width="10.69" hidden="false" outlineLevel="1" customWidth="1"/>
    <col min="70" max="70" width="10.69" hidden="false" outlineLevel="1" customWidth="1"/>
    <col min="71" max="71" width="10.69" hidden="false" outlineLevel="1" customWidth="1"/>
    <col min="72" max="72" width="10.69" hidden="false" outlineLevel="1" customWidth="1"/>
    <col min="73" max="73" width="10.69" hidden="false" outlineLevel="1" customWidth="1"/>
    <col min="74" max="74" width="10.69" hidden="false" outlineLevel="1" customWidth="1"/>
    <col min="75" max="75" width="10.69" hidden="false" outlineLevel="1" customWidth="1"/>
    <col min="76" max="76" width="10.69" hidden="false" outlineLevel="1" customWidth="1"/>
    <col min="77" max="77" width="10.69" hidden="false" outlineLevel="1" customWidth="1"/>
    <col min="78" max="78" width="10.69" hidden="false" outlineLevel="1" customWidth="1"/>
    <col min="79" max="79" width="10.69" hidden="false" outlineLevel="1" customWidth="1"/>
    <col min="80" max="80" width="10.69" hidden="false" outlineLevel="1" customWidth="1"/>
    <col min="81" max="81" width="10.69" hidden="false" outlineLevel="1" customWidth="1"/>
    <col min="82" max="82" width="10.69" hidden="false" outlineLevel="1" customWidth="1"/>
    <col min="83" max="83" width="10.69" hidden="false" outlineLevel="1" customWidth="1"/>
    <col min="84" max="84" width="10.69" hidden="false" outlineLevel="1" customWidth="1"/>
    <col min="85" max="85" width="10.69" hidden="false" outlineLevel="1" customWidth="1"/>
    <col min="86" max="86" width="10.69" hidden="false" outlineLevel="1" customWidth="1"/>
    <col min="87" max="87" width="10.69" hidden="false" outlineLevel="1" customWidth="1"/>
    <col min="88" max="88" width="10.69" hidden="false" outlineLevel="1" customWidth="1"/>
    <col min="89" max="89" width="10.69" hidden="false" outlineLevel="1" customWidth="1"/>
    <col min="90" max="90" width="10.69" hidden="false" outlineLevel="1" customWidth="1"/>
    <col min="91" max="91" width="10.69" hidden="false" outlineLevel="1" customWidth="1"/>
    <col min="92" max="92" width="10.69" hidden="false" outlineLevel="1" customWidth="1"/>
    <col min="93" max="93" width="10.69" hidden="false" outlineLevel="1" customWidth="1"/>
    <col min="94" max="94" width="10.69" hidden="false" outlineLevel="1" customWidth="1"/>
    <col min="95" max="95" width="10.69" hidden="false" outlineLevel="1" customWidth="1"/>
    <col min="96" max="96" width="10.69" hidden="false" outlineLevel="1" customWidth="1"/>
    <col min="97" max="97" width="10.69" hidden="false" outlineLevel="1" customWidth="1"/>
    <col min="98" max="98" width="10.69" hidden="false" outlineLevel="1" customWidth="1"/>
    <col min="99" max="99" width="10.69" hidden="false" outlineLevel="1" customWidth="1"/>
    <col min="100" max="100" width="10.69" hidden="false" outlineLevel="1" customWidth="1"/>
    <col min="101" max="101" width="10.69" hidden="false" outlineLevel="1" customWidth="1"/>
    <col min="102" max="102" width="10.69" hidden="false" outlineLevel="1" customWidth="1"/>
    <col min="103" max="103" width="10.69" hidden="false" outlineLevel="1" customWidth="1"/>
    <col min="104" max="104" width="10.69" hidden="false" outlineLevel="1" customWidth="1"/>
    <col min="105" max="105" width="10.69" hidden="false" outlineLevel="1" customWidth="1"/>
    <col min="106" max="106" width="10.69" hidden="false" outlineLevel="1" customWidth="1"/>
    <col min="107" max="107" width="10.69" hidden="false" outlineLevel="1" customWidth="1"/>
    <col min="108" max="108" width="10.69" hidden="false" outlineLevel="1" customWidth="1"/>
    <col min="109" max="109" width="10.69" hidden="false" outlineLevel="1" customWidth="1"/>
    <col min="110" max="110" width="10.69" hidden="false" outlineLevel="1" customWidth="1"/>
    <col min="111" max="111" width="10.69" hidden="false" outlineLevel="1" customWidth="1"/>
    <col min="112" max="112" width="10.69" hidden="false" outlineLevel="1" customWidth="1"/>
    <col min="113" max="113" width="10.69" hidden="false" outlineLevel="1" customWidth="1"/>
    <col min="114" max="114" width="10.69" hidden="false" outlineLevel="1" customWidth="1"/>
    <col min="115" max="115" width="10.69" hidden="false" outlineLevel="1" customWidth="1"/>
    <col min="116" max="116" width="10.69" hidden="false" outlineLevel="1" customWidth="1"/>
    <col min="117" max="117" width="10.69" hidden="false" outlineLevel="1" customWidth="1"/>
    <col min="118" max="118" width="10.69" hidden="false" outlineLevel="1" customWidth="1"/>
    <col min="119" max="119" width="10.69" hidden="false" outlineLevel="1" customWidth="1"/>
    <col min="120" max="120" width="10.69" hidden="false" outlineLevel="1" customWidth="1"/>
    <col min="121" max="121" width="10.69" hidden="false" outlineLevel="1" customWidth="1"/>
    <col min="122" max="122" width="10.69" hidden="false" outlineLevel="1" customWidth="1"/>
    <col min="123" max="123" width="10.69" hidden="false" outlineLevel="1" customWidth="1"/>
    <col min="124" max="124" width="10.69" hidden="false" outlineLevel="1" customWidth="1"/>
    <col min="125" max="125" width="10.69" hidden="false" outlineLevel="1" customWidth="1"/>
    <col min="126" max="126" width="10.69" hidden="false" outlineLevel="1" customWidth="1"/>
    <col min="127" max="127" width="10.69" hidden="false" outlineLevel="1" customWidth="1"/>
    <col min="128" max="128" width="10.69" hidden="false" outlineLevel="1" customWidth="1"/>
    <col min="129" max="129" width="10.69" hidden="false" outlineLevel="1" customWidth="1"/>
    <col min="130" max="130" width="10.69" hidden="false" outlineLevel="1" customWidth="1"/>
    <col min="131" max="131" width="10.69" hidden="false" outlineLevel="1" customWidth="1"/>
    <col min="132" max="132" width="10.69" hidden="false" outlineLevel="1" customWidth="1"/>
    <col min="133" max="133" width="10.69" hidden="false" outlineLevel="1" customWidth="1"/>
    <col min="134" max="134" width="10.69" hidden="false" outlineLevel="1" customWidth="1"/>
    <col min="135" max="135" width="10.69" hidden="false" outlineLevel="1" customWidth="1"/>
    <col min="136" max="136" width="10.69" hidden="false" outlineLevel="1" customWidth="1"/>
    <col min="137" max="137" width="10.69" hidden="false" outlineLevel="1" customWidth="1"/>
    <col min="138" max="138" width="10.69" hidden="false" outlineLevel="1" customWidth="1"/>
    <col min="139" max="139" width="10.69" hidden="false" outlineLevel="1" customWidth="1"/>
    <col min="140" max="140" width="10.69" hidden="false" outlineLevel="1" customWidth="1"/>
    <col min="141" max="141" width="10.69" hidden="false" outlineLevel="1" customWidth="1"/>
    <col min="142" max="142" width="10.69" hidden="false" outlineLevel="1" customWidth="1"/>
    <col min="143" max="143" width="10.69" hidden="false" outlineLevel="1" customWidth="1"/>
    <col min="144" max="144" width="10.69" hidden="false" outlineLevel="1" customWidth="1"/>
    <col min="145" max="145" width="10.69" hidden="false" outlineLevel="1" customWidth="1"/>
    <col min="146" max="146" width="10.69" hidden="false" outlineLevel="1" customWidth="1"/>
    <col min="147" max="147" width="10.69" hidden="false" outlineLevel="1" customWidth="1"/>
    <col min="148" max="148" width="10.69" hidden="false" outlineLevel="1" customWidth="1"/>
    <col min="149" max="149" width="10.69" hidden="false" outlineLevel="1" customWidth="1"/>
    <col min="150" max="150" width="10.69" hidden="false" outlineLevel="1" customWidth="1"/>
    <col min="151" max="151" width="10.69" hidden="false" outlineLevel="1" customWidth="1"/>
    <col min="152" max="152" width="10.69" hidden="false" outlineLevel="1" customWidth="1"/>
    <col min="153" max="153" width="10.69" hidden="false" outlineLevel="1" customWidth="1"/>
    <col min="154" max="154" width="10.69" hidden="false" outlineLevel="1" customWidth="1"/>
    <col min="155" max="155" width="10.69" hidden="false" outlineLevel="1" customWidth="1"/>
    <col min="156" max="156" width="10.69" hidden="false" outlineLevel="1" customWidth="1"/>
    <col min="157" max="157" width="10.69" hidden="false" outlineLevel="1" customWidth="1"/>
    <col min="158" max="158" width="10.69" hidden="false" outlineLevel="1" customWidth="1"/>
    <col min="159" max="159" width="10.69" hidden="false" outlineLevel="1" customWidth="1"/>
    <col min="160" max="160" width="10.69" hidden="false" outlineLevel="1" customWidth="1"/>
    <col min="161" max="161" width="10.69" hidden="false" outlineLevel="1" customWidth="1"/>
    <col min="162" max="162" width="10.69" hidden="false" outlineLevel="1" customWidth="1"/>
    <col min="163" max="163" width="10.69" hidden="false" outlineLevel="1" customWidth="1"/>
    <col min="164" max="164" width="10.69" hidden="false" outlineLevel="1" customWidth="1"/>
    <col min="165" max="165" width="10.69" hidden="false" outlineLevel="1" customWidth="1"/>
    <col min="166" max="166" width="10.69" hidden="false" outlineLevel="1" customWidth="1"/>
    <col min="167" max="167" width="10.69" hidden="false" outlineLevel="1" customWidth="1"/>
    <col min="168" max="168" width="10.69" hidden="false" outlineLevel="1" customWidth="1"/>
    <col min="169" max="169" width="10.69" hidden="false" outlineLevel="1" customWidth="1"/>
    <col min="170" max="170" width="10.69" hidden="false" outlineLevel="1" customWidth="1"/>
    <col min="171" max="171" width="10.69" hidden="false" outlineLevel="1" customWidth="1"/>
    <col min="172" max="172" width="10.69" hidden="false" outlineLevel="1" customWidth="1"/>
    <col min="173" max="173" width="10.69" hidden="false" outlineLevel="1" customWidth="1"/>
    <col min="174" max="174" width="10.69" hidden="false" outlineLevel="1" customWidth="1"/>
    <col min="175" max="175" width="10.69" hidden="false" outlineLevel="1" customWidth="1"/>
    <col min="176" max="176" width="10.69" hidden="false" outlineLevel="1" customWidth="1"/>
    <col min="177" max="177" width="10.69" hidden="false" outlineLevel="1" customWidth="1"/>
    <col min="178" max="178" width="10.69" hidden="false" outlineLevel="1" customWidth="1"/>
    <col min="179" max="179" width="10.69" hidden="false" outlineLevel="1" customWidth="1"/>
    <col min="180" max="180" width="10.69" hidden="false" outlineLevel="1" customWidth="1"/>
    <col min="181" max="181" width="10.69" hidden="false" outlineLevel="1" customWidth="1"/>
    <col min="182" max="182" width="10.69" hidden="false" outlineLevel="1" customWidth="1"/>
    <col min="183" max="183" width="10.69" hidden="false" outlineLevel="1" customWidth="1"/>
    <col min="184" max="184" width="10.69" hidden="false" outlineLevel="1" customWidth="1"/>
    <col min="185" max="185" width="10.69" hidden="false" outlineLevel="1" customWidth="1"/>
    <col min="186" max="186" width="10.69" hidden="false" outlineLevel="1" customWidth="1"/>
    <col min="187" max="187" width="10.69" hidden="false" outlineLevel="1" customWidth="1"/>
    <col min="188" max="188" width="10.69" hidden="false" outlineLevel="1" customWidth="1"/>
    <col min="189" max="189" width="10.69" hidden="false" outlineLevel="1" customWidth="1"/>
    <col min="190" max="190" width="10.69" hidden="false" outlineLevel="1" customWidth="1"/>
    <col min="191" max="191" width="10.69" hidden="false" outlineLevel="1" customWidth="1"/>
    <col min="192" max="192" width="10.69" hidden="false" outlineLevel="1" customWidth="1"/>
    <col min="193" max="193" width="10.69" hidden="false" outlineLevel="1" customWidth="1"/>
    <col min="194" max="194" width="10.69" hidden="false" outlineLevel="1" customWidth="1"/>
    <col min="195" max="195" width="10.69" hidden="false" outlineLevel="1" customWidth="1"/>
    <col min="196" max="196" width="10.69" hidden="false" outlineLevel="1" customWidth="1"/>
    <col min="197" max="197" width="10.69" hidden="false" outlineLevel="1" customWidth="1"/>
    <col min="198" max="198" width="10.69" hidden="false" outlineLevel="1" customWidth="1"/>
    <col min="199" max="199" width="10.69" hidden="false" outlineLevel="1" customWidth="1"/>
    <col min="200" max="200" width="10.69" hidden="false" outlineLevel="1" customWidth="1"/>
    <col min="201" max="201" width="10.69" hidden="false" outlineLevel="1" customWidth="1"/>
    <col min="202" max="202" width="10.69" hidden="false" outlineLevel="1" customWidth="1"/>
    <col min="203" max="203" width="10.69" hidden="false" outlineLevel="1" customWidth="1"/>
    <col min="204" max="204" width="10.69" hidden="false" outlineLevel="1" customWidth="1"/>
    <col min="205" max="205" width="10.69" hidden="false" outlineLevel="1" customWidth="1"/>
    <col min="206" max="206" width="10.69" hidden="false" outlineLevel="1" customWidth="1"/>
    <col min="207" max="207" width="10.69" hidden="false" outlineLevel="1" customWidth="1"/>
    <col min="208" max="208" width="10.69" hidden="false" outlineLevel="1" customWidth="1"/>
    <col min="209" max="209" width="10.69" hidden="false" outlineLevel="1" customWidth="1"/>
    <col min="210" max="210" width="10.69" hidden="false" outlineLevel="1" customWidth="1"/>
    <col min="211" max="211" width="10.69" hidden="false" outlineLevel="1" customWidth="1"/>
    <col min="212" max="212" width="10.69" hidden="false" outlineLevel="1" customWidth="1"/>
    <col min="213" max="213" width="10.69" hidden="false" outlineLevel="1" customWidth="1"/>
    <col min="214" max="214" width="10.69" hidden="false" outlineLevel="1" customWidth="1"/>
    <col min="215" max="215" width="10.69" hidden="false" outlineLevel="1" customWidth="1"/>
    <col min="216" max="216" width="10.69" hidden="false" outlineLevel="1" customWidth="1"/>
    <col min="217" max="217" width="10.69" hidden="false" outlineLevel="1" customWidth="1"/>
    <col min="218" max="218" width="10.69" hidden="false" outlineLevel="1" customWidth="1"/>
    <col min="219" max="219" width="10.69" hidden="false" outlineLevel="1" customWidth="1"/>
    <col min="220" max="220" width="10.69" hidden="false" outlineLevel="1" customWidth="1"/>
    <col min="221" max="221" width="10.69" hidden="false" outlineLevel="1" customWidth="1"/>
    <col min="222" max="222" width="10.69" hidden="false" outlineLevel="1" customWidth="1"/>
    <col min="223" max="223" width="10.69" hidden="false" outlineLevel="1" customWidth="1"/>
    <col min="224" max="224" width="10.69" hidden="false" outlineLevel="1" customWidth="1"/>
    <col min="225" max="225" width="10.69" hidden="false" outlineLevel="1" customWidth="1"/>
    <col min="226" max="226" width="10.69" hidden="false" outlineLevel="1" customWidth="1"/>
    <col min="227" max="227" width="10.69" hidden="false" outlineLevel="1" customWidth="1"/>
    <col min="228" max="228" width="10.69" hidden="false" outlineLevel="1" customWidth="1"/>
    <col min="229" max="229" width="10.69" hidden="false" outlineLevel="1" customWidth="1"/>
    <col min="230" max="230" width="10.69" hidden="false" outlineLevel="1" customWidth="1"/>
    <col min="231" max="231" width="10.69" hidden="false" outlineLevel="1" customWidth="1"/>
    <col min="232" max="232" width="10.69" hidden="false" outlineLevel="1" customWidth="1"/>
    <col min="233" max="233" width="10.69" hidden="false" outlineLevel="1" customWidth="1"/>
    <col min="234" max="234" width="10.69" hidden="false" outlineLevel="1" customWidth="1"/>
    <col min="235" max="235" width="10.69" hidden="false" outlineLevel="1" customWidth="1"/>
    <col min="236" max="236" width="10.69" hidden="false" outlineLevel="1" customWidth="1"/>
    <col min="237" max="237" width="10.69" hidden="false" outlineLevel="1" customWidth="1"/>
    <col min="238" max="238" width="10.69" hidden="false" outlineLevel="1" customWidth="1"/>
    <col min="239" max="239" width="10.69" hidden="false" outlineLevel="1" customWidth="1"/>
    <col min="240" max="240" width="10.69" hidden="false" outlineLevel="1" customWidth="1"/>
    <col min="241" max="241" width="10.69" hidden="false" outlineLevel="1" customWidth="1"/>
    <col min="242" max="242" width="10.69" hidden="false" outlineLevel="1" customWidth="1"/>
    <col min="243" max="243" width="10.69" hidden="false" outlineLevel="1" customWidth="1"/>
    <col min="244" max="244" width="10.69" hidden="false" outlineLevel="1" customWidth="1"/>
    <col min="245" max="245" width="10.69" hidden="false" outlineLevel="1" customWidth="1"/>
    <col min="246" max="246" width="10.69" hidden="false" outlineLevel="1" customWidth="1"/>
    <col min="247" max="247" width="10.69" hidden="false" outlineLevel="1" customWidth="1"/>
    <col min="248" max="248" width="10.69" hidden="false" outlineLevel="1" customWidth="1"/>
    <col min="249" max="249" width="10.69" hidden="false" outlineLevel="1" customWidth="1"/>
    <col min="250" max="250" width="10.69" hidden="false" outlineLevel="1" customWidth="1"/>
    <col min="251" max="251" width="10.69" hidden="false" outlineLevel="1" customWidth="1"/>
    <col min="252" max="252" width="10.69" hidden="false" outlineLevel="1" customWidth="1"/>
    <col min="253" max="253" width="10.69" hidden="false" outlineLevel="1" customWidth="1"/>
    <col min="254" max="254" width="10.69" hidden="false" outlineLevel="1" customWidth="1"/>
    <col min="255" max="255" width="10.69" hidden="false" outlineLevel="1" customWidth="1"/>
    <col min="256" max="256" width="10.69" hidden="false" outlineLevel="1" customWidth="1"/>
    <col min="257" max="257" width="10.69" hidden="false" outlineLevel="1" customWidth="1"/>
    <col min="258" max="258" width="10.69" hidden="false" outlineLevel="1" customWidth="1"/>
    <col min="259" max="259" width="10.69" hidden="false" outlineLevel="1" customWidth="1"/>
    <col min="260" max="260" width="10.69" hidden="false" outlineLevel="1" customWidth="1"/>
    <col min="261" max="261" width="10.69" hidden="false" outlineLevel="1" customWidth="1"/>
    <col min="262" max="262" width="10.69" hidden="false" outlineLevel="1" customWidth="1"/>
    <col min="263" max="263" width="10.69" hidden="false" outlineLevel="1" customWidth="1"/>
    <col min="264" max="264" width="10.69" hidden="false" outlineLevel="1" customWidth="1"/>
    <col min="265" max="265" width="10.69" hidden="false" outlineLevel="1" customWidth="1"/>
    <col min="266" max="266" width="10.69" hidden="false" outlineLevel="1" customWidth="1"/>
    <col min="267" max="267" width="10.69" hidden="false" outlineLevel="1" customWidth="1"/>
    <col min="268" max="268" width="10.69" hidden="false" outlineLevel="1" customWidth="1"/>
    <col min="269" max="269" width="10.69" hidden="false" outlineLevel="1" customWidth="1"/>
    <col min="270" max="270" width="10.69" hidden="false" outlineLevel="1" customWidth="1"/>
    <col min="271" max="271" width="10.69" hidden="false" outlineLevel="1" customWidth="1"/>
    <col min="272" max="272" width="10.69" hidden="false" outlineLevel="1" customWidth="1"/>
    <col min="273" max="273" width="10.69" hidden="false" outlineLevel="1" customWidth="1"/>
    <col min="274" max="274" width="10.69" hidden="false" outlineLevel="1" customWidth="1"/>
    <col min="275" max="275" width="10.69" hidden="false" outlineLevel="1" customWidth="1"/>
    <col min="276" max="276" width="10.69" hidden="false" outlineLevel="1" customWidth="1"/>
    <col min="277" max="277" width="10.69" hidden="false" outlineLevel="1" customWidth="1"/>
    <col min="278" max="278" width="10.69" hidden="false" outlineLevel="1" customWidth="1"/>
    <col min="279" max="279" width="10.69" hidden="false" outlineLevel="1" customWidth="1"/>
    <col min="280" max="280" width="10.69" hidden="false" outlineLevel="1" customWidth="1"/>
    <col min="281" max="281" width="10.69" hidden="false" outlineLevel="1" customWidth="1"/>
    <col min="282" max="282" width="10.69" hidden="false" outlineLevel="1" customWidth="1"/>
    <col min="283" max="283" width="10.69" hidden="false" outlineLevel="1" customWidth="1"/>
    <col min="284" max="284" width="10.69" hidden="false" outlineLevel="1" customWidth="1"/>
    <col min="285" max="285" width="10.69" hidden="false" outlineLevel="1" customWidth="1"/>
    <col min="286" max="286" width="10.69" hidden="false" outlineLevel="1" customWidth="1"/>
    <col min="287" max="287" width="10.69" hidden="false" outlineLevel="1" customWidth="1"/>
    <col min="288" max="288" width="10.69" hidden="false" outlineLevel="1" customWidth="1"/>
    <col min="289" max="289" width="10.69" hidden="false" outlineLevel="1" customWidth="1"/>
    <col min="290" max="290" width="10.69" hidden="false" outlineLevel="1" customWidth="1"/>
    <col min="291" max="291" width="10.69" hidden="false" outlineLevel="1" customWidth="1"/>
    <col min="292" max="292" width="10.69" hidden="false" outlineLevel="1" customWidth="1"/>
    <col min="293" max="293" width="10.69" hidden="false" outlineLevel="1" customWidth="1"/>
    <col min="294" max="294" width="10.69" hidden="false" outlineLevel="1" customWidth="1"/>
    <col min="295" max="295" width="10.69" hidden="false" outlineLevel="1" customWidth="1"/>
    <col min="296" max="296" width="10.69" hidden="false" outlineLevel="1" customWidth="1"/>
    <col min="297" max="297" width="10.69" hidden="false" outlineLevel="1" customWidth="1"/>
    <col min="298" max="298" width="10.69" hidden="false" outlineLevel="1" customWidth="1"/>
    <col min="299" max="299" width="10.69" hidden="false" outlineLevel="1" customWidth="1"/>
    <col min="300" max="300" width="10.69" hidden="false" outlineLevel="1" customWidth="1"/>
    <col min="301" max="301" width="10.69" hidden="false" outlineLevel="1" customWidth="1"/>
    <col min="302" max="302" width="10.69" hidden="false" outlineLevel="1" customWidth="1"/>
    <col min="303" max="303" width="10.69" hidden="false" outlineLevel="1" customWidth="1"/>
    <col min="304" max="304" width="10.69" hidden="false" outlineLevel="1" customWidth="1"/>
    <col min="305" max="305" width="10.69" hidden="false" outlineLevel="1" customWidth="1"/>
    <col min="306" max="306" width="10.69" hidden="false" outlineLevel="1" customWidth="1"/>
    <col min="307" max="307" width="10.69" hidden="false" outlineLevel="1" customWidth="1"/>
    <col min="308" max="308" width="10.69" hidden="false" outlineLevel="1" customWidth="1"/>
    <col min="309" max="309" width="10.69" hidden="false" outlineLevel="1" customWidth="1"/>
    <col min="310" max="310" width="10.69" hidden="false" outlineLevel="1" customWidth="1"/>
    <col min="311" max="311" width="10.69" hidden="false" outlineLevel="1" customWidth="1"/>
    <col min="312" max="312" width="10.69" hidden="false" outlineLevel="1" customWidth="1"/>
    <col min="313" max="313" width="10.69" hidden="false" outlineLevel="1" customWidth="1"/>
    <col min="314" max="314" width="10.69" hidden="false" outlineLevel="1" customWidth="1"/>
    <col min="315" max="315" width="10.69" hidden="false" outlineLevel="1" customWidth="1"/>
    <col min="316" max="316" width="10.69" hidden="false" outlineLevel="1" customWidth="1"/>
    <col min="317" max="317" width="10.69" hidden="false" outlineLevel="1" customWidth="1"/>
    <col min="318" max="318" width="10.69" hidden="false" outlineLevel="1" customWidth="1"/>
    <col min="319" max="319" width="10.69" hidden="false" outlineLevel="1" customWidth="1"/>
    <col min="320" max="320" width="10.69" hidden="false" outlineLevel="1" customWidth="1"/>
    <col min="321" max="321" width="10.69" hidden="false" outlineLevel="1" customWidth="1"/>
    <col min="322" max="322" width="10.69" hidden="false" outlineLevel="1" customWidth="1"/>
    <col min="323" max="323" width="10.69" hidden="false" outlineLevel="1" customWidth="1"/>
    <col min="324" max="324" width="10.69" hidden="false" outlineLevel="1" customWidth="1"/>
    <col min="325" max="325" width="10.69" hidden="false" outlineLevel="1" customWidth="1"/>
    <col min="326" max="326" width="10.69" hidden="false" outlineLevel="1" customWidth="1"/>
    <col min="327" max="327" width="10.69" hidden="false" outlineLevel="1" customWidth="1"/>
    <col min="328" max="328" width="10.69" hidden="false" outlineLevel="1" customWidth="1"/>
    <col min="329" max="329" width="10.69" hidden="false" outlineLevel="1" customWidth="1"/>
    <col min="330" max="330" width="10.69" hidden="false" outlineLevel="1" customWidth="1"/>
    <col min="331" max="331" width="10.69" hidden="false" outlineLevel="1" customWidth="1"/>
    <col min="332" max="332" width="10.69" hidden="false" outlineLevel="1" customWidth="1"/>
    <col min="333" max="333" width="10.69" hidden="false" outlineLevel="1" customWidth="1"/>
    <col min="334" max="334" width="10.69" hidden="false" outlineLevel="1" customWidth="1"/>
    <col min="335" max="335" width="10.69" hidden="false" outlineLevel="1" customWidth="1"/>
    <col min="336" max="336" width="10.69" hidden="false" outlineLevel="1" customWidth="1"/>
    <col min="337" max="337" width="10.69" hidden="false" outlineLevel="1" customWidth="1"/>
    <col min="338" max="338" width="10.69" hidden="false" outlineLevel="1" customWidth="1"/>
    <col min="339" max="339" width="10.69" hidden="false" outlineLevel="1" customWidth="1"/>
    <col min="340" max="340" width="10.69" hidden="false" outlineLevel="1" customWidth="1"/>
    <col min="341" max="341" width="10.69" hidden="false" outlineLevel="1" customWidth="1"/>
    <col min="342" max="342" width="10.69" hidden="false" outlineLevel="1" customWidth="1"/>
    <col min="343" max="343" width="10.69" hidden="false" outlineLevel="1" customWidth="1"/>
    <col min="344" max="344" width="10.69" hidden="false" outlineLevel="1" customWidth="1"/>
    <col min="345" max="345" width="10.69" hidden="false" outlineLevel="1" customWidth="1"/>
    <col min="346" max="346" width="10.69" hidden="false" outlineLevel="1" customWidth="1"/>
    <col min="347" max="347" width="10.69" hidden="false" outlineLevel="1" customWidth="1"/>
    <col min="348" max="348" width="10.69" hidden="false" outlineLevel="1" customWidth="1"/>
    <col min="349" max="349" width="10.69" hidden="false" outlineLevel="1" customWidth="1"/>
    <col min="350" max="350" width="10.69" hidden="false" outlineLevel="1" customWidth="1"/>
    <col min="351" max="351" width="10.69" hidden="false" outlineLevel="1" customWidth="1"/>
    <col min="352" max="352" width="10.69" hidden="false" outlineLevel="1" customWidth="1"/>
    <col min="353" max="353" width="10.69" hidden="false" outlineLevel="1" customWidth="1"/>
    <col min="354" max="354" width="10.69" hidden="false" outlineLevel="1" customWidth="1"/>
    <col min="355" max="355" width="10.69" hidden="false" outlineLevel="1" customWidth="1"/>
    <col min="356" max="356" width="10.69" hidden="false" outlineLevel="1" customWidth="1"/>
    <col min="357" max="357" width="10.69" hidden="false" outlineLevel="1" customWidth="1"/>
    <col min="358" max="358" width="10.69" hidden="false" outlineLevel="1" customWidth="1"/>
    <col min="359" max="359" width="10.69" hidden="false" outlineLevel="1" customWidth="1"/>
    <col min="360" max="360" width="10.69" hidden="false" outlineLevel="1" customWidth="1"/>
    <col min="361" max="361" width="10.69" hidden="false" outlineLevel="1" customWidth="1"/>
    <col min="362" max="362" width="10.69" hidden="false" outlineLevel="1" customWidth="1"/>
    <col min="363" max="363" width="10.69" hidden="false" outlineLevel="1" customWidth="1"/>
    <col min="364" max="364" width="10.69" hidden="false" outlineLevel="1" customWidth="1"/>
    <col min="365" max="365" width="10.69" hidden="false" outlineLevel="1" customWidth="1"/>
    <col min="366" max="366" width="10.69" hidden="false" outlineLevel="1" customWidth="1"/>
    <col min="367" max="367" width="10.69" hidden="false" outlineLevel="1" customWidth="1"/>
    <col min="368" max="368" width="10.69" hidden="false" outlineLevel="1" customWidth="1"/>
    <col min="369" max="369" width="10.69" hidden="false" outlineLevel="1" customWidth="1"/>
    <col min="370" max="370" width="10.69" hidden="false" outlineLevel="1" customWidth="1"/>
    <col min="371" max="371" width="10.69" hidden="false" outlineLevel="1" customWidth="1"/>
    <col min="372" max="372" width="10.69" hidden="false" outlineLevel="1" customWidth="1"/>
    <col min="373" max="373" width="10.69" hidden="false" outlineLevel="1" customWidth="1"/>
    <col min="374" max="374" width="10.69" hidden="false" outlineLevel="1" customWidth="1"/>
    <col min="375" max="375" width="10.69" hidden="false" outlineLevel="1" customWidth="1"/>
    <col min="376" max="376" width="10.69" hidden="false" outlineLevel="1" customWidth="1"/>
    <col min="377" max="377" width="10.69" hidden="false" outlineLevel="1" customWidth="1"/>
    <col min="378" max="378" width="10.69" hidden="false" outlineLevel="1" customWidth="1"/>
    <col min="379" max="379" width="10.69" hidden="false" outlineLevel="1" customWidth="1"/>
    <col min="380" max="380" width="10.69" hidden="false" outlineLevel="1" customWidth="1"/>
    <col min="381" max="381" width="10.69" hidden="false" outlineLevel="1" customWidth="1"/>
    <col min="382" max="382" width="10.69" hidden="false" outlineLevel="1" customWidth="1"/>
    <col min="383" max="383" width="10.69" hidden="false" outlineLevel="1" customWidth="1"/>
    <col min="384" max="384" width="10.69" hidden="false" outlineLevel="1" customWidth="1"/>
    <col min="385" max="385" width="10.69" hidden="false" outlineLevel="1" customWidth="1"/>
    <col min="386" max="386" width="10.69" hidden="false" outlineLevel="1" customWidth="1"/>
    <col min="387" max="387" width="10.69" hidden="false" outlineLevel="1" customWidth="1"/>
    <col min="388" max="388" width="10.69" hidden="false" outlineLevel="1" customWidth="1"/>
    <col min="389" max="389" width="10.69" hidden="false" outlineLevel="1" customWidth="1"/>
    <col min="390" max="390" width="10.69" hidden="false" outlineLevel="1" customWidth="1"/>
    <col min="391" max="391" width="10.69" hidden="false" outlineLevel="1" customWidth="1"/>
    <col min="392" max="392" width="10.69" hidden="false" outlineLevel="1" customWidth="1"/>
    <col min="393" max="393" width="10.69" hidden="false" outlineLevel="1" customWidth="1"/>
    <col min="394" max="394" width="10.69" hidden="false" outlineLevel="1" customWidth="1"/>
    <col min="395" max="395" width="10.69" hidden="false" outlineLevel="1" customWidth="1"/>
    <col min="396" max="396" width="10.69" hidden="false" outlineLevel="1" customWidth="1"/>
    <col min="397" max="397" width="10.69" hidden="false" outlineLevel="1" customWidth="1"/>
    <col min="398" max="398" width="10.69" hidden="false" outlineLevel="1" customWidth="1"/>
    <col min="399" max="399" width="10.69" hidden="false" outlineLevel="1" customWidth="1"/>
    <col min="400" max="400" width="10.69" hidden="false" outlineLevel="1" customWidth="1"/>
    <col min="401" max="401" width="10.69" hidden="false" outlineLevel="1" customWidth="1"/>
    <col min="402" max="402" width="10.69" hidden="false" outlineLevel="1" customWidth="1"/>
    <col min="403" max="403" width="10.69" hidden="false" outlineLevel="1" customWidth="1"/>
    <col min="404" max="404" width="10.69" hidden="false" outlineLevel="1" customWidth="1"/>
    <col min="405" max="405" width="10.69" hidden="false" outlineLevel="1" customWidth="1"/>
    <col min="406" max="406" width="10.69" hidden="false" outlineLevel="1" customWidth="1"/>
    <col min="407" max="407" width="10.69" hidden="false" outlineLevel="1" customWidth="1"/>
    <col min="408" max="408" width="10.69" hidden="false" outlineLevel="1" customWidth="1"/>
    <col min="409" max="409" width="10.69" hidden="false" outlineLevel="1" customWidth="1"/>
    <col min="410" max="410" width="10.69" hidden="false" outlineLevel="1" customWidth="1"/>
    <col min="411" max="411" width="10.69" hidden="false" outlineLevel="1" customWidth="1"/>
    <col min="412" max="412" width="10.69" hidden="false" outlineLevel="1" customWidth="1"/>
    <col min="413" max="413" width="10.69" hidden="false" outlineLevel="1" customWidth="1"/>
    <col min="414" max="414" width="10.69" hidden="false" outlineLevel="1" customWidth="1"/>
    <col min="415" max="415" width="10.69" hidden="false" outlineLevel="1" customWidth="1"/>
    <col min="416" max="416" width="10.69" hidden="false" outlineLevel="1" customWidth="1"/>
    <col min="417" max="417" width="10.69" hidden="false" outlineLevel="1" customWidth="1"/>
    <col min="418" max="418" width="10.69" hidden="false" outlineLevel="1" customWidth="1"/>
    <col min="419" max="419" width="10.69" hidden="false" outlineLevel="1" customWidth="1"/>
    <col min="420" max="420" width="10.69" hidden="false" outlineLevel="1" customWidth="1"/>
    <col min="421" max="421" width="10.69" hidden="false" outlineLevel="1" customWidth="1"/>
    <col min="422" max="422" width="10.69" hidden="false" outlineLevel="1" customWidth="1"/>
    <col min="423" max="423" width="10.69" hidden="false" outlineLevel="1" customWidth="1"/>
    <col min="424" max="424" width="10.69" hidden="false" outlineLevel="1" customWidth="1"/>
    <col min="425" max="425" width="10.69" hidden="false" outlineLevel="1" customWidth="1"/>
    <col min="426" max="426" width="10.69" hidden="false" outlineLevel="1" customWidth="1"/>
    <col min="427" max="427" width="10.69" hidden="false" outlineLevel="1" customWidth="1"/>
    <col min="428" max="428" width="10.69" hidden="false" outlineLevel="1" customWidth="1"/>
    <col min="429" max="429" width="10.69" hidden="false" outlineLevel="1" customWidth="1"/>
    <col min="430" max="430" width="10.69" hidden="false" outlineLevel="1" customWidth="1"/>
    <col min="431" max="431" width="10.69" hidden="false" outlineLevel="1" customWidth="1"/>
    <col min="432" max="432" width="10.69" hidden="false" outlineLevel="1" customWidth="1"/>
    <col min="433" max="433" width="10.69" hidden="false" outlineLevel="1" customWidth="1"/>
    <col min="434" max="434" width="10.69" hidden="false" outlineLevel="1" customWidth="1"/>
    <col min="435" max="435" width="10.69" hidden="false" outlineLevel="1" customWidth="1"/>
    <col min="436" max="436" width="10.69" hidden="false" outlineLevel="1" customWidth="1"/>
    <col min="437" max="437" width="10.69" hidden="false" outlineLevel="1" customWidth="1"/>
    <col min="438" max="438" width="10.69" hidden="false" outlineLevel="1" customWidth="1"/>
    <col min="439" max="439" width="10.69" hidden="false" outlineLevel="1" customWidth="1"/>
    <col min="440" max="440" width="10.69" hidden="false" outlineLevel="1" customWidth="1"/>
    <col min="441" max="441" width="10.69" hidden="false" outlineLevel="1" customWidth="1"/>
    <col min="442" max="442" width="10.69" hidden="false" outlineLevel="1" customWidth="1"/>
    <col min="443" max="443" width="10.69" hidden="false" outlineLevel="1" customWidth="1"/>
    <col min="444" max="444" width="10.69" hidden="false" outlineLevel="1" customWidth="1"/>
    <col min="445" max="445" width="10.69" hidden="false" outlineLevel="1" customWidth="1"/>
    <col min="446" max="446" width="10.69" hidden="false" outlineLevel="1" customWidth="1"/>
    <col min="447" max="447" width="10.69" hidden="false" outlineLevel="1" customWidth="1"/>
    <col min="448" max="448" width="10.69" hidden="false" outlineLevel="1" customWidth="1"/>
    <col min="449" max="449" width="10.69" hidden="false" outlineLevel="1" customWidth="1"/>
    <col min="450" max="450" width="10.69" hidden="false" outlineLevel="1" customWidth="1"/>
    <col min="451" max="451" width="10.69" hidden="false" outlineLevel="1" customWidth="1"/>
    <col min="452" max="452" width="10.69" hidden="false" outlineLevel="1" customWidth="1"/>
    <col min="453" max="453" width="10.69" hidden="false" outlineLevel="1" customWidth="1"/>
    <col min="454" max="454" width="10.69" hidden="false" outlineLevel="1" customWidth="1"/>
    <col min="455" max="455" width="10.69" hidden="false" outlineLevel="1" customWidth="1"/>
    <col min="456" max="456" width="10.69" hidden="false" outlineLevel="1" customWidth="1"/>
    <col min="457" max="457" width="10.69" hidden="false" outlineLevel="1" customWidth="1"/>
    <col min="458" max="458" width="10.69" hidden="false" outlineLevel="1" customWidth="1"/>
    <col min="459" max="459" width="10.69" hidden="false" outlineLevel="1" customWidth="1"/>
    <col min="460" max="460" width="10.69" hidden="false" outlineLevel="1" customWidth="1"/>
    <col min="461" max="461" width="10.69" hidden="false" outlineLevel="1" customWidth="1"/>
    <col min="462" max="462" width="10.69" hidden="false" outlineLevel="1" customWidth="1"/>
    <col min="463" max="463" width="10.69" hidden="false" outlineLevel="1" customWidth="1"/>
    <col min="464" max="464" width="10.69" hidden="false" outlineLevel="1" customWidth="1"/>
    <col min="465" max="465" width="10.69" hidden="false" outlineLevel="1" customWidth="1"/>
    <col min="466" max="466" width="10.69" hidden="false" outlineLevel="1" customWidth="1"/>
    <col min="467" max="467" width="10.69" hidden="false" outlineLevel="1" customWidth="1"/>
    <col min="468" max="468" width="10.69" hidden="false" outlineLevel="1" customWidth="1"/>
    <col min="469" max="469" width="10.69" hidden="false" outlineLevel="1" customWidth="1"/>
    <col min="470" max="470" width="10.69" hidden="false" outlineLevel="1" customWidth="1"/>
    <col min="471" max="471" width="10.69" hidden="false" outlineLevel="1" customWidth="1"/>
    <col min="472" max="472" width="10.69" hidden="false" outlineLevel="1" customWidth="1"/>
    <col min="473" max="473" width="10.69" hidden="false" outlineLevel="1" customWidth="1"/>
    <col min="474" max="474" width="10.69" hidden="false" outlineLevel="1" customWidth="1"/>
    <col min="475" max="475" width="10.69" hidden="false" outlineLevel="1" customWidth="1"/>
    <col min="476" max="476" width="10.69" hidden="false" outlineLevel="1" customWidth="1"/>
    <col min="477" max="477" width="10.69" hidden="false" outlineLevel="1" customWidth="1"/>
    <col min="478" max="478" width="10.69" hidden="false" outlineLevel="1" customWidth="1"/>
    <col min="479" max="479" width="10.69" hidden="false" outlineLevel="1" customWidth="1"/>
    <col min="480" max="480" width="10.69" hidden="false" outlineLevel="1" customWidth="1"/>
    <col min="481" max="481" width="10.69" hidden="false" outlineLevel="1" customWidth="1"/>
    <col min="482" max="482" width="10.69" hidden="false" outlineLevel="1" customWidth="1"/>
    <col min="483" max="483" width="10.69" hidden="false" outlineLevel="1" customWidth="1"/>
    <col min="484" max="484" width="10.69" hidden="false" outlineLevel="1" customWidth="1"/>
    <col min="485" max="485" width="10.69" hidden="false" outlineLevel="1" customWidth="1"/>
    <col min="486" max="486" width="10.69" hidden="false" outlineLevel="1" customWidth="1"/>
    <col min="487" max="487" width="10.69" hidden="false" outlineLevel="1" customWidth="1"/>
    <col min="488" max="488" width="10.69" hidden="false" outlineLevel="1" customWidth="1"/>
    <col min="489" max="489" width="10.69" hidden="false" outlineLevel="1" customWidth="1"/>
    <col min="490" max="490" width="10.69" hidden="false" outlineLevel="1" customWidth="1"/>
    <col min="491" max="491" width="10.69" hidden="false" outlineLevel="1" customWidth="1"/>
    <col min="492" max="492" width="10.69" hidden="false" outlineLevel="1" customWidth="1"/>
    <col min="493" max="493" width="10.69" hidden="false" outlineLevel="1" customWidth="1"/>
    <col min="494" max="494" width="10.69" hidden="false" outlineLevel="1" customWidth="1"/>
    <col min="495" max="495" width="10.69" hidden="false" outlineLevel="1" customWidth="1"/>
    <col min="496" max="496" width="10.69" hidden="false" outlineLevel="1" customWidth="1"/>
    <col min="497" max="497" width="10.69" hidden="false" outlineLevel="1" customWidth="1"/>
    <col min="498" max="498" width="10.69" hidden="false" outlineLevel="1" customWidth="1"/>
    <col min="499" max="499" width="10.69" hidden="false" outlineLevel="1" customWidth="1"/>
    <col min="500" max="500" width="10.69" hidden="false" outlineLevel="1" customWidth="1"/>
    <col min="501" max="501" width="10.69" hidden="false" outlineLevel="1" customWidth="1"/>
    <col min="502" max="502" width="10.69" hidden="false" outlineLevel="1" customWidth="1"/>
    <col min="503" max="503" width="10.69" hidden="false" outlineLevel="1" customWidth="1"/>
    <col min="504" max="504" width="10.69" hidden="false" outlineLevel="1" customWidth="1"/>
    <col min="505" max="505" width="10.69" hidden="false" outlineLevel="1" customWidth="1"/>
    <col min="506" max="506" width="10.69" hidden="false" outlineLevel="1" customWidth="1"/>
    <col min="507" max="507" width="10.69" hidden="false" outlineLevel="1" customWidth="1"/>
    <col min="508" max="508" width="10.69" hidden="false" outlineLevel="1" customWidth="1"/>
    <col min="509" max="509" width="10.69" hidden="false" outlineLevel="1" customWidth="1"/>
    <col min="510" max="510" width="10.69" hidden="false" outlineLevel="1" customWidth="1"/>
    <col min="511" max="511" width="10.69" hidden="false" outlineLevel="1" customWidth="1"/>
    <col min="512" max="512" width="10.69" hidden="false" outlineLevel="1" customWidth="1"/>
    <col min="513" max="513" width="10.69" hidden="false" outlineLevel="1" customWidth="1"/>
    <col min="514" max="514" width="10.69" hidden="false" outlineLevel="1" customWidth="1"/>
    <col min="515" max="515" width="10.69" hidden="false" outlineLevel="1" customWidth="1"/>
    <col min="516" max="516" width="10.69" hidden="false" outlineLevel="1" customWidth="1"/>
    <col min="517" max="517" width="10.69" hidden="false" outlineLevel="1" customWidth="1"/>
    <col min="518" max="518" width="10.69" hidden="false" outlineLevel="1" customWidth="1"/>
    <col min="519" max="519" width="10.69" hidden="false" outlineLevel="1" customWidth="1"/>
    <col min="520" max="520" width="10.69" hidden="false" outlineLevel="1" customWidth="1"/>
    <col min="521" max="521" width="10.69" hidden="false" outlineLevel="1" customWidth="1"/>
    <col min="522" max="522" width="10.69" hidden="false" outlineLevel="1" customWidth="1"/>
    <col min="523" max="523" width="10.69" hidden="false" outlineLevel="1" customWidth="1"/>
    <col min="524" max="524" width="10.69" hidden="false" outlineLevel="1" customWidth="1"/>
    <col min="525" max="525" width="10.69" hidden="false" outlineLevel="1" customWidth="1"/>
    <col min="526" max="526" width="10.69" hidden="false" outlineLevel="1" customWidth="1"/>
    <col min="527" max="527" width="10.69" hidden="false" outlineLevel="1" customWidth="1"/>
    <col min="528" max="528" width="10.69" hidden="false" outlineLevel="1" customWidth="1"/>
    <col min="529" max="529" width="10.69" hidden="false" outlineLevel="1" customWidth="1"/>
    <col min="530" max="530" width="10.69" hidden="false" outlineLevel="1" customWidth="1"/>
    <col min="531" max="531" width="10.69" hidden="false" outlineLevel="1" customWidth="1"/>
    <col min="532" max="532" width="10.69" hidden="false" outlineLevel="1" customWidth="1"/>
    <col min="533" max="533" width="10.69" hidden="false" outlineLevel="1" customWidth="1"/>
    <col min="534" max="534" width="10.69" hidden="false" outlineLevel="1" customWidth="1"/>
    <col min="535" max="535" width="10.69" hidden="false" outlineLevel="1" customWidth="1"/>
    <col min="536" max="536" width="10.69" hidden="false" outlineLevel="1" customWidth="1"/>
    <col min="537" max="537" width="10.69" hidden="false" outlineLevel="1" customWidth="1"/>
    <col min="538" max="538" width="10.69" hidden="false" outlineLevel="1" customWidth="1"/>
    <col min="539" max="539" width="10.69" hidden="false" outlineLevel="1" customWidth="1"/>
    <col min="540" max="540" width="10.69" hidden="false" outlineLevel="1" customWidth="1"/>
    <col min="541" max="541" width="10.69" hidden="false" outlineLevel="1" customWidth="1"/>
    <col min="542" max="542" width="10.69" hidden="false" outlineLevel="1" customWidth="1"/>
    <col min="543" max="543" width="10.69" hidden="false" outlineLevel="1" customWidth="1"/>
    <col min="544" max="544" width="10.69" hidden="false" outlineLevel="1" customWidth="1"/>
    <col min="545" max="545" width="10.69" hidden="false" outlineLevel="1" customWidth="1"/>
    <col min="546" max="546" width="10.69" hidden="false" outlineLevel="1" customWidth="1"/>
    <col min="547" max="547" width="10.69" hidden="false" outlineLevel="1" customWidth="1"/>
    <col min="548" max="548" width="10.69" hidden="false" outlineLevel="1" customWidth="1"/>
    <col min="549" max="549" width="10.69" hidden="false" outlineLevel="1" customWidth="1"/>
    <col min="550" max="550" width="10.69" hidden="false" outlineLevel="1" customWidth="1"/>
    <col min="551" max="551" width="10.69" hidden="false" outlineLevel="1" customWidth="1"/>
    <col min="552" max="552" width="10.69" hidden="false" outlineLevel="1" customWidth="1"/>
    <col min="553" max="553" width="10.69" hidden="false" outlineLevel="1" customWidth="1"/>
    <col min="554" max="554" width="10.69" hidden="false" outlineLevel="1" customWidth="1"/>
    <col min="555" max="555" width="10.69" hidden="false" outlineLevel="1" customWidth="1"/>
    <col min="556" max="556" width="10.69" hidden="false" outlineLevel="1" customWidth="1"/>
    <col min="557" max="557" width="10.69" hidden="false" outlineLevel="1" customWidth="1"/>
    <col min="558" max="558" width="10.69" hidden="false" outlineLevel="1" customWidth="1"/>
    <col min="559" max="559" width="10.69" hidden="false" outlineLevel="1" customWidth="1"/>
    <col min="560" max="560" width="10.69" hidden="false" outlineLevel="1" customWidth="1"/>
    <col min="561" max="561" width="10.69" hidden="false" outlineLevel="1" customWidth="1"/>
    <col min="562" max="562" width="10.69" hidden="false" outlineLevel="1" customWidth="1"/>
    <col min="563" max="563" width="10.69" hidden="false" outlineLevel="1" customWidth="1"/>
    <col min="564" max="564" width="10.69" hidden="false" outlineLevel="1" customWidth="1"/>
    <col min="565" max="565" width="10.69" hidden="false" outlineLevel="1" customWidth="1"/>
    <col min="566" max="566" width="10.69" hidden="false" outlineLevel="1" customWidth="1"/>
    <col min="567" max="567" width="10.69" hidden="false" outlineLevel="1" customWidth="1"/>
    <col min="568" max="568" width="10.69" hidden="false" outlineLevel="1" customWidth="1"/>
    <col min="569" max="569" width="10.69" hidden="false" outlineLevel="1" customWidth="1"/>
    <col min="570" max="570" width="10.69" hidden="false" outlineLevel="1" customWidth="1"/>
    <col min="571" max="571" width="10.69" hidden="false" outlineLevel="1" customWidth="1"/>
    <col min="572" max="572" width="10.69" hidden="false" outlineLevel="1" customWidth="1"/>
    <col min="573" max="573" width="10.69" hidden="false" outlineLevel="1" customWidth="1"/>
    <col min="574" max="574" width="10.69" hidden="false" outlineLevel="1" customWidth="1"/>
    <col min="575" max="575" width="10.69" hidden="false" outlineLevel="1" customWidth="1"/>
    <col min="576" max="576" width="10.69" hidden="false" outlineLevel="1" customWidth="1"/>
    <col min="577" max="577" width="10.69" hidden="false" outlineLevel="1" customWidth="1"/>
    <col min="578" max="578" width="10.69" hidden="false" outlineLevel="1" customWidth="1"/>
    <col min="579" max="579" width="10.69" hidden="false" outlineLevel="1" customWidth="1"/>
    <col min="580" max="580" width="10.69" hidden="false" outlineLevel="1" customWidth="1"/>
    <col min="581" max="581" width="10.69" hidden="false" outlineLevel="1" customWidth="1"/>
    <col min="582" max="582" width="10.69" hidden="false" outlineLevel="1" customWidth="1"/>
    <col min="583" max="583" width="10.69" hidden="false" outlineLevel="1" customWidth="1"/>
    <col min="584" max="584" width="10.69" hidden="false" outlineLevel="1" customWidth="1"/>
    <col min="585" max="585" width="10.69" hidden="false" outlineLevel="1" customWidth="1"/>
    <col min="586" max="586" width="10.69" hidden="false" outlineLevel="1" customWidth="1"/>
    <col min="587" max="587" width="10.69" hidden="false" outlineLevel="1" customWidth="1"/>
    <col min="588" max="588" width="10.69" hidden="false" outlineLevel="1" customWidth="1"/>
    <col min="589" max="589" width="10.69" hidden="false" outlineLevel="1" customWidth="1"/>
    <col min="590" max="590" width="10.69" hidden="false" outlineLevel="1" customWidth="1"/>
    <col min="591" max="591" width="10.69" hidden="false" outlineLevel="1" customWidth="1"/>
    <col min="592" max="592" width="10.69" hidden="false" outlineLevel="1" customWidth="1"/>
    <col min="593" max="593" width="10.69" hidden="false" outlineLevel="1" customWidth="1"/>
    <col min="594" max="594" width="10.69" hidden="false" outlineLevel="1" customWidth="1"/>
    <col min="595" max="595" width="10.69" hidden="false" outlineLevel="1" customWidth="1"/>
    <col min="596" max="596" width="10.69" hidden="false" outlineLevel="1" customWidth="1"/>
    <col min="597" max="597" width="10.69" hidden="false" outlineLevel="1" customWidth="1"/>
    <col min="598" max="598" width="10.69" hidden="false" outlineLevel="1" customWidth="1"/>
    <col min="599" max="599" width="10.69" hidden="false" outlineLevel="1" customWidth="1"/>
    <col min="600" max="600" width="10.69" hidden="false" outlineLevel="1" customWidth="1"/>
    <col min="601" max="601" width="10.69" hidden="false" outlineLevel="1" customWidth="1"/>
    <col min="602" max="602" width="10.69" hidden="false" outlineLevel="1" customWidth="1"/>
    <col min="603" max="603" width="10.69" hidden="false" outlineLevel="1" customWidth="1"/>
    <col min="604" max="604" width="10.69" hidden="false" outlineLevel="1" customWidth="1"/>
    <col min="605" max="605" width="10.69" hidden="false" outlineLevel="1" customWidth="1"/>
    <col min="606" max="606" width="10.69" hidden="false" outlineLevel="1" customWidth="1"/>
    <col min="607" max="607" width="10.69" hidden="false" outlineLevel="1" customWidth="1"/>
    <col min="608" max="608" width="10.69" hidden="false" outlineLevel="1" customWidth="1"/>
    <col min="609" max="609" width="10.69" hidden="false" outlineLevel="1" customWidth="1"/>
    <col min="610" max="610" width="10.69" hidden="false" outlineLevel="1" customWidth="1"/>
    <col min="611" max="611" width="10.69" hidden="false" outlineLevel="1" customWidth="1"/>
    <col min="612" max="612" width="10.69" hidden="false" outlineLevel="1" customWidth="1"/>
    <col min="613" max="613" width="10.69" hidden="false" outlineLevel="1" customWidth="1"/>
    <col min="614" max="614" width="10.69" hidden="false" outlineLevel="1" customWidth="1"/>
    <col min="615" max="615" width="10.69" hidden="false" outlineLevel="1" customWidth="1"/>
    <col min="616" max="616" width="10.69" hidden="false" outlineLevel="1" customWidth="1"/>
    <col min="617" max="617" width="10.69" hidden="false" outlineLevel="1" customWidth="1"/>
    <col min="618" max="618" width="10.69" hidden="false" outlineLevel="1" customWidth="1"/>
    <col min="619" max="619" width="10.69" hidden="false" outlineLevel="1" customWidth="1"/>
    <col min="620" max="620" width="10.69" hidden="false" outlineLevel="1" customWidth="1"/>
    <col min="621" max="621" width="10.69" hidden="false" outlineLevel="1" customWidth="1"/>
    <col min="622" max="622" width="10.69" hidden="false" outlineLevel="1" customWidth="1"/>
    <col min="623" max="623" width="10.69" hidden="false" outlineLevel="1" customWidth="1"/>
    <col min="624" max="624" width="10.69" hidden="false" outlineLevel="1" customWidth="1"/>
    <col min="625" max="625" width="10.69" hidden="false" outlineLevel="1" customWidth="1"/>
    <col min="626" max="626" width="10.69" hidden="false" outlineLevel="1" customWidth="1"/>
    <col min="627" max="627" width="10.69" hidden="false" outlineLevel="1" customWidth="1"/>
    <col min="628" max="628" width="10.69" hidden="false" outlineLevel="1" customWidth="1"/>
    <col min="629" max="629" width="10.69" hidden="false" outlineLevel="1" customWidth="1"/>
    <col min="630" max="630" width="10.69" hidden="false" outlineLevel="1" customWidth="1"/>
    <col min="631" max="631" width="10.69" hidden="false" outlineLevel="1" customWidth="1"/>
    <col min="632" max="632" width="10.69" hidden="false" outlineLevel="1" customWidth="1"/>
    <col min="633" max="633" width="10.69" hidden="false" outlineLevel="1" customWidth="1"/>
    <col min="634" max="634" width="10.69" hidden="false" outlineLevel="1" customWidth="1"/>
    <col min="635" max="635" width="10.69" hidden="false" outlineLevel="1" customWidth="1"/>
    <col min="636" max="636" width="10.69" hidden="false" outlineLevel="1" customWidth="1"/>
    <col min="637" max="637" width="10.69" hidden="false" outlineLevel="1" customWidth="1"/>
    <col min="638" max="638" width="10.69" hidden="false" outlineLevel="1" customWidth="1"/>
    <col min="639" max="639" width="10.69" hidden="false" outlineLevel="1" customWidth="1"/>
    <col min="640" max="640" width="10.69" hidden="false" outlineLevel="1" customWidth="1"/>
    <col min="641" max="641" width="10.69" hidden="false" outlineLevel="1" customWidth="1"/>
    <col min="642" max="642" width="10.69" hidden="false" outlineLevel="1" customWidth="1"/>
    <col min="643" max="643" width="10.69" hidden="false" outlineLevel="1" customWidth="1"/>
    <col min="644" max="644" width="10.69" hidden="false" outlineLevel="1" customWidth="1"/>
    <col min="645" max="645" width="10.69" hidden="false" outlineLevel="1" customWidth="1"/>
    <col min="646" max="646" width="10.69" hidden="false" outlineLevel="1" customWidth="1"/>
    <col min="647" max="647" width="10.69" hidden="false" outlineLevel="1" customWidth="1"/>
    <col min="648" max="648" width="10.69" hidden="false" outlineLevel="1" customWidth="1"/>
    <col min="649" max="649" width="10.69" hidden="false" outlineLevel="1" customWidth="1"/>
    <col min="650" max="650" width="10.69" hidden="false" outlineLevel="1" customWidth="1"/>
    <col min="651" max="651" width="10.69" hidden="false" outlineLevel="1" customWidth="1"/>
    <col min="652" max="652" width="10.69" hidden="false" outlineLevel="1" customWidth="1"/>
    <col min="653" max="653" width="10.69" hidden="false" outlineLevel="1" customWidth="1"/>
    <col min="654" max="654" width="10.69" hidden="false" outlineLevel="1" customWidth="1"/>
    <col min="655" max="655" width="10.69" hidden="false" outlineLevel="1" customWidth="1"/>
    <col min="656" max="656" width="10.69" hidden="false" outlineLevel="1" customWidth="1"/>
    <col min="657" max="657" width="10.69" hidden="false" outlineLevel="1" customWidth="1"/>
    <col min="658" max="658" width="10.69" hidden="false" outlineLevel="1" customWidth="1"/>
    <col min="659" max="659" width="10.69" hidden="false" outlineLevel="1" customWidth="1"/>
    <col min="660" max="660" width="10.69" hidden="false" outlineLevel="1" customWidth="1"/>
    <col min="661" max="661" width="10.69" hidden="false" outlineLevel="1" customWidth="1"/>
    <col min="662" max="662" width="10.69" hidden="false" outlineLevel="1" customWidth="1"/>
    <col min="663" max="663" width="10.69" hidden="false" outlineLevel="1" customWidth="1"/>
    <col min="664" max="664" width="10.69" hidden="false" outlineLevel="1" customWidth="1"/>
    <col min="665" max="665" width="10.69" hidden="false" outlineLevel="1" customWidth="1"/>
    <col min="666" max="666" width="10.69" hidden="false" outlineLevel="1" customWidth="1"/>
    <col min="667" max="667" width="10.69" hidden="false" outlineLevel="1" customWidth="1"/>
    <col min="668" max="668" width="10.69" hidden="false" outlineLevel="1" customWidth="1"/>
    <col min="669" max="669" width="10.69" hidden="false" outlineLevel="1" customWidth="1"/>
    <col min="670" max="670" width="10.69" hidden="false" outlineLevel="1" customWidth="1"/>
    <col min="671" max="671" width="10.69" hidden="false" outlineLevel="1" customWidth="1"/>
    <col min="672" max="672" width="10.69" hidden="false" outlineLevel="1" customWidth="1"/>
    <col min="673" max="673" width="10.69" hidden="false" outlineLevel="1" customWidth="1"/>
    <col min="674" max="674" width="10.69" hidden="false" outlineLevel="1" customWidth="1"/>
    <col min="675" max="675" width="10.69" hidden="false" outlineLevel="1" customWidth="1"/>
    <col min="676" max="676" width="10.69" hidden="false" outlineLevel="1" customWidth="1"/>
    <col min="677" max="677" width="10.69" hidden="false" outlineLevel="1" customWidth="1"/>
    <col min="678" max="678" width="10.69" hidden="false" outlineLevel="1" customWidth="1"/>
    <col min="679" max="679" width="10.69" hidden="false" outlineLevel="1" customWidth="1"/>
    <col min="680" max="680" width="10.69" hidden="false" outlineLevel="1" customWidth="1"/>
    <col min="681" max="681" width="10.69" hidden="false" outlineLevel="1" customWidth="1"/>
    <col min="682" max="682" width="10.69" hidden="false" outlineLevel="1" customWidth="1"/>
    <col min="683" max="683" width="10.69" hidden="false" outlineLevel="1" customWidth="1"/>
    <col min="684" max="684" width="10.69" hidden="false" outlineLevel="1" customWidth="1"/>
    <col min="685" max="685" width="10.69" hidden="false" outlineLevel="1" customWidth="1"/>
    <col min="686" max="686" width="10.69" hidden="false" outlineLevel="1" customWidth="1"/>
    <col min="687" max="687" width="10.69" hidden="false" outlineLevel="1" customWidth="1"/>
    <col min="688" max="688" width="10.69" hidden="false" outlineLevel="1" customWidth="1"/>
    <col min="689" max="689" width="10.69" hidden="false" outlineLevel="1" customWidth="1"/>
    <col min="690" max="690" width="10.69" hidden="false" outlineLevel="1" customWidth="1"/>
    <col min="691" max="691" width="10.69" hidden="false" outlineLevel="1" customWidth="1"/>
    <col min="692" max="692" width="10.69" hidden="false" outlineLevel="1" customWidth="1"/>
    <col min="693" max="693" width="10.69" hidden="false" outlineLevel="1" customWidth="1"/>
    <col min="694" max="694" width="10.69" hidden="false" outlineLevel="1" customWidth="1"/>
    <col min="695" max="695" width="10.69" hidden="false" outlineLevel="1" customWidth="1"/>
    <col min="696" max="696" width="10.69" hidden="false" outlineLevel="1" customWidth="1"/>
    <col min="697" max="697" width="10.69" hidden="false" outlineLevel="1" customWidth="1"/>
    <col min="698" max="698" width="10.69" hidden="false" outlineLevel="1" customWidth="1"/>
    <col min="699" max="699" width="10.69" hidden="false" outlineLevel="1" customWidth="1"/>
    <col min="700" max="700" width="10.69" hidden="false" outlineLevel="1" customWidth="1"/>
    <col min="701" max="701" width="10.69" hidden="false" outlineLevel="1" customWidth="1"/>
    <col min="702" max="702" width="10.69" hidden="false" outlineLevel="1" customWidth="1"/>
    <col min="703" max="703" width="10.69" hidden="false" outlineLevel="1" customWidth="1"/>
    <col min="704" max="704" width="10.69" hidden="false" outlineLevel="1" customWidth="1"/>
    <col min="705" max="705" width="10.69" hidden="false" outlineLevel="1" customWidth="1"/>
    <col min="706" max="706" width="10.69" hidden="false" outlineLevel="1" customWidth="1"/>
    <col min="707" max="707" width="10.69" hidden="false" outlineLevel="1" customWidth="1"/>
    <col min="708" max="708" width="10.69" hidden="false" outlineLevel="1" customWidth="1"/>
    <col min="709" max="709" width="10.69" hidden="false" outlineLevel="1" customWidth="1"/>
    <col min="710" max="710" width="10.69" hidden="false" outlineLevel="1" customWidth="1"/>
    <col min="711" max="711" width="10.69" hidden="false" outlineLevel="1" customWidth="1"/>
    <col min="712" max="712" width="10.69" hidden="false" outlineLevel="1" customWidth="1"/>
    <col min="713" max="713" width="10.69" hidden="false" outlineLevel="1" customWidth="1"/>
    <col min="714" max="714" width="10.69" hidden="false" outlineLevel="1" customWidth="1"/>
    <col min="715" max="715" width="10.69" hidden="false" outlineLevel="1" customWidth="1"/>
    <col min="716" max="716" width="10.69" hidden="false" outlineLevel="1" customWidth="1"/>
    <col min="717" max="717" width="10.69" hidden="false" outlineLevel="1" customWidth="1"/>
    <col min="718" max="718" width="10.69" hidden="false" outlineLevel="1" customWidth="1"/>
    <col min="719" max="719" width="10.69" hidden="false" outlineLevel="1" customWidth="1"/>
    <col min="720" max="720" width="10.69" hidden="false" outlineLevel="1" customWidth="1"/>
    <col min="721" max="721" width="10.69" hidden="false" outlineLevel="1" customWidth="1"/>
    <col min="722" max="722" width="10.69" hidden="false" outlineLevel="1" customWidth="1"/>
    <col min="723" max="723" width="10.69" hidden="false" outlineLevel="1" customWidth="1"/>
    <col min="724" max="724" width="10.69" hidden="false" outlineLevel="1" customWidth="1"/>
    <col min="725" max="725" width="10.69" hidden="false" outlineLevel="1" customWidth="1"/>
    <col min="726" max="726" width="10.69" hidden="false" outlineLevel="1" customWidth="1"/>
    <col min="727" max="727" width="10.69" hidden="false" outlineLevel="1" customWidth="1"/>
    <col min="728" max="728" width="10.69" hidden="false" outlineLevel="1" customWidth="1"/>
    <col min="729" max="729" width="10.69" hidden="false" outlineLevel="1" customWidth="1"/>
    <col min="730" max="730" width="10.69" hidden="false" outlineLevel="1" customWidth="1"/>
    <col min="731" max="731" width="10.69" hidden="false" outlineLevel="1" customWidth="1"/>
    <col min="732" max="732" width="10.69" hidden="false" outlineLevel="1" customWidth="1"/>
    <col min="733" max="733" width="10.69" hidden="false" outlineLevel="1" customWidth="1"/>
    <col min="734" max="734" width="10.69" hidden="false" outlineLevel="1" customWidth="1"/>
    <col min="735" max="735" width="10.69" hidden="false" outlineLevel="1" customWidth="1"/>
    <col min="736" max="736" width="10.69" hidden="false" outlineLevel="1" customWidth="1"/>
    <col min="737" max="737" width="10.69" hidden="false" outlineLevel="1" customWidth="1"/>
    <col min="738" max="738" width="10.69" hidden="false" outlineLevel="1" customWidth="1"/>
    <col min="739" max="739" width="10.69" hidden="false" outlineLevel="1" customWidth="1"/>
    <col min="740" max="740" width="10.69" hidden="false" outlineLevel="1" customWidth="1"/>
    <col min="741" max="741" width="10.69" hidden="false" outlineLevel="1" customWidth="1"/>
    <col min="742" max="742" width="10.69" hidden="false" outlineLevel="1" customWidth="1"/>
    <col min="743" max="743" width="10.69" hidden="false" outlineLevel="1" customWidth="1"/>
    <col min="744" max="744" width="10.69" hidden="false" outlineLevel="1" customWidth="1"/>
    <col min="745" max="745" width="10.69" hidden="false" outlineLevel="1" customWidth="1"/>
    <col min="746" max="746" width="10.69" hidden="false" outlineLevel="1" customWidth="1"/>
    <col min="747" max="747" width="10.69" hidden="false" outlineLevel="1" customWidth="1"/>
    <col min="748" max="748" width="10.69" hidden="false" outlineLevel="1" customWidth="1"/>
    <col min="749" max="749" width="10.69" hidden="false" outlineLevel="1" customWidth="1"/>
    <col min="750" max="750" width="10.69" hidden="false" outlineLevel="1" customWidth="1"/>
    <col min="751" max="751" width="10.69" hidden="false" outlineLevel="1" customWidth="1"/>
    <col min="752" max="752" width="10.69" hidden="false" outlineLevel="1" customWidth="1"/>
    <col min="753" max="753" width="10.69" hidden="false" outlineLevel="1" customWidth="1"/>
    <col min="754" max="754" width="10.69" hidden="false" outlineLevel="1" customWidth="1"/>
    <col min="755" max="755" width="10.69" hidden="false" outlineLevel="1" customWidth="1"/>
    <col min="756" max="756" width="10.69" hidden="false" outlineLevel="1" customWidth="1"/>
    <col min="757" max="757" width="10.69" hidden="false" outlineLevel="1" customWidth="1"/>
    <col min="758" max="758" width="10.69" hidden="false" outlineLevel="1" customWidth="1"/>
    <col min="759" max="759" width="10.69" hidden="false" outlineLevel="1" customWidth="1"/>
    <col min="760" max="760" width="10.69" hidden="false" outlineLevel="1" customWidth="1"/>
    <col min="761" max="761" width="10.69" hidden="false" outlineLevel="1" customWidth="1"/>
    <col min="762" max="762" width="10.69" hidden="false" outlineLevel="1" customWidth="1"/>
    <col min="763" max="763" width="10.69" hidden="false" outlineLevel="1" customWidth="1"/>
    <col min="764" max="764" width="10.69" hidden="false" outlineLevel="1" customWidth="1"/>
    <col min="765" max="765" width="10.69" hidden="false" outlineLevel="1" customWidth="1"/>
    <col min="766" max="766" width="10.69" hidden="false" outlineLevel="1" customWidth="1"/>
    <col min="767" max="767" width="10.69" hidden="false" outlineLevel="1" customWidth="1"/>
    <col min="768" max="768" width="10.69" hidden="false" outlineLevel="1" customWidth="1"/>
    <col min="769" max="769" width="10.69" hidden="false" outlineLevel="1" customWidth="1"/>
    <col min="770" max="770" width="10.69" hidden="false" outlineLevel="1" customWidth="1"/>
    <col min="771" max="771" width="10.69" hidden="false" outlineLevel="1" customWidth="1"/>
    <col min="772" max="772" width="10.69" hidden="false" outlineLevel="1" customWidth="1"/>
    <col min="773" max="773" width="10.69" hidden="false" outlineLevel="1" customWidth="1"/>
    <col min="774" max="774" width="10.69" hidden="false" outlineLevel="1" customWidth="1"/>
    <col min="775" max="775" width="10.69" hidden="false" outlineLevel="1" customWidth="1"/>
    <col min="776" max="776" width="10.69" hidden="false" outlineLevel="1" customWidth="1"/>
    <col min="777" max="777" width="10.69" hidden="false" outlineLevel="1" customWidth="1"/>
    <col min="778" max="778" width="10.69" hidden="false" outlineLevel="1" customWidth="1"/>
    <col min="779" max="779" width="10.69" hidden="false" outlineLevel="1" customWidth="1"/>
    <col min="780" max="780" width="10.69" hidden="false" outlineLevel="1" customWidth="1"/>
    <col min="781" max="781" width="10.69" hidden="false" outlineLevel="1" customWidth="1"/>
    <col min="782" max="782" width="10.69" hidden="false" outlineLevel="1" customWidth="1"/>
    <col min="783" max="783" width="10.69" hidden="false" outlineLevel="1" customWidth="1"/>
    <col min="784" max="784" width="10.69" hidden="false" outlineLevel="1" customWidth="1"/>
    <col min="785" max="785" width="10.69" hidden="false" outlineLevel="1" customWidth="1"/>
    <col min="786" max="786" width="10.69" hidden="false" outlineLevel="1" customWidth="1"/>
    <col min="787" max="787" width="10.69" hidden="false" outlineLevel="1" customWidth="1"/>
    <col min="788" max="788" width="10.69" hidden="false" outlineLevel="1" customWidth="1"/>
    <col min="789" max="789" width="10.69" hidden="false" outlineLevel="1" customWidth="1"/>
    <col min="790" max="790" width="10.69" hidden="false" outlineLevel="1" customWidth="1"/>
    <col min="791" max="791" width="10.69" hidden="false" outlineLevel="1" customWidth="1"/>
    <col min="792" max="792" width="10.69" hidden="false" outlineLevel="1" customWidth="1"/>
    <col min="793" max="793" width="10.69" hidden="false" outlineLevel="1" customWidth="1"/>
    <col min="794" max="794" width="10.69" hidden="false" outlineLevel="1" customWidth="1"/>
    <col min="795" max="795" width="10.69" hidden="false" outlineLevel="1" customWidth="1"/>
    <col min="796" max="796" width="10.69" hidden="false" outlineLevel="1" customWidth="1"/>
    <col min="797" max="797" width="10.69" hidden="false" outlineLevel="1" customWidth="1"/>
    <col min="798" max="798" width="10.69" hidden="false" outlineLevel="1" customWidth="1"/>
    <col min="799" max="799" width="10.69" hidden="false" outlineLevel="1" customWidth="1"/>
    <col min="800" max="800" width="10.69" hidden="false" outlineLevel="1" customWidth="1"/>
    <col min="801" max="801" width="10.69" hidden="false" outlineLevel="1" customWidth="1"/>
    <col min="802" max="802" width="10.69" hidden="false" outlineLevel="1" customWidth="1"/>
    <col min="803" max="803" width="10.69" hidden="false" outlineLevel="1" customWidth="1"/>
    <col min="804" max="804" width="10.69" hidden="false" outlineLevel="1" customWidth="1"/>
    <col min="805" max="805" width="10.69" hidden="false" outlineLevel="1" customWidth="1"/>
    <col min="806" max="806" width="10.69" hidden="false" outlineLevel="1" customWidth="1"/>
    <col min="807" max="807" width="10.69" hidden="false" outlineLevel="1" customWidth="1"/>
    <col min="808" max="808" width="10.69" hidden="false" outlineLevel="1" customWidth="1"/>
    <col min="809" max="809" width="10.69" hidden="false" outlineLevel="1" customWidth="1"/>
    <col min="810" max="810" width="10.69" hidden="false" outlineLevel="1" customWidth="1"/>
    <col min="811" max="811" width="10.69" hidden="false" outlineLevel="1" customWidth="1"/>
    <col min="812" max="812" width="10.69" hidden="false" outlineLevel="1" customWidth="1"/>
    <col min="813" max="813" width="10.69" hidden="false" outlineLevel="1" customWidth="1"/>
    <col min="814" max="814" width="10.69" hidden="false" outlineLevel="1" customWidth="1"/>
    <col min="815" max="815" width="10.69" hidden="false" outlineLevel="1" customWidth="1"/>
    <col min="816" max="816" width="10.69" hidden="false" outlineLevel="1" customWidth="1"/>
    <col min="817" max="817" width="10.69" hidden="false" outlineLevel="1" customWidth="1"/>
    <col min="818" max="818" width="10.69" hidden="false" outlineLevel="1" customWidth="1"/>
    <col min="819" max="819" width="10.69" hidden="false" outlineLevel="1" customWidth="1"/>
    <col min="820" max="820" width="10.69" hidden="false" outlineLevel="1" customWidth="1"/>
    <col min="821" max="821" width="10.69" hidden="false" outlineLevel="1" customWidth="1"/>
    <col min="822" max="822" width="10.69" hidden="false" outlineLevel="1" customWidth="1"/>
    <col min="823" max="823" width="10.69" hidden="false" outlineLevel="1" customWidth="1"/>
    <col min="824" max="824" width="10.69" hidden="false" outlineLevel="1" customWidth="1"/>
    <col min="825" max="825" width="10.69" hidden="false" outlineLevel="1" customWidth="1"/>
    <col min="826" max="826" width="10.69" hidden="false" outlineLevel="1" customWidth="1"/>
    <col min="827" max="827" width="10.69" hidden="false" outlineLevel="1" customWidth="1"/>
    <col min="828" max="828" width="10.69" hidden="false" outlineLevel="1" customWidth="1"/>
    <col min="829" max="829" width="10.69" hidden="false" outlineLevel="1" customWidth="1"/>
    <col min="830" max="830" width="10.69" hidden="false" outlineLevel="1" customWidth="1"/>
    <col min="831" max="831" width="10.69" hidden="false" outlineLevel="1" customWidth="1"/>
    <col min="832" max="832" width="10.69" hidden="false" outlineLevel="1" customWidth="1"/>
    <col min="833" max="833" width="10.69" hidden="false" outlineLevel="1" customWidth="1"/>
    <col min="834" max="834" width="10.69" hidden="false" outlineLevel="1" customWidth="1"/>
    <col min="835" max="835" width="10.69" hidden="false" outlineLevel="1" customWidth="1"/>
    <col min="836" max="836" width="10.69" hidden="false" outlineLevel="1" customWidth="1"/>
    <col min="837" max="837" width="10.69" hidden="false" outlineLevel="1" customWidth="1"/>
    <col min="838" max="838" width="10.69" hidden="false" outlineLevel="1" customWidth="1"/>
    <col min="839" max="839" width="10.69" hidden="false" outlineLevel="1" customWidth="1"/>
    <col min="840" max="840" width="10.69" hidden="false" outlineLevel="1" customWidth="1"/>
    <col min="841" max="841" width="10.69" hidden="false" outlineLevel="1" customWidth="1"/>
    <col min="842" max="842" width="10.69" hidden="false" outlineLevel="1" customWidth="1"/>
    <col min="843" max="843" width="10.69" hidden="false" outlineLevel="1" customWidth="1"/>
    <col min="844" max="844" width="10.69" hidden="false" outlineLevel="1" customWidth="1"/>
    <col min="845" max="845" width="10.69" hidden="false" outlineLevel="1" customWidth="1"/>
    <col min="846" max="846" width="10.69" hidden="false" outlineLevel="1" customWidth="1"/>
    <col min="847" max="847" width="10.69" hidden="false" outlineLevel="1" customWidth="1"/>
    <col min="848" max="848" width="10.69" hidden="false" outlineLevel="1" customWidth="1"/>
    <col min="849" max="849" width="10.69" hidden="false" outlineLevel="1" customWidth="1"/>
    <col min="850" max="850" width="10.69" hidden="false" outlineLevel="1" customWidth="1"/>
    <col min="851" max="851" width="10.69" hidden="false" outlineLevel="1" customWidth="1"/>
    <col min="852" max="852" width="10.69" hidden="false" outlineLevel="1" customWidth="1"/>
    <col min="853" max="853" width="10.69" hidden="false" outlineLevel="1" customWidth="1"/>
    <col min="854" max="854" width="10.69" hidden="false" outlineLevel="1" customWidth="1"/>
    <col min="855" max="855" width="10.69" hidden="false" outlineLevel="1" customWidth="1"/>
    <col min="856" max="856" width="10.69" hidden="false" outlineLevel="1" customWidth="1"/>
    <col min="857" max="857" width="10.69" hidden="false" outlineLevel="1" customWidth="1"/>
    <col min="858" max="858" width="10.69" hidden="false" outlineLevel="1" customWidth="1"/>
    <col min="859" max="859" width="10.69" hidden="false" outlineLevel="1" customWidth="1"/>
    <col min="860" max="860" width="10.69" hidden="false" outlineLevel="1" customWidth="1"/>
    <col min="861" max="861" width="10.69" hidden="false" outlineLevel="1" customWidth="1"/>
    <col min="862" max="862" width="10.69" hidden="false" outlineLevel="1" customWidth="1"/>
    <col min="863" max="863" width="10.69" hidden="false" outlineLevel="1" customWidth="1"/>
    <col min="864" max="864" width="10.69" hidden="false" outlineLevel="1" customWidth="1"/>
    <col min="865" max="865" width="10.69" hidden="false" outlineLevel="1" customWidth="1"/>
    <col min="866" max="866" width="10.69" hidden="false" outlineLevel="1" customWidth="1"/>
    <col min="867" max="867" width="10.69" hidden="false" outlineLevel="1" customWidth="1"/>
    <col min="868" max="868" width="10.69" hidden="false" outlineLevel="1" customWidth="1"/>
    <col min="869" max="869" width="10.69" hidden="false" outlineLevel="1" customWidth="1"/>
    <col min="870" max="870" width="10.69" hidden="false" outlineLevel="1" customWidth="1"/>
    <col min="871" max="871" width="10.69" hidden="false" outlineLevel="1" customWidth="1"/>
    <col min="872" max="872" width="10.69" hidden="false" outlineLevel="1" customWidth="1"/>
    <col min="873" max="873" width="10.69" hidden="false" outlineLevel="1" customWidth="1"/>
    <col min="874" max="874" width="10.69" hidden="false" outlineLevel="1" customWidth="1"/>
    <col min="875" max="875" width="10.69" hidden="false" outlineLevel="1" customWidth="1"/>
    <col min="876" max="876" width="10.69" hidden="false" outlineLevel="1" customWidth="1"/>
    <col min="877" max="877" width="10.69" hidden="false" outlineLevel="1" customWidth="1"/>
    <col min="878" max="878" width="10.69" hidden="false" outlineLevel="1" customWidth="1"/>
    <col min="879" max="879" width="10.69" hidden="false" outlineLevel="1" customWidth="1"/>
    <col min="880" max="880" width="10.69" hidden="false" outlineLevel="1" customWidth="1"/>
    <col min="881" max="881" width="10.69" hidden="false" outlineLevel="1" customWidth="1"/>
    <col min="882" max="882" width="10.69" hidden="false" outlineLevel="1" customWidth="1"/>
    <col min="883" max="883" width="10.69" hidden="false" outlineLevel="1" customWidth="1"/>
    <col min="884" max="884" width="10.69" hidden="false" outlineLevel="1" customWidth="1"/>
    <col min="885" max="885" width="10.69" hidden="false" outlineLevel="1" customWidth="1"/>
    <col min="886" max="886" width="10.69" hidden="false" outlineLevel="1" customWidth="1"/>
    <col min="887" max="887" width="10.69" hidden="false" outlineLevel="1" customWidth="1"/>
    <col min="888" max="888" width="10.69" hidden="false" outlineLevel="1" customWidth="1"/>
    <col min="889" max="889" width="10.69" hidden="false" outlineLevel="1" customWidth="1"/>
    <col min="890" max="890" width="10.69" hidden="false" outlineLevel="1" customWidth="1"/>
    <col min="891" max="891" width="10.69" hidden="false" outlineLevel="1" customWidth="1"/>
    <col min="892" max="892" width="10.69" hidden="false" outlineLevel="1" customWidth="1"/>
    <col min="893" max="893" width="10.69" hidden="false" outlineLevel="1" customWidth="1"/>
    <col min="894" max="894" width="10.69" hidden="false" outlineLevel="1" customWidth="1"/>
    <col min="895" max="895" width="10.69" hidden="false" outlineLevel="1" customWidth="1"/>
    <col min="896" max="896" width="10.69" hidden="false" outlineLevel="1" customWidth="1"/>
    <col min="897" max="897" width="10.69" hidden="false" outlineLevel="1" customWidth="1"/>
    <col min="898" max="898" width="10.69" hidden="false" outlineLevel="1" customWidth="1"/>
    <col min="899" max="899" width="10.69" hidden="false" outlineLevel="1" customWidth="1"/>
    <col min="900" max="900" width="10.69" hidden="false" outlineLevel="1" customWidth="1"/>
    <col min="901" max="901" width="10.69" hidden="false" outlineLevel="1" customWidth="1"/>
    <col min="902" max="902" width="10.69" hidden="false" outlineLevel="1" customWidth="1"/>
    <col min="903" max="903" width="10.69" hidden="false" outlineLevel="1" customWidth="1"/>
    <col min="904" max="904" width="10.69" hidden="false" outlineLevel="1" customWidth="1"/>
    <col min="905" max="905" width="10.69" hidden="false" outlineLevel="1" customWidth="1"/>
    <col min="906" max="906" width="10.69" hidden="false" outlineLevel="1" customWidth="1"/>
    <col min="907" max="907" width="10.69" hidden="false" outlineLevel="1" customWidth="1"/>
    <col min="908" max="908" width="10.69" hidden="false" outlineLevel="1" customWidth="1"/>
    <col min="909" max="909" width="10.69" hidden="false" outlineLevel="1" customWidth="1"/>
    <col min="910" max="910" width="10.69" hidden="false" outlineLevel="1" customWidth="1"/>
    <col min="911" max="911" width="10.69" hidden="false" outlineLevel="1" customWidth="1"/>
    <col min="912" max="912" width="10.69" hidden="false" outlineLevel="1" customWidth="1"/>
    <col min="913" max="913" width="10.69" hidden="false" outlineLevel="1" customWidth="1"/>
    <col min="914" max="914" width="10.69" hidden="false" outlineLevel="1" customWidth="1"/>
    <col min="915" max="915" width="10.69" hidden="false" outlineLevel="1" customWidth="1"/>
    <col min="916" max="916" width="10.69" hidden="false" outlineLevel="1" customWidth="1"/>
    <col min="917" max="917" width="10.69" hidden="false" outlineLevel="1" customWidth="1"/>
    <col min="918" max="918" width="10.69" hidden="false" outlineLevel="1" customWidth="1"/>
    <col min="919" max="919" width="10.69" hidden="false" outlineLevel="1" customWidth="1"/>
    <col min="920" max="920" width="10.69" hidden="false" outlineLevel="1" customWidth="1"/>
    <col min="921" max="921" width="10.69" hidden="false" outlineLevel="1" customWidth="1"/>
    <col min="922" max="922" width="10.69" hidden="false" outlineLevel="1" customWidth="1"/>
    <col min="923" max="923" width="10.69" hidden="false" outlineLevel="1" customWidth="1"/>
    <col min="924" max="924" width="10.69" hidden="false" outlineLevel="1" customWidth="1"/>
    <col min="925" max="925" width="10.69" hidden="false" outlineLevel="1" customWidth="1"/>
    <col min="926" max="926" width="10.69" hidden="false" outlineLevel="1" customWidth="1"/>
    <col min="927" max="927" width="10.69" hidden="false" outlineLevel="1" customWidth="1"/>
    <col min="928" max="928" width="10.69" hidden="false" outlineLevel="1" customWidth="1"/>
    <col min="929" max="929" width="10.69" hidden="false" outlineLevel="1" customWidth="1"/>
    <col min="930" max="930" width="10.69" hidden="false" outlineLevel="1" customWidth="1"/>
    <col min="931" max="931" width="10.69" hidden="false" outlineLevel="1" customWidth="1"/>
    <col min="932" max="932" width="10.69" hidden="false" outlineLevel="1" customWidth="1"/>
    <col min="933" max="933" width="10.69" hidden="false" outlineLevel="1" customWidth="1"/>
    <col min="934" max="934" width="10.69" hidden="false" outlineLevel="1" customWidth="1"/>
    <col min="935" max="935" width="10.69" hidden="false" outlineLevel="1" customWidth="1"/>
    <col min="936" max="936" width="10.69" hidden="false" outlineLevel="1" customWidth="1"/>
    <col min="937" max="937" width="10.69" hidden="false" outlineLevel="1" customWidth="1"/>
    <col min="938" max="938" width="10.69" hidden="false" outlineLevel="1" customWidth="1"/>
    <col min="939" max="939" width="10.69" hidden="false" outlineLevel="1" customWidth="1"/>
    <col min="940" max="940" width="10.69" hidden="false" outlineLevel="1" customWidth="1"/>
    <col min="941" max="941" width="10.69" hidden="false" outlineLevel="1" customWidth="1"/>
    <col min="942" max="942" width="10.69" hidden="false" outlineLevel="1" customWidth="1"/>
    <col min="943" max="943" width="10.69" hidden="false" outlineLevel="1" customWidth="1"/>
    <col min="944" max="944" width="10.69" hidden="false" outlineLevel="1" customWidth="1"/>
    <col min="945" max="945" width="10.69" hidden="false" outlineLevel="1" customWidth="1"/>
    <col min="946" max="946" width="10.69" hidden="false" outlineLevel="1" customWidth="1"/>
    <col min="947" max="947" width="10.69" hidden="false" outlineLevel="1" customWidth="1"/>
    <col min="948" max="948" width="10.69" hidden="false" outlineLevel="1" customWidth="1"/>
    <col min="949" max="949" width="10.69" hidden="false" outlineLevel="1" customWidth="1"/>
    <col min="950" max="950" width="10.69" hidden="false" outlineLevel="1" customWidth="1"/>
    <col min="951" max="951" width="10.69" hidden="false" outlineLevel="1" customWidth="1"/>
    <col min="952" max="952" width="10.69" hidden="false" outlineLevel="1" customWidth="1"/>
    <col min="953" max="953" width="10.69" hidden="false" outlineLevel="1" customWidth="1"/>
    <col min="954" max="954" width="10.69" hidden="false" outlineLevel="1" customWidth="1"/>
    <col min="955" max="955" width="10.69" hidden="false" outlineLevel="1" customWidth="1"/>
    <col min="956" max="956" width="10.69" hidden="false" outlineLevel="1" customWidth="1"/>
    <col min="957" max="957" width="10.69" hidden="false" outlineLevel="1" customWidth="1"/>
    <col min="958" max="958" width="10.69" hidden="false" outlineLevel="1" customWidth="1"/>
    <col min="959" max="959" width="10.69" hidden="false" outlineLevel="1" customWidth="1"/>
    <col min="960" max="960" width="10.69" hidden="false" outlineLevel="1" customWidth="1"/>
    <col min="961" max="961" width="10.69" hidden="false" outlineLevel="1" customWidth="1"/>
    <col min="962" max="962" width="10.69" hidden="false" outlineLevel="1" customWidth="1"/>
    <col min="963" max="963" width="10.69" hidden="false" outlineLevel="1" customWidth="1"/>
    <col min="964" max="964" width="10.69" hidden="false" outlineLevel="1" customWidth="1"/>
    <col min="965" max="965" width="10.69" hidden="false" outlineLevel="1" customWidth="1"/>
    <col min="966" max="966" width="10.69" hidden="false" outlineLevel="1" customWidth="1"/>
    <col min="967" max="967" width="10.69" hidden="false" outlineLevel="1" customWidth="1"/>
    <col min="968" max="968" width="10.69" hidden="false" outlineLevel="1" customWidth="1"/>
    <col min="969" max="969" width="10.69" hidden="false" outlineLevel="1" customWidth="1"/>
    <col min="970" max="970" width="10.69" hidden="false" outlineLevel="1" customWidth="1"/>
    <col min="971" max="971" width="10.69" hidden="false" outlineLevel="1" customWidth="1"/>
    <col min="972" max="972" width="10.69" hidden="false" outlineLevel="1" customWidth="1"/>
    <col min="973" max="973" width="10.69" hidden="false" outlineLevel="1" customWidth="1"/>
    <col min="974" max="974" width="10.69" hidden="false" outlineLevel="1" customWidth="1"/>
    <col min="975" max="975" width="10.69" hidden="false" outlineLevel="1" customWidth="1"/>
    <col min="976" max="976" width="10.69" hidden="false" outlineLevel="1" customWidth="1"/>
    <col min="977" max="977" width="10.69" hidden="false" outlineLevel="1" customWidth="1"/>
    <col min="978" max="978" width="10.69" hidden="false" outlineLevel="1" customWidth="1"/>
    <col min="979" max="979" width="10.69" hidden="false" outlineLevel="1" customWidth="1"/>
    <col min="980" max="980" width="10.69" hidden="false" outlineLevel="1" customWidth="1"/>
    <col min="981" max="981" width="10.69" hidden="false" outlineLevel="1" customWidth="1"/>
    <col min="982" max="982" width="10.69" hidden="false" outlineLevel="1" customWidth="1"/>
    <col min="983" max="983" width="10.69" hidden="false" outlineLevel="1" customWidth="1"/>
    <col min="984" max="984" width="10.69" hidden="false" outlineLevel="1" customWidth="1"/>
    <col min="985" max="985" width="10.69" hidden="false" outlineLevel="1" customWidth="1"/>
    <col min="986" max="986" width="10.69" hidden="false" outlineLevel="1" customWidth="1"/>
    <col min="987" max="987" width="10.69" hidden="false" outlineLevel="1" customWidth="1"/>
    <col min="988" max="988" width="10.69" hidden="false" outlineLevel="1" customWidth="1"/>
    <col min="989" max="989" width="10.69" hidden="false" outlineLevel="1" customWidth="1"/>
    <col min="990" max="990" width="10.69" hidden="false" outlineLevel="1" customWidth="1"/>
    <col min="991" max="991" width="10.69" hidden="false" outlineLevel="1" customWidth="1"/>
    <col min="992" max="992" width="10.69" hidden="false" outlineLevel="1" customWidth="1"/>
    <col min="993" max="993" width="10.69" hidden="false" outlineLevel="1" customWidth="1"/>
    <col min="994" max="994" width="10.69" hidden="false" outlineLevel="1" customWidth="1"/>
    <col min="995" max="995" width="10.69" hidden="false" outlineLevel="1" customWidth="1"/>
    <col min="996" max="996" width="10.69" hidden="false" outlineLevel="1" customWidth="1"/>
    <col min="997" max="997" width="10.69" hidden="false" outlineLevel="1" customWidth="1"/>
    <col min="998" max="998" width="10.69" hidden="false" outlineLevel="1" customWidth="1"/>
    <col min="999" max="999" width="10.69" hidden="false" outlineLevel="1" customWidth="1"/>
    <col min="1000" max="1000" width="10.69" hidden="false" outlineLevel="1" customWidth="1"/>
    <col min="1001" max="1001" width="10.69" hidden="false" outlineLevel="1" customWidth="1"/>
    <col min="1002" max="1002" width="10.69" hidden="false" outlineLevel="1" customWidth="1"/>
    <col min="1003" max="1003" width="10.69" hidden="false" outlineLevel="1" customWidth="1"/>
    <col min="1004" max="1004" width="10.69" hidden="false" outlineLevel="1" customWidth="1"/>
    <col min="1005" max="1005" width="10.69" hidden="false" outlineLevel="1" customWidth="1"/>
    <col min="1006" max="1006" width="10.69" hidden="false" outlineLevel="1" customWidth="1"/>
    <col min="1007" max="1007" width="10.69" hidden="false" outlineLevel="1" customWidth="1"/>
    <col min="1008" max="1008" width="10.69" hidden="false" outlineLevel="1" customWidth="1"/>
    <col min="1009" max="1009" width="10.69" hidden="false" outlineLevel="1" customWidth="1"/>
    <col min="1010" max="1010" width="10.69" hidden="false" outlineLevel="1" customWidth="1"/>
    <col min="1011" max="1011" width="10.69" hidden="false" outlineLevel="1" customWidth="1"/>
    <col min="1012" max="1012" width="10.69" hidden="false" outlineLevel="1" customWidth="1"/>
    <col min="1013" max="1013" width="10.69" hidden="false" outlineLevel="1" customWidth="1"/>
    <col min="1014" max="1014" width="10.69" hidden="false" outlineLevel="1" customWidth="1"/>
    <col min="1015" max="1015" width="10.69" hidden="false" outlineLevel="1" customWidth="1"/>
    <col min="1016" max="1016" width="10.69" hidden="false" outlineLevel="1" customWidth="1"/>
    <col min="1017" max="1017" width="10.69" hidden="false" outlineLevel="1" customWidth="1"/>
    <col min="1018" max="1018" width="10.69" hidden="false" outlineLevel="1" customWidth="1"/>
    <col min="1019" max="1019" width="10.69" hidden="false" outlineLevel="1" customWidth="1"/>
    <col min="1020" max="1020" width="10.69" hidden="false" outlineLevel="1" customWidth="1"/>
    <col min="1021" max="1021" width="10.69" hidden="false" outlineLevel="1" customWidth="1"/>
    <col min="1022" max="1022" width="10.69" hidden="false" outlineLevel="1" customWidth="1"/>
    <col min="1023" max="1023" width="10.69" hidden="false" outlineLevel="1" customWidth="1"/>
    <col min="1024" max="1024" width="10.69" hidden="false" outlineLevel="1" customWidth="1"/>
    <col min="1025" max="1025" width="10.69" hidden="false" outlineLevel="1" customWidth="1"/>
  </cols>
  <sheetData>
    <row r="1" ht="18" customHeight="1">
      <c r="A1" s="1149" t="s">
        <v>1811</v>
      </c>
      <c r="B1" s="1128"/>
      <c r="C1" s="1150"/>
      <c r="D1" s="1128"/>
      <c r="E1" s="1128"/>
      <c r="F1" s="1128"/>
      <c r="G1" s="1128"/>
      <c r="H1" s="1128"/>
      <c r="I1" s="1128"/>
      <c r="J1" s="1128"/>
      <c r="K1" s="1128"/>
      <c r="L1" s="1128"/>
      <c r="M1" s="646"/>
      <c r="N1" s="646"/>
      <c r="O1" s="646"/>
    </row>
    <row r="2" ht="12.75" customHeight="1">
      <c r="A2" s="1128" t="s">
        <v>1812</v>
      </c>
      <c r="B2" s="1128"/>
      <c r="C2" s="1128"/>
      <c r="D2" s="1128"/>
      <c r="E2" s="1150"/>
      <c r="F2" s="1128"/>
      <c r="G2" s="1128"/>
      <c r="H2" s="1128"/>
      <c r="I2" s="1128"/>
      <c r="J2" s="1128"/>
      <c r="K2" s="1128"/>
      <c r="L2" s="1128"/>
      <c r="M2" s="646"/>
      <c r="N2" s="1151" t="s">
        <v>1813</v>
      </c>
      <c r="O2" s="1151"/>
    </row>
    <row r="3" ht="12.75" customHeight="1">
      <c r="A3" s="1128"/>
      <c r="B3" s="1128"/>
      <c r="C3" s="1128"/>
      <c r="D3" s="1128"/>
      <c r="E3" s="1150"/>
      <c r="F3" s="1128"/>
      <c r="G3" s="1128"/>
      <c r="H3" s="1128"/>
      <c r="I3" s="1128"/>
      <c r="J3" s="1128"/>
      <c r="K3" s="1128"/>
      <c r="L3" s="1128"/>
      <c r="M3" s="646"/>
      <c r="N3" s="646"/>
      <c r="O3" s="646"/>
    </row>
    <row r="4" ht="12.75" customHeight="1">
      <c r="A4" s="1128" t="s">
        <v>1814</v>
      </c>
      <c r="B4" s="1152" t="s">
        <v>22</v>
      </c>
      <c r="C4" s="1152"/>
      <c r="D4" s="1152"/>
      <c r="E4" s="1150"/>
      <c r="F4" s="1128"/>
      <c r="G4" s="1128"/>
      <c r="H4" s="1128"/>
      <c r="I4" s="1128"/>
      <c r="J4" s="1128"/>
      <c r="K4" s="1128"/>
      <c r="L4" s="1128"/>
      <c r="M4" s="646"/>
      <c r="N4" s="646" t="s">
        <v>1815</v>
      </c>
      <c r="O4" s="646" t="s">
        <v>1261</v>
      </c>
    </row>
    <row r="5" ht="12.75" customHeight="1">
      <c r="A5" s="1128"/>
      <c r="B5" s="1153" t="s">
        <v>25</v>
      </c>
      <c r="C5" s="1153"/>
      <c r="D5" s="1153"/>
      <c r="E5" s="1128"/>
      <c r="F5" s="1128"/>
      <c r="G5" s="1128"/>
      <c r="H5" s="1128"/>
      <c r="I5" s="1128"/>
      <c r="J5" s="1128"/>
      <c r="K5" s="1128"/>
      <c r="L5" s="1128"/>
      <c r="M5" s="646"/>
      <c r="N5" s="646" t="n">
        <v>0</v>
      </c>
      <c r="O5" s="646" t="s">
        <v>1816</v>
      </c>
    </row>
    <row r="6" ht="12.75" customHeight="1">
      <c r="A6" s="1128"/>
      <c r="B6" s="1154" t="s">
        <v>28</v>
      </c>
      <c r="C6" s="1154"/>
      <c r="D6" s="1154"/>
      <c r="E6" s="1128"/>
      <c r="F6" s="1128"/>
      <c r="G6" s="1128"/>
      <c r="H6" s="1128"/>
      <c r="I6" s="1128"/>
      <c r="J6" s="1128"/>
      <c r="K6" s="1128"/>
      <c r="L6" s="1128"/>
      <c r="M6" s="646"/>
      <c r="N6" s="646" t="n">
        <v>1</v>
      </c>
      <c r="O6" s="646" t="s">
        <v>1817</v>
      </c>
    </row>
    <row r="7" ht="12.75" customHeight="1">
      <c r="A7" s="1128"/>
      <c r="B7" s="1155" t="s">
        <v>31</v>
      </c>
      <c r="C7" s="1155"/>
      <c r="D7" s="1155"/>
      <c r="E7" s="1128"/>
      <c r="F7" s="1128"/>
      <c r="G7" s="1128"/>
      <c r="H7" s="1128"/>
      <c r="I7" s="1128"/>
      <c r="J7" s="1128"/>
      <c r="K7" s="1128"/>
      <c r="L7" s="1128"/>
      <c r="M7" s="646"/>
      <c r="N7" s="646" t="n">
        <v>2</v>
      </c>
      <c r="O7" s="646" t="s">
        <v>1818</v>
      </c>
    </row>
    <row r="8" ht="12.75" customHeight="1">
      <c r="A8" s="1128"/>
      <c r="B8" s="1152" t="s">
        <v>1819</v>
      </c>
      <c r="C8" s="1152"/>
      <c r="D8" s="1152"/>
      <c r="E8" s="1128"/>
      <c r="F8" s="1128"/>
      <c r="G8" s="1128"/>
      <c r="H8" s="1128"/>
      <c r="I8" s="1128"/>
      <c r="J8" s="1128"/>
      <c r="K8" s="1128"/>
      <c r="L8" s="1128"/>
      <c r="M8" s="646"/>
      <c r="N8" s="646" t="n">
        <v>3</v>
      </c>
      <c r="O8" s="646" t="s">
        <v>1820</v>
      </c>
    </row>
    <row r="9" ht="12.75" customHeight="1">
      <c r="A9" s="1128"/>
      <c r="B9" s="1128"/>
      <c r="C9" s="1128"/>
      <c r="D9" s="1128"/>
      <c r="E9" s="1128"/>
      <c r="F9" s="1128"/>
      <c r="G9" s="1128"/>
      <c r="H9" s="1128"/>
      <c r="I9" s="1128"/>
      <c r="J9" s="1128"/>
      <c r="K9" s="1128"/>
      <c r="L9" s="1128"/>
      <c r="M9" s="646"/>
      <c r="N9" s="646" t="n">
        <v>4</v>
      </c>
      <c r="O9" s="646" t="s">
        <v>1821</v>
      </c>
    </row>
    <row r="10" ht="20.25" customHeight="1">
      <c r="A10" s="1156" t="s">
        <v>1822</v>
      </c>
      <c r="B10" s="1156"/>
      <c r="C10" s="1156"/>
      <c r="D10" s="1156"/>
      <c r="E10" s="1156"/>
      <c r="F10" s="1156"/>
      <c r="G10" s="1156"/>
      <c r="H10" s="1156"/>
      <c r="I10" s="1156"/>
      <c r="J10" s="1157"/>
      <c r="K10" s="1157"/>
      <c r="L10" s="1157"/>
      <c r="M10" s="646"/>
      <c r="N10" s="646" t="n">
        <v>5</v>
      </c>
      <c r="O10" s="646" t="s">
        <v>1823</v>
      </c>
    </row>
    <row r="11" ht="12.75" customHeight="1">
      <c r="A11" s="1158"/>
      <c r="B11" s="1128"/>
      <c r="C11" s="1128"/>
      <c r="D11" s="1128"/>
      <c r="E11" s="1128"/>
      <c r="F11" s="1128"/>
      <c r="G11" s="1128"/>
      <c r="H11" s="1128"/>
      <c r="I11" s="1128"/>
      <c r="J11" s="1128"/>
      <c r="K11" s="1128"/>
      <c r="L11" s="1128"/>
      <c r="M11" s="646"/>
      <c r="N11" s="646" t="n">
        <v>6</v>
      </c>
      <c r="O11" s="646" t="s">
        <v>1824</v>
      </c>
    </row>
    <row r="12" ht="12.75" customHeight="1">
      <c r="A12" s="1150" t="s">
        <v>1825</v>
      </c>
      <c r="B12" s="1128"/>
      <c r="C12" s="1128"/>
      <c r="D12" s="1128"/>
      <c r="E12" s="1128"/>
      <c r="F12" s="1128"/>
      <c r="G12" s="1128"/>
      <c r="H12" s="1128"/>
      <c r="I12" s="1128"/>
      <c r="J12" s="1128"/>
      <c r="K12" s="1128"/>
      <c r="L12" s="1128" t="s">
        <v>1192</v>
      </c>
      <c r="M12" s="646"/>
      <c r="N12" s="646" t="n">
        <v>7</v>
      </c>
      <c r="O12" s="646" t="s">
        <v>1826</v>
      </c>
    </row>
    <row r="13" ht="26.25" customHeight="1">
      <c r="A13" s="27" t="s">
        <v>416</v>
      </c>
      <c r="B13" s="844" t="s">
        <v>382</v>
      </c>
      <c r="C13" s="725" t="s">
        <v>406</v>
      </c>
      <c r="D13" s="725" t="s">
        <v>407</v>
      </c>
      <c r="E13" s="725" t="s">
        <v>408</v>
      </c>
      <c r="F13" s="725" t="s">
        <v>406</v>
      </c>
      <c r="G13" s="725" t="s">
        <v>407</v>
      </c>
      <c r="H13" s="725" t="s">
        <v>408</v>
      </c>
      <c r="I13" s="1159" t="s">
        <v>1827</v>
      </c>
      <c r="J13" s="1128"/>
      <c r="K13" s="646"/>
      <c r="N13" s="646" t="s">
        <v>697</v>
      </c>
      <c r="O13" s="646" t="s">
        <v>697</v>
      </c>
    </row>
    <row r="14" ht="25.5" customHeight="1">
      <c r="A14" s="1140"/>
      <c r="B14" s="1160" t="s">
        <v>383</v>
      </c>
      <c r="C14" s="534" t="s">
        <v>410</v>
      </c>
      <c r="D14" s="534" t="s">
        <v>410</v>
      </c>
      <c r="E14" s="534" t="s">
        <v>410</v>
      </c>
      <c r="F14" s="534" t="s">
        <v>1223</v>
      </c>
      <c r="G14" s="534" t="s">
        <v>1223</v>
      </c>
      <c r="H14" s="534" t="s">
        <v>1223</v>
      </c>
      <c r="I14" s="1161"/>
      <c r="J14" s="1128"/>
      <c r="K14" s="646"/>
      <c r="L14" s="646"/>
      <c r="M14" s="646"/>
      <c r="N14" s="646" t="s">
        <v>1828</v>
      </c>
      <c r="O14" s="646" t="s">
        <v>1829</v>
      </c>
    </row>
    <row r="15" ht="12.75" customHeight="1">
      <c r="A15" s="584" t="s">
        <v>384</v>
      </c>
      <c r="B15" s="1162" t="n">
        <f aca="false">0.18*69</f>
        <v>12.42</v>
      </c>
      <c r="C15" s="1163" t="n">
        <v>0</v>
      </c>
      <c r="D15" s="1163" t="n">
        <v>0</v>
      </c>
      <c r="E15" s="1163" t="n">
        <v>600</v>
      </c>
      <c r="F15" s="1000" t="n">
        <f aca="false">($B15)*C15</f>
        <v>0</v>
      </c>
      <c r="G15" s="1000" t="n">
        <f aca="false">($B15)*D15</f>
        <v>0</v>
      </c>
      <c r="H15" s="1000" t="n">
        <f aca="false">($B15)*E15</f>
        <v>7452</v>
      </c>
      <c r="I15" s="1164" t="s">
        <v>1828</v>
      </c>
      <c r="J15" s="646"/>
      <c r="K15" s="646"/>
      <c r="L15" s="646"/>
      <c r="M15" s="646"/>
      <c r="N15" s="646"/>
      <c r="O15" s="646"/>
    </row>
    <row r="16" ht="12.75" customHeight="1">
      <c r="A16" s="584" t="s">
        <v>385</v>
      </c>
      <c r="B16" s="864"/>
      <c r="C16" s="1163" t="n">
        <v>0</v>
      </c>
      <c r="D16" s="1163" t="n">
        <v>0</v>
      </c>
      <c r="E16" s="1163" t="n">
        <v>300</v>
      </c>
      <c r="F16" s="1000" t="n">
        <f aca="false">($B16)*C16</f>
        <v>0</v>
      </c>
      <c r="G16" s="1000" t="n">
        <f aca="false">($B16)*D16</f>
        <v>0</v>
      </c>
      <c r="H16" s="1000" t="n">
        <f aca="false">($B16)*E16</f>
        <v>0</v>
      </c>
      <c r="I16" s="1164" t="n">
        <v>0</v>
      </c>
      <c r="J16" s="646"/>
      <c r="K16" s="646"/>
      <c r="L16" s="646"/>
      <c r="M16" s="646"/>
      <c r="N16" s="646"/>
      <c r="O16" s="646"/>
    </row>
    <row r="17" ht="12.75" customHeight="1">
      <c r="A17" s="584" t="s">
        <v>386</v>
      </c>
      <c r="B17" s="864"/>
      <c r="C17" s="1163" t="n">
        <v>0</v>
      </c>
      <c r="D17" s="1163" t="n">
        <v>0</v>
      </c>
      <c r="E17" s="1163" t="n">
        <v>500</v>
      </c>
      <c r="F17" s="1000" t="n">
        <f aca="false">($B17)*C17</f>
        <v>0</v>
      </c>
      <c r="G17" s="1000" t="n">
        <f aca="false">($B17)*D17</f>
        <v>0</v>
      </c>
      <c r="H17" s="1000" t="n">
        <f aca="false">($B17)*E17</f>
        <v>0</v>
      </c>
      <c r="I17" s="1164" t="s">
        <v>1828</v>
      </c>
      <c r="J17" s="646"/>
      <c r="K17" s="646"/>
      <c r="L17" s="646"/>
      <c r="M17" s="646"/>
      <c r="N17" s="646"/>
      <c r="O17" s="646"/>
    </row>
    <row r="18" ht="12.75" customHeight="1">
      <c r="A18" s="584" t="s">
        <v>387</v>
      </c>
      <c r="B18" s="864" t="n">
        <f aca="false">0.4*30</f>
        <v>12</v>
      </c>
      <c r="C18" s="1163" t="n">
        <v>335</v>
      </c>
      <c r="D18" s="1163" t="n">
        <v>0</v>
      </c>
      <c r="E18" s="1163" t="n">
        <v>0</v>
      </c>
      <c r="F18" s="1000" t="n">
        <f aca="false">($B18)*C18</f>
        <v>4020</v>
      </c>
      <c r="G18" s="1000" t="n">
        <f aca="false">($B18)*D18</f>
        <v>0</v>
      </c>
      <c r="H18" s="1000" t="n">
        <f aca="false">($B18)*E18</f>
        <v>0</v>
      </c>
      <c r="I18" s="1164" t="s">
        <v>1828</v>
      </c>
      <c r="J18" s="646"/>
      <c r="K18" s="646"/>
      <c r="L18" s="646"/>
      <c r="M18" s="646"/>
      <c r="N18" s="646"/>
      <c r="O18" s="646"/>
    </row>
    <row r="19" ht="12.75" customHeight="1">
      <c r="A19" s="584" t="s">
        <v>388</v>
      </c>
      <c r="B19" s="864"/>
      <c r="C19" s="1163" t="n">
        <v>200</v>
      </c>
      <c r="D19" s="1163" t="n">
        <v>0</v>
      </c>
      <c r="E19" s="1163" t="n">
        <v>0</v>
      </c>
      <c r="F19" s="1000" t="n">
        <f aca="false">($B19)*C19</f>
        <v>0</v>
      </c>
      <c r="G19" s="1000" t="n">
        <f aca="false">($B19)*D19</f>
        <v>0</v>
      </c>
      <c r="H19" s="1000" t="n">
        <f aca="false">($B19)*E19</f>
        <v>0</v>
      </c>
      <c r="I19" s="1164" t="n">
        <v>1</v>
      </c>
      <c r="J19" s="646"/>
      <c r="K19" s="646"/>
      <c r="L19" s="646"/>
      <c r="M19" s="646"/>
      <c r="N19" s="646"/>
      <c r="O19" s="646"/>
    </row>
    <row r="20" ht="12.75" customHeight="1">
      <c r="A20" s="584" t="s">
        <v>389</v>
      </c>
      <c r="B20" s="864"/>
      <c r="C20" s="1163" t="n">
        <v>155</v>
      </c>
      <c r="D20" s="1163" t="n">
        <v>0</v>
      </c>
      <c r="E20" s="1163" t="n">
        <v>0</v>
      </c>
      <c r="F20" s="1000" t="n">
        <f aca="false">($B20)*C20</f>
        <v>0</v>
      </c>
      <c r="G20" s="1000" t="n">
        <f aca="false">($B20)*D20</f>
        <v>0</v>
      </c>
      <c r="H20" s="1000" t="n">
        <f aca="false">($B20)*E20</f>
        <v>0</v>
      </c>
      <c r="I20" s="1164" t="n">
        <v>1</v>
      </c>
      <c r="J20" s="646"/>
      <c r="K20" s="646"/>
      <c r="L20" s="646"/>
      <c r="M20" s="646"/>
      <c r="N20" s="646"/>
      <c r="O20" s="646"/>
    </row>
    <row r="21" ht="25.5" customHeight="1">
      <c r="A21" s="584" t="s">
        <v>390</v>
      </c>
      <c r="B21" s="864"/>
      <c r="C21" s="1163" t="n">
        <v>150</v>
      </c>
      <c r="D21" s="1163" t="n">
        <v>0</v>
      </c>
      <c r="E21" s="1163" t="n">
        <v>0</v>
      </c>
      <c r="F21" s="1000" t="n">
        <f aca="false">($B21)*C21</f>
        <v>0</v>
      </c>
      <c r="G21" s="1000" t="n">
        <f aca="false">($B21)*D21</f>
        <v>0</v>
      </c>
      <c r="H21" s="1000" t="n">
        <f aca="false">($B21)*E21</f>
        <v>0</v>
      </c>
      <c r="I21" s="1164" t="n">
        <v>0</v>
      </c>
      <c r="J21" s="646"/>
      <c r="K21" s="646"/>
      <c r="L21" s="646"/>
      <c r="M21" s="646"/>
      <c r="N21" s="646"/>
      <c r="O21" s="646"/>
    </row>
    <row r="22" ht="12.75" customHeight="1">
      <c r="A22" s="584" t="s">
        <v>391</v>
      </c>
      <c r="B22" s="864"/>
      <c r="C22" s="1163" t="n">
        <v>160</v>
      </c>
      <c r="D22" s="1163" t="n">
        <v>0</v>
      </c>
      <c r="E22" s="1163" t="n">
        <v>0</v>
      </c>
      <c r="F22" s="1000" t="n">
        <f aca="false">($B22)*C22</f>
        <v>0</v>
      </c>
      <c r="G22" s="1000" t="n">
        <f aca="false">($B22)*D22</f>
        <v>0</v>
      </c>
      <c r="H22" s="1000" t="n">
        <f aca="false">($B22)*E22</f>
        <v>0</v>
      </c>
      <c r="I22" s="1164" t="n">
        <v>0</v>
      </c>
      <c r="J22" s="646"/>
      <c r="K22" s="646"/>
      <c r="L22" s="646"/>
      <c r="M22" s="646"/>
      <c r="N22" s="646"/>
      <c r="O22" s="646"/>
    </row>
    <row r="23" ht="12.75" customHeight="1">
      <c r="A23" s="584" t="s">
        <v>392</v>
      </c>
      <c r="B23" s="864"/>
      <c r="C23" s="1163" t="n">
        <v>100</v>
      </c>
      <c r="D23" s="1163" t="n">
        <v>0</v>
      </c>
      <c r="E23" s="1163" t="n">
        <v>0</v>
      </c>
      <c r="F23" s="1000" t="n">
        <f aca="false">($B23)*C23</f>
        <v>0</v>
      </c>
      <c r="G23" s="1000" t="n">
        <f aca="false">($B23)*D23</f>
        <v>0</v>
      </c>
      <c r="H23" s="1000" t="n">
        <f aca="false">($B23)*E23</f>
        <v>0</v>
      </c>
      <c r="I23" s="1164" t="n">
        <v>0</v>
      </c>
      <c r="J23" s="646"/>
      <c r="K23" s="646"/>
      <c r="L23" s="646"/>
      <c r="M23" s="646"/>
      <c r="N23" s="646"/>
      <c r="O23" s="646"/>
    </row>
    <row r="24" ht="12.75" customHeight="1">
      <c r="A24" s="584" t="s">
        <v>393</v>
      </c>
      <c r="B24" s="864"/>
      <c r="C24" s="1163" t="n">
        <v>210</v>
      </c>
      <c r="D24" s="1163" t="n">
        <v>0</v>
      </c>
      <c r="E24" s="1163" t="n">
        <v>0</v>
      </c>
      <c r="F24" s="1000" t="n">
        <f aca="false">($B24)*C24</f>
        <v>0</v>
      </c>
      <c r="G24" s="1000" t="n">
        <f aca="false">($B24)*D24</f>
        <v>0</v>
      </c>
      <c r="H24" s="1000" t="n">
        <f aca="false">($B24)*E24</f>
        <v>0</v>
      </c>
      <c r="I24" s="1164" t="n">
        <v>1</v>
      </c>
      <c r="J24" s="646"/>
      <c r="K24" s="646"/>
      <c r="L24" s="646"/>
      <c r="M24" s="646"/>
      <c r="N24" s="646"/>
      <c r="O24" s="646"/>
    </row>
    <row r="25" ht="12.75" customHeight="1">
      <c r="A25" s="584" t="s">
        <v>394</v>
      </c>
      <c r="B25" s="864"/>
      <c r="C25" s="1163" t="n">
        <v>260</v>
      </c>
      <c r="D25" s="1163" t="n">
        <v>0</v>
      </c>
      <c r="E25" s="1163" t="n">
        <v>0</v>
      </c>
      <c r="F25" s="1000" t="n">
        <f aca="false">($B25)*C25</f>
        <v>0</v>
      </c>
      <c r="G25" s="1000" t="n">
        <f aca="false">($B25)*D25</f>
        <v>0</v>
      </c>
      <c r="H25" s="1000" t="n">
        <f aca="false">($B25)*E25</f>
        <v>0</v>
      </c>
      <c r="I25" s="1164" t="n">
        <v>0</v>
      </c>
      <c r="J25" s="646"/>
      <c r="K25" s="646"/>
      <c r="L25" s="646"/>
      <c r="M25" s="646"/>
      <c r="N25" s="646"/>
      <c r="O25" s="646"/>
    </row>
    <row r="26" ht="12.75" customHeight="1">
      <c r="A26" s="584" t="s">
        <v>395</v>
      </c>
      <c r="B26" s="864" t="n">
        <f aca="false">0.4*39</f>
        <v>15.6</v>
      </c>
      <c r="C26" s="1163" t="n">
        <v>460</v>
      </c>
      <c r="D26" s="1163" t="n">
        <v>0</v>
      </c>
      <c r="E26" s="1163" t="n">
        <v>0</v>
      </c>
      <c r="F26" s="1000" t="n">
        <f aca="false">($B26)*C26</f>
        <v>7176</v>
      </c>
      <c r="G26" s="1000" t="n">
        <f aca="false">($B26)*D26</f>
        <v>0</v>
      </c>
      <c r="H26" s="1000" t="n">
        <f aca="false">($B26)*E26</f>
        <v>0</v>
      </c>
      <c r="I26" s="1164" t="n">
        <v>1</v>
      </c>
      <c r="J26" s="646"/>
      <c r="K26" s="646"/>
      <c r="L26" s="646"/>
      <c r="M26" s="646"/>
      <c r="N26" s="646"/>
      <c r="O26" s="646"/>
    </row>
    <row r="27" ht="12.75" customHeight="1">
      <c r="A27" s="584" t="s">
        <v>396</v>
      </c>
      <c r="B27" s="864"/>
      <c r="C27" s="1163" t="n">
        <v>130</v>
      </c>
      <c r="D27" s="1163" t="n">
        <v>0</v>
      </c>
      <c r="E27" s="1163" t="n">
        <v>440</v>
      </c>
      <c r="F27" s="1000" t="n">
        <f aca="false">($B27)*C27</f>
        <v>0</v>
      </c>
      <c r="G27" s="1000" t="n">
        <f aca="false">($B27)*D27</f>
        <v>0</v>
      </c>
      <c r="H27" s="1000" t="n">
        <f aca="false">($B27)*E27</f>
        <v>0</v>
      </c>
      <c r="I27" s="1164" t="n">
        <v>1</v>
      </c>
      <c r="J27" s="646"/>
      <c r="K27" s="646"/>
      <c r="L27" s="646"/>
      <c r="M27" s="646"/>
      <c r="N27" s="646"/>
      <c r="O27" s="646"/>
    </row>
    <row r="28" ht="25.5" customHeight="1">
      <c r="A28" s="584" t="s">
        <v>397</v>
      </c>
      <c r="B28" s="864"/>
      <c r="C28" s="1163" t="n">
        <v>180</v>
      </c>
      <c r="D28" s="1163" t="n">
        <v>460</v>
      </c>
      <c r="E28" s="1163" t="n">
        <v>0</v>
      </c>
      <c r="F28" s="1000" t="n">
        <f aca="false">($B28)*C28</f>
        <v>0</v>
      </c>
      <c r="G28" s="1000" t="n">
        <f aca="false">($B28)*D28</f>
        <v>0</v>
      </c>
      <c r="H28" s="1000" t="n">
        <f aca="false">($B28)*E28</f>
        <v>0</v>
      </c>
      <c r="I28" s="1164" t="s">
        <v>1828</v>
      </c>
      <c r="J28" s="646"/>
      <c r="K28" s="646"/>
      <c r="L28" s="646"/>
      <c r="M28" s="646"/>
      <c r="N28" s="646"/>
      <c r="O28" s="646"/>
    </row>
    <row r="29" ht="12.75" customHeight="1">
      <c r="A29" s="584" t="s">
        <v>398</v>
      </c>
      <c r="B29" s="864"/>
      <c r="C29" s="1163" t="n">
        <v>110</v>
      </c>
      <c r="D29" s="1163" t="n">
        <v>60</v>
      </c>
      <c r="E29" s="1163" t="n">
        <v>20</v>
      </c>
      <c r="F29" s="1000" t="n">
        <f aca="false">($B29)*C29</f>
        <v>0</v>
      </c>
      <c r="G29" s="1000" t="n">
        <f aca="false">($B29)*D29</f>
        <v>0</v>
      </c>
      <c r="H29" s="1000" t="n">
        <f aca="false">($B29)*E29</f>
        <v>0</v>
      </c>
      <c r="I29" s="1164" t="n">
        <v>0</v>
      </c>
      <c r="J29" s="646"/>
      <c r="K29" s="646"/>
      <c r="L29" s="646"/>
      <c r="M29" s="646"/>
      <c r="N29" s="646"/>
      <c r="O29" s="646"/>
    </row>
    <row r="30" ht="12.75" customHeight="1">
      <c r="A30" s="584" t="s">
        <v>399</v>
      </c>
      <c r="B30" s="864"/>
      <c r="C30" s="1163" t="n">
        <v>100</v>
      </c>
      <c r="D30" s="1163" t="n">
        <v>10</v>
      </c>
      <c r="E30" s="1163" t="n">
        <v>50</v>
      </c>
      <c r="F30" s="1000" t="n">
        <f aca="false">($B30)*C30</f>
        <v>0</v>
      </c>
      <c r="G30" s="1000" t="n">
        <f aca="false">($B30)*D30</f>
        <v>0</v>
      </c>
      <c r="H30" s="1000" t="n">
        <f aca="false">($B30)*E30</f>
        <v>0</v>
      </c>
      <c r="I30" s="1164" t="n">
        <v>0</v>
      </c>
      <c r="J30" s="646"/>
      <c r="K30" s="646"/>
      <c r="L30" s="646"/>
      <c r="M30" s="646"/>
      <c r="N30" s="646"/>
      <c r="O30" s="646"/>
    </row>
    <row r="31" ht="12.75" customHeight="1">
      <c r="A31" s="584" t="s">
        <v>400</v>
      </c>
      <c r="B31" s="864"/>
      <c r="C31" s="1163" t="n">
        <v>5</v>
      </c>
      <c r="D31" s="1163" t="n">
        <v>4</v>
      </c>
      <c r="E31" s="1163" t="n">
        <v>4.5</v>
      </c>
      <c r="F31" s="1000" t="n">
        <f aca="false">($B31)*C31</f>
        <v>0</v>
      </c>
      <c r="G31" s="1000" t="n">
        <f aca="false">($B31)*D31</f>
        <v>0</v>
      </c>
      <c r="H31" s="1000" t="n">
        <f aca="false">($B31)*E31</f>
        <v>0</v>
      </c>
      <c r="I31" s="1164" t="n">
        <v>1</v>
      </c>
      <c r="J31" s="646"/>
      <c r="K31" s="646"/>
      <c r="L31" s="646"/>
      <c r="M31" s="646"/>
      <c r="N31" s="646"/>
      <c r="O31" s="646"/>
    </row>
    <row r="32" ht="25.5" customHeight="1">
      <c r="A32" s="584" t="s">
        <v>401</v>
      </c>
      <c r="B32" s="864"/>
      <c r="C32" s="1163" t="n">
        <v>140</v>
      </c>
      <c r="D32" s="1163" t="n">
        <v>80</v>
      </c>
      <c r="E32" s="1163" t="n">
        <v>200</v>
      </c>
      <c r="F32" s="1000" t="n">
        <f aca="false">($B32)*C32</f>
        <v>0</v>
      </c>
      <c r="G32" s="1000" t="n">
        <f aca="false">($B32)*D32</f>
        <v>0</v>
      </c>
      <c r="H32" s="1000" t="n">
        <f aca="false">($B32)*E32</f>
        <v>0</v>
      </c>
      <c r="I32" s="1164" t="s">
        <v>1828</v>
      </c>
      <c r="J32" s="646"/>
      <c r="K32" s="646"/>
      <c r="L32" s="646"/>
      <c r="M32" s="646"/>
      <c r="N32" s="646"/>
      <c r="O32" s="646"/>
    </row>
    <row r="33" ht="12.75" customHeight="1">
      <c r="A33" s="584" t="s">
        <v>402</v>
      </c>
      <c r="B33" s="864"/>
      <c r="C33" s="1163" t="n">
        <v>100</v>
      </c>
      <c r="D33" s="1163" t="n">
        <v>40</v>
      </c>
      <c r="E33" s="1163" t="n">
        <v>20</v>
      </c>
      <c r="F33" s="1000" t="n">
        <f aca="false">($B33)*C33</f>
        <v>0</v>
      </c>
      <c r="G33" s="1000" t="n">
        <f aca="false">($B33)*D33</f>
        <v>0</v>
      </c>
      <c r="H33" s="1000" t="n">
        <f aca="false">($B33)*E33</f>
        <v>0</v>
      </c>
      <c r="I33" s="1164" t="n">
        <v>0</v>
      </c>
      <c r="J33" s="646"/>
      <c r="K33" s="646"/>
      <c r="L33" s="646"/>
      <c r="M33" s="646"/>
      <c r="N33" s="646"/>
      <c r="O33" s="646"/>
    </row>
    <row r="34" ht="12.75" customHeight="1">
      <c r="A34" s="584" t="s">
        <v>403</v>
      </c>
      <c r="B34" s="864"/>
      <c r="C34" s="1163" t="n">
        <v>0</v>
      </c>
      <c r="D34" s="1163" t="n">
        <v>180</v>
      </c>
      <c r="E34" s="1163" t="n">
        <v>0</v>
      </c>
      <c r="F34" s="1000" t="n">
        <f aca="false">($B34)*C34</f>
        <v>0</v>
      </c>
      <c r="G34" s="1000" t="n">
        <f aca="false">($B34)*D34</f>
        <v>0</v>
      </c>
      <c r="H34" s="1000" t="n">
        <f aca="false">($B34)*E34</f>
        <v>0</v>
      </c>
      <c r="I34" s="1164" t="n">
        <v>0</v>
      </c>
      <c r="J34" s="646"/>
      <c r="K34" s="646"/>
      <c r="L34" s="646"/>
      <c r="M34" s="646"/>
      <c r="N34" s="646"/>
      <c r="O34" s="646"/>
    </row>
    <row r="35" ht="12.75" customHeight="1">
      <c r="A35" s="584" t="s">
        <v>404</v>
      </c>
      <c r="B35" s="864"/>
      <c r="C35" s="1163" t="n">
        <v>0</v>
      </c>
      <c r="D35" s="1163" t="n">
        <v>180</v>
      </c>
      <c r="E35" s="1163" t="n">
        <v>0</v>
      </c>
      <c r="F35" s="1000" t="n">
        <f aca="false">($B35)*C35</f>
        <v>0</v>
      </c>
      <c r="G35" s="1000" t="n">
        <f aca="false">($B35)*D35</f>
        <v>0</v>
      </c>
      <c r="H35" s="1000" t="n">
        <f aca="false">($B35)*E35</f>
        <v>0</v>
      </c>
      <c r="I35" s="1164" t="s">
        <v>1828</v>
      </c>
      <c r="J35" s="646"/>
      <c r="K35" s="646"/>
      <c r="L35" s="646"/>
      <c r="M35" s="646"/>
      <c r="N35" s="646"/>
      <c r="O35" s="646"/>
    </row>
    <row r="36" ht="12.75" customHeight="1">
      <c r="A36" s="584" t="s">
        <v>405</v>
      </c>
      <c r="B36" s="864"/>
      <c r="C36" s="1163" t="n">
        <v>0</v>
      </c>
      <c r="D36" s="1163" t="n">
        <v>450</v>
      </c>
      <c r="E36" s="1163" t="n">
        <v>0</v>
      </c>
      <c r="F36" s="1000" t="n">
        <f aca="false">($B36)*C36</f>
        <v>0</v>
      </c>
      <c r="G36" s="1000" t="n">
        <f aca="false">($B36)*D36</f>
        <v>0</v>
      </c>
      <c r="H36" s="1000" t="n">
        <f aca="false">($B36)*E36</f>
        <v>0</v>
      </c>
      <c r="I36" s="1164" t="s">
        <v>1828</v>
      </c>
      <c r="J36" s="646"/>
      <c r="K36" s="646"/>
      <c r="L36" s="646"/>
      <c r="M36" s="646"/>
      <c r="N36" s="646"/>
      <c r="O36" s="646"/>
    </row>
    <row r="37" ht="12.75" customHeight="1">
      <c r="A37" s="584" t="s">
        <v>409</v>
      </c>
      <c r="B37" s="864"/>
      <c r="C37" s="1163" t="n">
        <v>0</v>
      </c>
      <c r="D37" s="1163" t="n">
        <v>150</v>
      </c>
      <c r="E37" s="1163" t="n">
        <v>250</v>
      </c>
      <c r="F37" s="1000" t="n">
        <f aca="false">($B37)*C37</f>
        <v>0</v>
      </c>
      <c r="G37" s="1000" t="n">
        <f aca="false">($B37)*D37</f>
        <v>0</v>
      </c>
      <c r="H37" s="1000" t="n">
        <f aca="false">($B37)*E37</f>
        <v>0</v>
      </c>
      <c r="I37" s="1164" t="s">
        <v>1828</v>
      </c>
      <c r="J37" s="646"/>
      <c r="K37" s="646"/>
      <c r="L37" s="646"/>
      <c r="M37" s="646"/>
      <c r="N37" s="646"/>
      <c r="O37" s="646"/>
    </row>
    <row r="38" ht="12.75" customHeight="1">
      <c r="A38" s="584" t="s">
        <v>411</v>
      </c>
      <c r="B38" s="864"/>
      <c r="C38" s="1163" t="n">
        <v>9</v>
      </c>
      <c r="D38" s="1163" t="n">
        <v>0</v>
      </c>
      <c r="E38" s="1163" t="n">
        <v>0</v>
      </c>
      <c r="F38" s="1000" t="n">
        <f aca="false">($B38)*C38</f>
        <v>0</v>
      </c>
      <c r="G38" s="1000" t="n">
        <f aca="false">($B38)*D38</f>
        <v>0</v>
      </c>
      <c r="H38" s="1000" t="n">
        <f aca="false">($B38)*E38</f>
        <v>0</v>
      </c>
      <c r="I38" s="1164" t="n">
        <v>0</v>
      </c>
      <c r="J38" s="646"/>
      <c r="K38" s="646"/>
      <c r="L38" s="646"/>
      <c r="M38" s="646"/>
      <c r="N38" s="646"/>
      <c r="O38" s="646"/>
    </row>
    <row r="39" ht="12.75" customHeight="1">
      <c r="A39" s="584" t="s">
        <v>1830</v>
      </c>
      <c r="B39" s="864" t="n">
        <f aca="false">0.24*39</f>
        <v>9.36</v>
      </c>
      <c r="C39" s="864" t="n">
        <v>120</v>
      </c>
      <c r="D39" s="864" t="n">
        <v>240</v>
      </c>
      <c r="E39" s="864" t="n">
        <v>120</v>
      </c>
      <c r="F39" s="1000" t="n">
        <f aca="false">($B39)*C39</f>
        <v>1123.2</v>
      </c>
      <c r="G39" s="1000" t="n">
        <f aca="false">($B39)*D39</f>
        <v>2246.4</v>
      </c>
      <c r="H39" s="1000" t="n">
        <f aca="false">($B39)*E39</f>
        <v>1123.2</v>
      </c>
      <c r="I39" s="1164" t="s">
        <v>697</v>
      </c>
      <c r="J39" s="646"/>
      <c r="K39" s="646"/>
      <c r="L39" s="646"/>
      <c r="M39" s="646"/>
      <c r="N39" s="646"/>
      <c r="O39" s="646"/>
    </row>
    <row r="40" ht="12.75" customHeight="1">
      <c r="A40" s="584" t="s">
        <v>1831</v>
      </c>
      <c r="B40" s="864" t="n">
        <f aca="false">0.23*30</f>
        <v>6.9</v>
      </c>
      <c r="C40" s="864"/>
      <c r="D40" s="864"/>
      <c r="E40" s="864" t="n">
        <v>400</v>
      </c>
      <c r="F40" s="1000" t="n">
        <f aca="false">($B40)*C40</f>
        <v>0</v>
      </c>
      <c r="G40" s="1000" t="n">
        <f aca="false">($B40)*D40</f>
        <v>0</v>
      </c>
      <c r="H40" s="1000" t="n">
        <f aca="false">($B40)*E40</f>
        <v>2760</v>
      </c>
      <c r="I40" s="1164" t="s">
        <v>697</v>
      </c>
      <c r="J40" s="646"/>
      <c r="K40" s="646"/>
      <c r="L40" s="646"/>
      <c r="M40" s="646"/>
      <c r="N40" s="646"/>
      <c r="O40" s="646"/>
    </row>
    <row r="41" ht="12.75" customHeight="1">
      <c r="A41" s="584" t="s">
        <v>1136</v>
      </c>
      <c r="B41" s="864"/>
      <c r="C41" s="864"/>
      <c r="D41" s="864"/>
      <c r="E41" s="864"/>
      <c r="F41" s="1000" t="n">
        <f aca="false">($B41)*C41</f>
        <v>0</v>
      </c>
      <c r="G41" s="1000" t="n">
        <f aca="false">($B41)*D41</f>
        <v>0</v>
      </c>
      <c r="H41" s="1000" t="n">
        <f aca="false">($B41)*E41</f>
        <v>0</v>
      </c>
      <c r="I41" s="1164" t="s">
        <v>697</v>
      </c>
      <c r="J41" s="646"/>
      <c r="K41" s="646"/>
      <c r="L41" s="646"/>
      <c r="M41" s="646"/>
      <c r="N41" s="646"/>
      <c r="O41" s="646"/>
    </row>
    <row r="42" ht="12.75" customHeight="1">
      <c r="A42" s="1140"/>
      <c r="B42" s="1165"/>
      <c r="C42" s="1166"/>
      <c r="D42" s="1166"/>
      <c r="E42" s="1166"/>
      <c r="F42" s="1167" t="s">
        <v>406</v>
      </c>
      <c r="G42" s="1167" t="s">
        <v>407</v>
      </c>
      <c r="H42" s="1167" t="s">
        <v>408</v>
      </c>
      <c r="I42" s="1128"/>
      <c r="J42" s="1128"/>
      <c r="K42" s="646"/>
      <c r="L42" s="646"/>
      <c r="M42" s="646"/>
      <c r="N42" s="646"/>
      <c r="O42" s="646"/>
    </row>
    <row r="43" ht="12.75" customHeight="1">
      <c r="A43" s="1140"/>
      <c r="B43" s="1165"/>
      <c r="C43" s="646"/>
      <c r="D43" s="840" t="s">
        <v>1832</v>
      </c>
      <c r="E43" s="1168" t="s">
        <v>551</v>
      </c>
      <c r="F43" s="1000" t="n">
        <f aca="false">SUM(F15:F41)</f>
        <v>12319.2</v>
      </c>
      <c r="G43" s="1000" t="n">
        <f aca="false">SUM(G15:G41)</f>
        <v>2246.4</v>
      </c>
      <c r="H43" s="1000" t="n">
        <f aca="false">SUM(H15:H41)</f>
        <v>11335.2</v>
      </c>
      <c r="I43" s="1128"/>
      <c r="J43" s="1128"/>
      <c r="K43" s="646"/>
      <c r="L43" s="646"/>
      <c r="M43" s="646"/>
      <c r="N43" s="646"/>
      <c r="O43" s="646"/>
    </row>
    <row r="44" ht="12.75" customHeight="1">
      <c r="A44" s="1140"/>
      <c r="B44" s="1165"/>
      <c r="C44" s="646"/>
      <c r="D44" s="1169" t="s">
        <v>1833</v>
      </c>
      <c r="E44" s="1169"/>
      <c r="F44" s="1170" t="n">
        <v>1</v>
      </c>
      <c r="G44" s="1170" t="n">
        <v>0.437</v>
      </c>
      <c r="H44" s="1170" t="n">
        <v>0.83</v>
      </c>
      <c r="I44" s="1128"/>
      <c r="J44" s="1128"/>
      <c r="K44" s="646"/>
      <c r="L44" s="646"/>
      <c r="M44" s="646"/>
      <c r="N44" s="646"/>
      <c r="O44" s="646"/>
    </row>
    <row r="45" ht="12.75" customHeight="1">
      <c r="A45" s="1140"/>
      <c r="B45" s="1165"/>
      <c r="C45" s="646"/>
      <c r="D45" s="1169"/>
      <c r="E45" s="1165"/>
      <c r="F45" s="1167" t="s">
        <v>406</v>
      </c>
      <c r="G45" s="1167" t="s">
        <v>1834</v>
      </c>
      <c r="H45" s="1167" t="s">
        <v>1835</v>
      </c>
      <c r="I45" s="1128"/>
      <c r="J45" s="1128"/>
      <c r="K45" s="646"/>
      <c r="L45" s="646"/>
      <c r="M45" s="646"/>
      <c r="N45" s="646"/>
      <c r="O45" s="646"/>
    </row>
    <row r="46" ht="27.4" customHeight="1">
      <c r="A46" s="1140"/>
      <c r="B46" s="1165"/>
      <c r="C46" s="725" t="s">
        <v>1836</v>
      </c>
      <c r="D46" s="725"/>
      <c r="E46" s="1168" t="s">
        <v>551</v>
      </c>
      <c r="F46" s="543" t="n">
        <f aca="false">(F43)*F44</f>
        <v>12319.2</v>
      </c>
      <c r="G46" s="553" t="n">
        <f aca="false">(G43)*G44</f>
        <v>981.6768</v>
      </c>
      <c r="H46" s="553" t="n">
        <f aca="false">(H43)*H44</f>
        <v>9408.216</v>
      </c>
      <c r="I46" s="1128"/>
      <c r="J46" s="1128"/>
      <c r="K46" s="646"/>
      <c r="L46" s="646"/>
      <c r="M46" s="646"/>
      <c r="N46" s="646"/>
      <c r="O46" s="646"/>
    </row>
    <row r="47" ht="12.75" customHeight="1">
      <c r="A47" s="1140"/>
      <c r="B47" s="1165"/>
      <c r="C47" s="1166"/>
      <c r="D47" s="1171"/>
      <c r="E47" s="1171"/>
      <c r="F47" s="1171"/>
      <c r="G47" s="1171"/>
      <c r="H47" s="1171"/>
      <c r="I47" s="1128"/>
      <c r="J47" s="1128"/>
      <c r="K47" s="1128"/>
      <c r="L47" s="1128"/>
      <c r="M47" s="646"/>
      <c r="N47" s="646"/>
      <c r="O47" s="646"/>
    </row>
    <row r="48" ht="12.75" customHeight="1">
      <c r="A48" s="1140"/>
      <c r="B48" s="1165"/>
      <c r="C48" s="1166"/>
      <c r="D48" s="1171"/>
      <c r="E48" s="1171"/>
      <c r="F48" s="1171"/>
      <c r="G48" s="1171"/>
      <c r="H48" s="1171"/>
      <c r="I48" s="1128"/>
      <c r="J48" s="1128"/>
      <c r="K48" s="1128"/>
      <c r="L48" s="1128"/>
      <c r="M48" s="646"/>
      <c r="N48" s="646"/>
      <c r="O48" s="646"/>
    </row>
    <row r="49" ht="20.25" customHeight="1">
      <c r="A49" s="1156" t="s">
        <v>1837</v>
      </c>
      <c r="B49" s="1156"/>
      <c r="C49" s="1156"/>
      <c r="D49" s="1156"/>
      <c r="E49" s="1156"/>
      <c r="F49" s="1156"/>
      <c r="G49" s="1156"/>
      <c r="H49" s="1156"/>
      <c r="I49" s="1156"/>
      <c r="J49" s="1128"/>
      <c r="K49" s="1128"/>
      <c r="L49" s="1128"/>
      <c r="M49" s="646"/>
      <c r="N49" s="646"/>
      <c r="O49" s="646"/>
    </row>
    <row r="50" ht="20.25" customHeight="1">
      <c r="A50" s="1158"/>
      <c r="B50" s="1157"/>
      <c r="C50" s="1157"/>
      <c r="D50" s="1157"/>
      <c r="E50" s="1157"/>
      <c r="F50" s="1157"/>
      <c r="G50" s="1157"/>
      <c r="H50" s="1157"/>
      <c r="I50" s="1128"/>
      <c r="J50" s="1128"/>
      <c r="K50" s="1128"/>
      <c r="L50" s="1128"/>
      <c r="M50" s="646"/>
      <c r="N50" s="646"/>
      <c r="O50" s="646"/>
    </row>
    <row r="51" ht="12.75" customHeight="1">
      <c r="A51" s="1172" t="s">
        <v>1838</v>
      </c>
      <c r="B51" s="1166"/>
      <c r="C51" s="1166"/>
      <c r="D51" s="1166"/>
      <c r="E51" s="1166"/>
      <c r="F51" s="1166"/>
      <c r="G51" s="1165"/>
      <c r="H51" s="1128"/>
      <c r="I51" s="1128"/>
      <c r="J51" s="1128"/>
      <c r="K51" s="1128"/>
      <c r="L51" s="1128"/>
      <c r="M51" s="646"/>
      <c r="N51" s="646"/>
      <c r="O51" s="646"/>
    </row>
    <row r="52" ht="25.5" customHeight="1">
      <c r="B52" s="1173" t="s">
        <v>416</v>
      </c>
      <c r="C52" s="725" t="s">
        <v>1091</v>
      </c>
      <c r="D52" s="725" t="s">
        <v>406</v>
      </c>
      <c r="E52" s="725" t="s">
        <v>406</v>
      </c>
      <c r="F52" s="1174" t="s">
        <v>1827</v>
      </c>
      <c r="G52" s="646"/>
      <c r="H52" s="646"/>
      <c r="I52" s="646"/>
      <c r="J52" s="646"/>
      <c r="K52" s="646"/>
      <c r="L52" s="646"/>
      <c r="M52" s="646"/>
      <c r="N52" s="646"/>
      <c r="O52" s="646"/>
    </row>
    <row r="53" ht="25.5" customHeight="1">
      <c r="B53" s="1175"/>
      <c r="C53" s="1176" t="s">
        <v>1839</v>
      </c>
      <c r="D53" s="1176" t="s">
        <v>1840</v>
      </c>
      <c r="E53" s="1177" t="s">
        <v>1223</v>
      </c>
      <c r="F53" s="1161"/>
      <c r="G53" s="646"/>
      <c r="H53" s="646"/>
      <c r="I53" s="646"/>
      <c r="J53" s="646"/>
      <c r="K53" s="646"/>
      <c r="L53" s="646"/>
      <c r="M53" s="646"/>
      <c r="N53" s="646"/>
      <c r="O53" s="646"/>
    </row>
    <row r="54" ht="25.5" customHeight="1">
      <c r="A54" s="840" t="s">
        <v>1841</v>
      </c>
      <c r="B54" s="584" t="s">
        <v>418</v>
      </c>
      <c r="C54" s="1178" t="n">
        <v>0</v>
      </c>
      <c r="D54" s="1163" t="n">
        <v>5.8</v>
      </c>
      <c r="E54" s="1179" t="n">
        <f aca="false">C54*D54</f>
        <v>0</v>
      </c>
      <c r="F54" s="1164" t="n">
        <v>7</v>
      </c>
      <c r="G54" s="646"/>
      <c r="H54" s="646"/>
      <c r="I54" s="646"/>
      <c r="J54" s="646"/>
      <c r="K54" s="646"/>
      <c r="L54" s="646"/>
      <c r="M54" s="646"/>
      <c r="N54" s="646"/>
      <c r="O54" s="646"/>
    </row>
    <row r="55" ht="12.75" customHeight="1">
      <c r="A55" s="840"/>
      <c r="B55" s="584" t="s">
        <v>419</v>
      </c>
      <c r="C55" s="1178" t="n">
        <f aca="false">'Saisie et Calculateur'!D337</f>
        <v>0</v>
      </c>
      <c r="D55" s="1163" t="n">
        <v>5</v>
      </c>
      <c r="E55" s="1179" t="n">
        <f aca="false">C55*D55</f>
        <v>0</v>
      </c>
      <c r="F55" s="1164" t="n">
        <v>7</v>
      </c>
      <c r="G55" s="646"/>
      <c r="H55" s="646"/>
      <c r="I55" s="646"/>
      <c r="J55" s="646"/>
      <c r="K55" s="646"/>
      <c r="L55" s="646"/>
      <c r="M55" s="646"/>
      <c r="N55" s="646"/>
      <c r="O55" s="646"/>
    </row>
    <row r="56" ht="12.75" customHeight="1">
      <c r="A56" s="840"/>
      <c r="B56" s="584" t="s">
        <v>420</v>
      </c>
      <c r="C56" s="1178" t="n">
        <f aca="false">'Saisie et Calculateur'!D338</f>
        <v>0</v>
      </c>
      <c r="D56" s="1163" t="n">
        <v>5.1</v>
      </c>
      <c r="E56" s="1179" t="n">
        <f aca="false">C56*D56</f>
        <v>0</v>
      </c>
      <c r="F56" s="1164" t="n">
        <v>7</v>
      </c>
      <c r="G56" s="646"/>
      <c r="H56" s="646"/>
      <c r="I56" s="646"/>
      <c r="J56" s="646"/>
      <c r="K56" s="646"/>
      <c r="L56" s="646"/>
      <c r="M56" s="646"/>
      <c r="N56" s="646"/>
      <c r="O56" s="646"/>
    </row>
    <row r="57" ht="12.75" customHeight="1">
      <c r="A57" s="840"/>
      <c r="B57" s="584" t="s">
        <v>421</v>
      </c>
      <c r="C57" s="1178" t="n">
        <f aca="false">'Saisie et Calculateur'!D339</f>
        <v>0</v>
      </c>
      <c r="D57" s="1163" t="n">
        <v>5.2</v>
      </c>
      <c r="E57" s="1179" t="n">
        <f aca="false">C57*D57</f>
        <v>0</v>
      </c>
      <c r="F57" s="1164" t="n">
        <v>7</v>
      </c>
      <c r="G57" s="646"/>
      <c r="H57" s="646"/>
      <c r="I57" s="646"/>
      <c r="J57" s="646"/>
      <c r="K57" s="646"/>
      <c r="L57" s="646"/>
      <c r="M57" s="646"/>
      <c r="N57" s="646"/>
      <c r="O57" s="646"/>
    </row>
    <row r="58" ht="12.75" customHeight="1">
      <c r="A58" s="840"/>
      <c r="B58" s="584" t="s">
        <v>422</v>
      </c>
      <c r="C58" s="1178" t="n">
        <f aca="false">'Saisie et Calculateur'!D340</f>
        <v>0</v>
      </c>
      <c r="D58" s="1163" t="n">
        <v>3.5</v>
      </c>
      <c r="E58" s="1179" t="n">
        <f aca="false">C58*D58</f>
        <v>0</v>
      </c>
      <c r="F58" s="1164" t="n">
        <v>7</v>
      </c>
      <c r="G58" s="646"/>
      <c r="H58" s="646"/>
      <c r="I58" s="646"/>
      <c r="J58" s="646"/>
      <c r="K58" s="646"/>
      <c r="L58" s="646"/>
      <c r="M58" s="646"/>
      <c r="N58" s="646"/>
      <c r="O58" s="646"/>
    </row>
    <row r="59" ht="12.75" customHeight="1">
      <c r="A59" s="840"/>
      <c r="B59" s="584" t="s">
        <v>423</v>
      </c>
      <c r="C59" s="1178" t="n">
        <f aca="false">'Saisie et Calculateur'!D341</f>
        <v>0</v>
      </c>
      <c r="D59" s="1163" t="n">
        <v>2.7</v>
      </c>
      <c r="E59" s="1179" t="n">
        <f aca="false">C59*D59</f>
        <v>0</v>
      </c>
      <c r="F59" s="1164" t="n">
        <v>7</v>
      </c>
      <c r="G59" s="646"/>
      <c r="H59" s="646"/>
      <c r="I59" s="646"/>
      <c r="J59" s="646"/>
      <c r="K59" s="646"/>
      <c r="L59" s="646"/>
      <c r="M59" s="646"/>
      <c r="N59" s="646"/>
      <c r="O59" s="646"/>
    </row>
    <row r="60" ht="12.75" customHeight="1">
      <c r="A60" s="840"/>
      <c r="B60" s="584" t="s">
        <v>424</v>
      </c>
      <c r="C60" s="1178" t="n">
        <f aca="false">'Saisie et Calculateur'!D342</f>
        <v>0</v>
      </c>
      <c r="D60" s="1163" t="n">
        <v>1.6</v>
      </c>
      <c r="E60" s="1179" t="n">
        <f aca="false">C60*D60</f>
        <v>0</v>
      </c>
      <c r="F60" s="1164" t="n">
        <v>7</v>
      </c>
      <c r="G60" s="646"/>
      <c r="H60" s="646"/>
      <c r="I60" s="646"/>
      <c r="J60" s="646"/>
      <c r="K60" s="646"/>
      <c r="L60" s="646"/>
      <c r="M60" s="646"/>
      <c r="N60" s="646"/>
      <c r="O60" s="646"/>
    </row>
    <row r="61" ht="12.75" customHeight="1">
      <c r="A61" s="840"/>
      <c r="B61" s="584" t="s">
        <v>425</v>
      </c>
      <c r="C61" s="1178" t="n">
        <f aca="false">'Saisie et Calculateur'!D343</f>
        <v>0</v>
      </c>
      <c r="D61" s="1163" t="n">
        <v>3</v>
      </c>
      <c r="E61" s="1179" t="n">
        <f aca="false">C61*D61</f>
        <v>0</v>
      </c>
      <c r="F61" s="1164" t="n">
        <v>7</v>
      </c>
      <c r="G61" s="646"/>
      <c r="H61" s="646"/>
      <c r="I61" s="646"/>
      <c r="J61" s="646"/>
      <c r="K61" s="646"/>
      <c r="L61" s="646"/>
      <c r="M61" s="646"/>
      <c r="N61" s="646"/>
      <c r="O61" s="646"/>
    </row>
    <row r="62" ht="25.5" customHeight="1">
      <c r="A62" s="840"/>
      <c r="B62" s="584" t="s">
        <v>426</v>
      </c>
      <c r="C62" s="1178" t="n">
        <f aca="false">'Saisie et Calculateur'!D342</f>
        <v>0</v>
      </c>
      <c r="D62" s="1163" t="n">
        <v>0.4</v>
      </c>
      <c r="E62" s="1179" t="n">
        <f aca="false">C62*D62</f>
        <v>0</v>
      </c>
      <c r="F62" s="1164" t="n">
        <v>7</v>
      </c>
      <c r="G62" s="646"/>
      <c r="H62" s="646"/>
      <c r="I62" s="646"/>
      <c r="J62" s="646"/>
      <c r="K62" s="646"/>
      <c r="L62" s="646"/>
      <c r="M62" s="646"/>
      <c r="N62" s="646"/>
      <c r="O62" s="646"/>
    </row>
    <row r="63" ht="22.9" customHeight="1">
      <c r="A63" s="840"/>
      <c r="B63" s="584" t="s">
        <v>443</v>
      </c>
      <c r="C63" s="1178" t="n">
        <f aca="false">'Saisie et Calculateur'!D362</f>
        <v>0</v>
      </c>
      <c r="D63" s="1163" t="n">
        <v>6.5</v>
      </c>
      <c r="E63" s="1179" t="n">
        <f aca="false">C63*D63</f>
        <v>0</v>
      </c>
      <c r="F63" s="1164" t="n">
        <v>0</v>
      </c>
      <c r="G63" s="646"/>
      <c r="H63" s="646"/>
      <c r="I63" s="646"/>
      <c r="J63" s="646"/>
      <c r="K63" s="646"/>
      <c r="L63" s="646"/>
      <c r="M63" s="646"/>
      <c r="N63" s="646"/>
      <c r="O63" s="646"/>
    </row>
    <row r="64" ht="12.75" customHeight="1">
      <c r="A64" s="840" t="s">
        <v>1842</v>
      </c>
      <c r="B64" s="1180" t="s">
        <v>1843</v>
      </c>
      <c r="C64" s="1181" t="n">
        <v>0</v>
      </c>
      <c r="D64" s="1182"/>
      <c r="E64" s="1183" t="n">
        <f aca="false">C64*D64</f>
        <v>0</v>
      </c>
      <c r="F64" s="1184"/>
      <c r="G64" s="646"/>
      <c r="H64" s="646"/>
      <c r="I64" s="646"/>
      <c r="J64" s="646"/>
      <c r="K64" s="646"/>
      <c r="L64" s="646"/>
      <c r="M64" s="646"/>
      <c r="N64" s="646"/>
      <c r="O64" s="646"/>
    </row>
    <row r="65" ht="13.15" customHeight="1">
      <c r="A65" s="840" t="s">
        <v>1844</v>
      </c>
      <c r="B65" s="1180" t="s">
        <v>1845</v>
      </c>
      <c r="C65" s="1181" t="n">
        <f aca="false">'Saisie et Calculateur'!D344</f>
        <v>0</v>
      </c>
      <c r="D65" s="1182"/>
      <c r="E65" s="1183" t="n">
        <f aca="false">C65*D65</f>
        <v>0</v>
      </c>
      <c r="F65" s="1184"/>
      <c r="G65" s="646"/>
      <c r="H65" s="646"/>
      <c r="I65" s="646"/>
      <c r="J65" s="646"/>
      <c r="K65" s="646"/>
      <c r="L65" s="646"/>
      <c r="M65" s="646"/>
      <c r="N65" s="646"/>
      <c r="O65" s="646"/>
    </row>
    <row r="66" ht="12.75" customHeight="1">
      <c r="A66" s="840" t="s">
        <v>1846</v>
      </c>
      <c r="B66" s="584" t="s">
        <v>427</v>
      </c>
      <c r="C66" s="1178" t="n">
        <f aca="false">'Saisie et Calculateur'!D345</f>
        <v>0</v>
      </c>
      <c r="D66" s="1163" t="n">
        <v>6.8</v>
      </c>
      <c r="E66" s="1179" t="n">
        <f aca="false">C66*D66</f>
        <v>0</v>
      </c>
      <c r="F66" s="1164" t="n">
        <v>7</v>
      </c>
      <c r="G66" s="646"/>
      <c r="H66" s="646"/>
      <c r="I66" s="646"/>
      <c r="J66" s="646"/>
      <c r="K66" s="646"/>
      <c r="L66" s="646"/>
      <c r="M66" s="646"/>
      <c r="N66" s="646"/>
      <c r="O66" s="646"/>
    </row>
    <row r="67" ht="12.75" customHeight="1">
      <c r="A67" s="840"/>
      <c r="B67" s="584" t="s">
        <v>428</v>
      </c>
      <c r="C67" s="1178" t="n">
        <f aca="false">'Saisie et Calculateur'!D347</f>
        <v>0</v>
      </c>
      <c r="D67" s="1163" t="n">
        <v>22</v>
      </c>
      <c r="E67" s="1179" t="n">
        <f aca="false">C67*D67</f>
        <v>0</v>
      </c>
      <c r="F67" s="1164" t="n">
        <v>7</v>
      </c>
      <c r="G67" s="646"/>
      <c r="H67" s="646"/>
      <c r="I67" s="646"/>
      <c r="J67" s="646"/>
      <c r="K67" s="646"/>
      <c r="L67" s="646"/>
      <c r="M67" s="646"/>
      <c r="N67" s="646"/>
      <c r="O67" s="646"/>
    </row>
    <row r="68" ht="12.75" customHeight="1">
      <c r="A68" s="840"/>
      <c r="B68" s="584" t="s">
        <v>446</v>
      </c>
      <c r="C68" s="1178" t="n">
        <f aca="false">'Saisie et Calculateur'!D365</f>
        <v>0</v>
      </c>
      <c r="D68" s="1163" t="n">
        <v>20</v>
      </c>
      <c r="E68" s="1179" t="n">
        <f aca="false">C68*D68</f>
        <v>0</v>
      </c>
      <c r="F68" s="1164" t="n">
        <v>0</v>
      </c>
      <c r="G68" s="646"/>
      <c r="H68" s="646"/>
      <c r="I68" s="646"/>
      <c r="J68" s="646"/>
      <c r="K68" s="646"/>
      <c r="L68" s="646"/>
      <c r="M68" s="646"/>
      <c r="N68" s="646"/>
      <c r="O68" s="646"/>
    </row>
    <row r="69" ht="25.5" customHeight="1">
      <c r="A69" s="840"/>
      <c r="B69" s="584" t="s">
        <v>429</v>
      </c>
      <c r="C69" s="1178" t="n">
        <f aca="false">'Saisie et Calculateur'!D348</f>
        <v>0</v>
      </c>
      <c r="D69" s="1163" t="n">
        <v>40</v>
      </c>
      <c r="E69" s="1179" t="n">
        <f aca="false">C69*D69</f>
        <v>0</v>
      </c>
      <c r="F69" s="1164" t="n">
        <v>7</v>
      </c>
      <c r="G69" s="646"/>
      <c r="H69" s="646"/>
      <c r="I69" s="646"/>
      <c r="J69" s="646"/>
      <c r="K69" s="646"/>
      <c r="L69" s="646"/>
      <c r="M69" s="646"/>
      <c r="N69" s="646"/>
      <c r="O69" s="646"/>
    </row>
    <row r="70" ht="25.5" customHeight="1">
      <c r="A70" s="840"/>
      <c r="B70" s="584" t="s">
        <v>430</v>
      </c>
      <c r="C70" s="1178" t="n">
        <f aca="false">'Saisie et Calculateur'!D349</f>
        <v>0</v>
      </c>
      <c r="D70" s="1163" t="n">
        <v>22</v>
      </c>
      <c r="E70" s="1179" t="n">
        <f aca="false">C70*D70</f>
        <v>0</v>
      </c>
      <c r="F70" s="1164" t="n">
        <v>7</v>
      </c>
      <c r="G70" s="646"/>
      <c r="H70" s="646"/>
      <c r="I70" s="646"/>
      <c r="J70" s="646"/>
      <c r="K70" s="646"/>
      <c r="L70" s="646"/>
      <c r="M70" s="646"/>
      <c r="N70" s="646"/>
      <c r="O70" s="646"/>
    </row>
    <row r="71" ht="25.5" customHeight="1">
      <c r="A71" s="840" t="s">
        <v>1847</v>
      </c>
      <c r="B71" s="584" t="s">
        <v>431</v>
      </c>
      <c r="C71" s="1178" t="n">
        <f aca="false">'Saisie et Calculateur'!D350</f>
        <v>0</v>
      </c>
      <c r="D71" s="1163" t="n">
        <v>9.6</v>
      </c>
      <c r="E71" s="1179" t="n">
        <f aca="false">C71*D71</f>
        <v>0</v>
      </c>
      <c r="F71" s="1164" t="n">
        <v>7</v>
      </c>
      <c r="G71" s="646"/>
      <c r="H71" s="646"/>
      <c r="I71" s="646"/>
      <c r="J71" s="646"/>
      <c r="K71" s="646"/>
      <c r="L71" s="646"/>
      <c r="M71" s="646"/>
      <c r="N71" s="646"/>
      <c r="O71" s="646"/>
    </row>
    <row r="72" ht="25.5" customHeight="1">
      <c r="A72" s="840"/>
      <c r="B72" s="584" t="s">
        <v>432</v>
      </c>
      <c r="C72" s="1178" t="n">
        <f aca="false">'Saisie et Calculateur'!D351</f>
        <v>0</v>
      </c>
      <c r="D72" s="1163" t="n">
        <v>4.3</v>
      </c>
      <c r="E72" s="1179" t="n">
        <f aca="false">C72*D72</f>
        <v>0</v>
      </c>
      <c r="F72" s="1164" t="n">
        <v>7</v>
      </c>
      <c r="G72" s="646"/>
      <c r="H72" s="646"/>
      <c r="I72" s="646"/>
      <c r="J72" s="646"/>
      <c r="K72" s="646"/>
      <c r="L72" s="646"/>
      <c r="M72" s="646"/>
      <c r="N72" s="646"/>
      <c r="O72" s="646"/>
    </row>
    <row r="73" ht="25.5" customHeight="1">
      <c r="A73" s="840"/>
      <c r="B73" s="584" t="s">
        <v>433</v>
      </c>
      <c r="C73" s="1178" t="n">
        <f aca="false">'Saisie et Calculateur'!D352</f>
        <v>0</v>
      </c>
      <c r="D73" s="1163" t="n">
        <v>7.2</v>
      </c>
      <c r="E73" s="1179" t="n">
        <f aca="false">C73*D73</f>
        <v>0</v>
      </c>
      <c r="F73" s="1164" t="n">
        <v>7</v>
      </c>
      <c r="G73" s="646"/>
      <c r="H73" s="646"/>
      <c r="I73" s="646"/>
      <c r="J73" s="646"/>
      <c r="K73" s="646"/>
      <c r="L73" s="646"/>
      <c r="M73" s="646"/>
      <c r="N73" s="646"/>
      <c r="O73" s="646"/>
    </row>
    <row r="74" ht="25.5" customHeight="1">
      <c r="A74" s="840"/>
      <c r="B74" s="584" t="s">
        <v>434</v>
      </c>
      <c r="C74" s="1178" t="n">
        <f aca="false">'Saisie et Calculateur'!D351</f>
        <v>0</v>
      </c>
      <c r="D74" s="1163" t="n">
        <v>9.1</v>
      </c>
      <c r="E74" s="1179" t="n">
        <f aca="false">C74*D74</f>
        <v>0</v>
      </c>
      <c r="F74" s="1164" t="n">
        <v>7</v>
      </c>
      <c r="G74" s="646"/>
      <c r="H74" s="646"/>
      <c r="I74" s="646"/>
      <c r="J74" s="646"/>
      <c r="K74" s="646"/>
      <c r="L74" s="646"/>
      <c r="M74" s="646"/>
      <c r="N74" s="646"/>
      <c r="O74" s="646"/>
    </row>
    <row r="75" ht="25.5" customHeight="1">
      <c r="A75" s="840"/>
      <c r="B75" s="584" t="s">
        <v>444</v>
      </c>
      <c r="C75" s="1178" t="n">
        <f aca="false">'Saisie et Calculateur'!D363</f>
        <v>0</v>
      </c>
      <c r="D75" s="1163" t="n">
        <v>7.6</v>
      </c>
      <c r="E75" s="1179" t="n">
        <f aca="false">C75*D75</f>
        <v>0</v>
      </c>
      <c r="F75" s="1164" t="n">
        <v>5</v>
      </c>
      <c r="G75" s="646"/>
      <c r="H75" s="646"/>
      <c r="I75" s="646"/>
      <c r="J75" s="646"/>
      <c r="K75" s="646"/>
      <c r="L75" s="646"/>
      <c r="M75" s="646"/>
      <c r="N75" s="646"/>
      <c r="O75" s="646"/>
    </row>
    <row r="76" ht="25.5" customHeight="1">
      <c r="A76" s="840"/>
      <c r="B76" s="584" t="s">
        <v>445</v>
      </c>
      <c r="C76" s="1178" t="n">
        <f aca="false">'Saisie et Calculateur'!D364</f>
        <v>0</v>
      </c>
      <c r="D76" s="1163" t="n">
        <v>11</v>
      </c>
      <c r="E76" s="1179" t="n">
        <f aca="false">C76*D76</f>
        <v>0</v>
      </c>
      <c r="F76" s="1164" t="n">
        <v>5</v>
      </c>
      <c r="G76" s="646"/>
      <c r="H76" s="646"/>
      <c r="I76" s="646"/>
      <c r="J76" s="646"/>
      <c r="K76" s="646"/>
      <c r="L76" s="646"/>
      <c r="M76" s="646"/>
      <c r="N76" s="646"/>
      <c r="O76" s="646"/>
    </row>
    <row r="77" ht="25.5" customHeight="1">
      <c r="A77" s="840"/>
      <c r="B77" s="584" t="s">
        <v>437</v>
      </c>
      <c r="C77" s="1178" t="n">
        <f aca="false">'Saisie et Calculateur'!D356</f>
        <v>0</v>
      </c>
      <c r="D77" s="1163" t="n">
        <v>5.5</v>
      </c>
      <c r="E77" s="1179" t="n">
        <f aca="false">C77*D77</f>
        <v>0</v>
      </c>
      <c r="F77" s="1164" t="n">
        <v>0</v>
      </c>
      <c r="G77" s="646"/>
      <c r="H77" s="646"/>
      <c r="I77" s="646"/>
      <c r="J77" s="646"/>
      <c r="K77" s="646"/>
      <c r="L77" s="646"/>
      <c r="M77" s="646"/>
      <c r="N77" s="646"/>
      <c r="O77" s="646"/>
    </row>
    <row r="78" ht="12.75" customHeight="1">
      <c r="A78" s="840" t="s">
        <v>1269</v>
      </c>
      <c r="B78" s="584" t="s">
        <v>435</v>
      </c>
      <c r="C78" s="1178" t="n">
        <f aca="false">'Saisie et Calculateur'!D354</f>
        <v>0</v>
      </c>
      <c r="D78" s="1163" t="n">
        <v>6</v>
      </c>
      <c r="E78" s="1179" t="n">
        <f aca="false">C78*D78</f>
        <v>0</v>
      </c>
      <c r="F78" s="1164" t="n">
        <v>0</v>
      </c>
      <c r="G78" s="646"/>
      <c r="H78" s="646"/>
      <c r="I78" s="646"/>
      <c r="J78" s="646"/>
      <c r="K78" s="646"/>
      <c r="L78" s="646"/>
      <c r="M78" s="646"/>
      <c r="N78" s="646"/>
      <c r="O78" s="646"/>
    </row>
    <row r="79" ht="12.75" customHeight="1">
      <c r="A79" s="840"/>
      <c r="B79" s="646" t="s">
        <v>448</v>
      </c>
      <c r="C79" s="1178" t="n">
        <f aca="false">'Saisie et Calculateur'!D367</f>
        <v>0</v>
      </c>
      <c r="D79" s="1163" t="n">
        <v>27.5</v>
      </c>
      <c r="E79" s="1179" t="n">
        <f aca="false">C79*D79</f>
        <v>0</v>
      </c>
      <c r="F79" s="1164" t="n">
        <v>6</v>
      </c>
      <c r="G79" s="646"/>
      <c r="H79" s="646"/>
      <c r="I79" s="646"/>
      <c r="J79" s="646"/>
      <c r="K79" s="646"/>
      <c r="L79" s="646"/>
      <c r="M79" s="646"/>
      <c r="N79" s="646"/>
      <c r="O79" s="646"/>
    </row>
    <row r="80" ht="12.75" customHeight="1">
      <c r="A80" s="840"/>
      <c r="B80" s="584" t="s">
        <v>438</v>
      </c>
      <c r="C80" s="1178" t="n">
        <f aca="false">'Saisie et Calculateur'!D357</f>
        <v>0</v>
      </c>
      <c r="D80" s="1163" t="n">
        <v>18</v>
      </c>
      <c r="E80" s="1179" t="n">
        <f aca="false">C80*D80</f>
        <v>0</v>
      </c>
      <c r="F80" s="1164" t="n">
        <v>0</v>
      </c>
      <c r="G80" s="646"/>
      <c r="H80" s="646"/>
      <c r="I80" s="646"/>
      <c r="J80" s="646"/>
      <c r="K80" s="646"/>
      <c r="L80" s="646"/>
      <c r="M80" s="646"/>
      <c r="N80" s="646"/>
      <c r="O80" s="646"/>
    </row>
    <row r="81" ht="12.75" customHeight="1">
      <c r="A81" s="840"/>
      <c r="B81" s="584" t="s">
        <v>439</v>
      </c>
      <c r="C81" s="1178" t="n">
        <f aca="false">'Saisie et Calculateur'!D358</f>
        <v>0</v>
      </c>
      <c r="D81" s="1163" t="n">
        <v>8</v>
      </c>
      <c r="E81" s="1179" t="n">
        <f aca="false">C81*D81</f>
        <v>0</v>
      </c>
      <c r="F81" s="1164" t="n">
        <v>0</v>
      </c>
      <c r="G81" s="646"/>
      <c r="H81" s="646"/>
      <c r="I81" s="646"/>
      <c r="J81" s="646"/>
      <c r="K81" s="646"/>
      <c r="L81" s="646"/>
      <c r="M81" s="646"/>
      <c r="N81" s="646"/>
      <c r="O81" s="646"/>
    </row>
    <row r="82" ht="12.75" customHeight="1">
      <c r="A82" s="840" t="s">
        <v>697</v>
      </c>
      <c r="B82" s="584" t="s">
        <v>436</v>
      </c>
      <c r="C82" s="1178" t="n">
        <f aca="false">'Saisie et Calculateur'!D355</f>
        <v>0</v>
      </c>
      <c r="D82" s="1163" t="n">
        <v>2</v>
      </c>
      <c r="E82" s="1179" t="n">
        <f aca="false">C82*D82</f>
        <v>0</v>
      </c>
      <c r="F82" s="1164" t="n">
        <v>5</v>
      </c>
      <c r="G82" s="646"/>
      <c r="H82" s="646"/>
      <c r="I82" s="646"/>
      <c r="J82" s="646"/>
      <c r="K82" s="646"/>
      <c r="L82" s="646"/>
      <c r="M82" s="646"/>
      <c r="N82" s="646"/>
      <c r="O82" s="646"/>
    </row>
    <row r="83" ht="25.5" customHeight="1">
      <c r="A83" s="840"/>
      <c r="B83" s="584" t="s">
        <v>440</v>
      </c>
      <c r="C83" s="1178" t="n">
        <f aca="false">'Saisie et Calculateur'!D359</f>
        <v>0</v>
      </c>
      <c r="D83" s="1163" t="n">
        <v>20</v>
      </c>
      <c r="E83" s="1179" t="n">
        <f aca="false">C83*D83</f>
        <v>0</v>
      </c>
      <c r="F83" s="1164" t="n">
        <v>0</v>
      </c>
      <c r="G83" s="1184" t="s">
        <v>1848</v>
      </c>
      <c r="H83" s="1184"/>
      <c r="I83" s="646"/>
      <c r="J83" s="646"/>
      <c r="K83" s="646"/>
      <c r="L83" s="646"/>
      <c r="M83" s="646"/>
      <c r="N83" s="646"/>
      <c r="O83" s="646"/>
    </row>
    <row r="84" ht="25.5" customHeight="1">
      <c r="A84" s="840"/>
      <c r="B84" s="584" t="s">
        <v>441</v>
      </c>
      <c r="C84" s="1178" t="n">
        <f aca="false">'Saisie et Calculateur'!D360</f>
        <v>0</v>
      </c>
      <c r="D84" s="1163" t="n">
        <v>15</v>
      </c>
      <c r="E84" s="1179" t="n">
        <f aca="false">C84*D84</f>
        <v>0</v>
      </c>
      <c r="F84" s="1164" t="n">
        <v>0</v>
      </c>
      <c r="G84" s="1184" t="s">
        <v>1848</v>
      </c>
      <c r="H84" s="1184"/>
      <c r="I84" s="646"/>
      <c r="J84" s="646"/>
      <c r="K84" s="646"/>
      <c r="L84" s="646"/>
      <c r="M84" s="646"/>
      <c r="N84" s="646"/>
      <c r="O84" s="646"/>
    </row>
    <row r="85" ht="25.5" customHeight="1">
      <c r="A85" s="840"/>
      <c r="B85" s="584" t="s">
        <v>1227</v>
      </c>
      <c r="C85" s="1178" t="n">
        <f aca="false">'Saisie et Calculateur'!D361</f>
        <v>0</v>
      </c>
      <c r="D85" s="1163" t="n">
        <v>10</v>
      </c>
      <c r="E85" s="1179" t="n">
        <f aca="false">C85*D85</f>
        <v>0</v>
      </c>
      <c r="F85" s="1164" t="n">
        <v>0</v>
      </c>
      <c r="G85" s="1184" t="s">
        <v>1848</v>
      </c>
      <c r="H85" s="1184"/>
      <c r="I85" s="646"/>
      <c r="J85" s="646"/>
      <c r="K85" s="646"/>
      <c r="L85" s="646"/>
      <c r="M85" s="646"/>
      <c r="N85" s="646"/>
      <c r="O85" s="646"/>
    </row>
    <row r="86" ht="23.25" customHeight="1">
      <c r="A86" s="840"/>
      <c r="B86" s="584" t="s">
        <v>1849</v>
      </c>
      <c r="C86" s="1178" t="n">
        <f aca="false">'Saisie et Calculateur'!D366</f>
        <v>0</v>
      </c>
      <c r="D86" s="1163" t="n">
        <v>15</v>
      </c>
      <c r="E86" s="1179" t="n">
        <f aca="false">C86*D86</f>
        <v>0</v>
      </c>
      <c r="F86" s="1164" t="n">
        <v>0</v>
      </c>
      <c r="G86" s="1184" t="s">
        <v>1848</v>
      </c>
      <c r="H86" s="1184"/>
      <c r="I86" s="646"/>
      <c r="J86" s="646"/>
      <c r="K86" s="646"/>
      <c r="L86" s="646"/>
      <c r="M86" s="646"/>
      <c r="N86" s="646"/>
      <c r="O86" s="646"/>
    </row>
    <row r="87" ht="12.75" customHeight="1">
      <c r="G87" s="646"/>
      <c r="H87" s="646"/>
      <c r="I87" s="646"/>
      <c r="J87" s="646"/>
      <c r="K87" s="646"/>
      <c r="L87" s="646"/>
      <c r="M87" s="646"/>
      <c r="N87" s="646"/>
      <c r="O87" s="646"/>
    </row>
    <row r="88" ht="12.75" customHeight="1">
      <c r="A88" s="1128"/>
      <c r="B88" s="840" t="s">
        <v>1832</v>
      </c>
      <c r="C88" s="424" t="s">
        <v>551</v>
      </c>
      <c r="D88" s="1179" t="n">
        <f aca="false">SUM(E54:E87)</f>
        <v>0</v>
      </c>
      <c r="E88" s="646"/>
      <c r="F88" s="646"/>
      <c r="G88" s="646"/>
      <c r="H88" s="1128"/>
      <c r="I88" s="1128"/>
      <c r="J88" s="646"/>
      <c r="K88" s="646"/>
      <c r="L88" s="646"/>
      <c r="M88" s="646"/>
      <c r="N88" s="646"/>
      <c r="O88" s="646"/>
    </row>
    <row r="89" ht="12.75" customHeight="1">
      <c r="A89" s="1128"/>
      <c r="B89" s="1128"/>
      <c r="C89" s="1128"/>
      <c r="D89" s="646"/>
      <c r="E89" s="646"/>
      <c r="F89" s="646"/>
      <c r="G89" s="646"/>
      <c r="H89" s="646"/>
      <c r="I89" s="1128"/>
      <c r="J89" s="1128"/>
      <c r="K89" s="646"/>
      <c r="L89" s="646"/>
      <c r="M89" s="646"/>
      <c r="N89" s="646"/>
      <c r="O89" s="646"/>
    </row>
    <row r="90" ht="12.75" customHeight="1">
      <c r="A90" s="1128"/>
      <c r="B90" s="1128"/>
      <c r="C90" s="1128"/>
      <c r="D90" s="1128"/>
      <c r="E90" s="1128"/>
      <c r="F90" s="1128"/>
      <c r="G90" s="1128"/>
      <c r="H90" s="1128"/>
      <c r="I90" s="1128"/>
      <c r="J90" s="1128"/>
      <c r="K90" s="1128"/>
      <c r="L90" s="1128"/>
      <c r="M90" s="646"/>
      <c r="N90" s="646"/>
      <c r="O90" s="646"/>
    </row>
    <row r="91" ht="12.75" customHeight="1">
      <c r="A91" s="1128"/>
      <c r="B91" s="1128"/>
      <c r="C91" s="1128"/>
      <c r="D91" s="1128"/>
      <c r="E91" s="1128"/>
      <c r="F91" s="1128"/>
      <c r="G91" s="1128"/>
      <c r="H91" s="1128"/>
      <c r="I91" s="1128"/>
      <c r="J91" s="1128"/>
      <c r="K91" s="1128"/>
      <c r="L91" s="1128"/>
      <c r="M91" s="646"/>
      <c r="N91" s="646"/>
      <c r="O91" s="646"/>
    </row>
    <row r="92" ht="20.25" customHeight="1">
      <c r="A92" s="1156" t="s">
        <v>1850</v>
      </c>
      <c r="B92" s="1156"/>
      <c r="C92" s="1156"/>
      <c r="D92" s="1156"/>
      <c r="E92" s="1156"/>
      <c r="F92" s="1156"/>
      <c r="G92" s="1156"/>
      <c r="H92" s="1156"/>
      <c r="I92" s="1156"/>
      <c r="J92" s="1128"/>
      <c r="K92" s="1128"/>
      <c r="L92" s="1128"/>
      <c r="M92" s="646"/>
      <c r="N92" s="646"/>
      <c r="O92" s="646"/>
    </row>
    <row r="93" ht="12.75" customHeight="1">
      <c r="A93" s="1128"/>
      <c r="B93" s="1128"/>
      <c r="C93" s="1128"/>
      <c r="D93" s="1128"/>
      <c r="E93" s="1128"/>
      <c r="F93" s="1128"/>
      <c r="G93" s="1128"/>
      <c r="H93" s="1128"/>
      <c r="I93" s="1128"/>
      <c r="J93" s="1128"/>
      <c r="K93" s="1128"/>
      <c r="L93" s="1128"/>
      <c r="M93" s="646"/>
      <c r="N93" s="646"/>
      <c r="O93" s="646"/>
    </row>
    <row r="94" ht="12.75" customHeight="1">
      <c r="A94" s="1185" t="s">
        <v>1851</v>
      </c>
      <c r="B94" s="1185"/>
      <c r="C94" s="1185"/>
      <c r="D94" s="1185"/>
      <c r="E94" s="1185"/>
      <c r="F94" s="1185"/>
      <c r="G94" s="1185"/>
      <c r="H94" s="1185"/>
      <c r="I94" s="1185"/>
      <c r="J94" s="1128"/>
      <c r="K94" s="1128"/>
      <c r="L94" s="1128"/>
      <c r="M94" s="646"/>
      <c r="N94" s="646"/>
      <c r="O94" s="646"/>
    </row>
    <row r="95" ht="12.75" customHeight="1">
      <c r="A95" s="1158"/>
      <c r="B95" s="1128"/>
      <c r="C95" s="1128"/>
      <c r="D95" s="1128"/>
      <c r="E95" s="1128"/>
      <c r="F95" s="1128"/>
      <c r="G95" s="1128"/>
      <c r="H95" s="1128"/>
      <c r="I95" s="1128"/>
      <c r="J95" s="1128"/>
      <c r="K95" s="1128"/>
      <c r="L95" s="1128"/>
      <c r="M95" s="646"/>
      <c r="N95" s="646"/>
      <c r="O95" s="646"/>
    </row>
    <row r="96" ht="38.25" customHeight="1">
      <c r="A96" s="1128"/>
      <c r="B96" s="1128"/>
      <c r="C96" s="725" t="s">
        <v>328</v>
      </c>
      <c r="D96" s="725" t="s">
        <v>329</v>
      </c>
      <c r="E96" s="725" t="s">
        <v>1852</v>
      </c>
      <c r="F96" s="725" t="s">
        <v>1852</v>
      </c>
      <c r="G96" s="1159" t="s">
        <v>1827</v>
      </c>
      <c r="H96" s="1128"/>
      <c r="I96" s="1128" t="s">
        <v>1853</v>
      </c>
      <c r="J96" s="1186"/>
      <c r="K96" s="1128"/>
      <c r="L96" s="1128"/>
      <c r="M96" s="1128"/>
      <c r="N96" s="1128"/>
      <c r="O96" s="646"/>
    </row>
    <row r="97" ht="12.75" customHeight="1">
      <c r="A97" s="1026" t="s">
        <v>1854</v>
      </c>
      <c r="B97" s="534" t="s">
        <v>1130</v>
      </c>
      <c r="C97" s="1187" t="n">
        <f aca="false">'Saisie et Calculateur'!E241</f>
        <v>0</v>
      </c>
      <c r="D97" s="1187" t="n">
        <f aca="false">'Saisie et Calculateur'!E242</f>
        <v>0</v>
      </c>
      <c r="E97" s="1187" t="n">
        <f aca="false">'Saisie et Calculateur'!E243</f>
        <v>0</v>
      </c>
      <c r="F97" s="1187" t="n">
        <f aca="false">'Saisie et Calculateur'!E244</f>
        <v>0</v>
      </c>
      <c r="G97" s="1164"/>
      <c r="H97" s="1128"/>
      <c r="I97" s="1128"/>
      <c r="J97" s="1128"/>
      <c r="K97" s="1128"/>
      <c r="L97" s="1128"/>
      <c r="M97" s="1128"/>
      <c r="N97" s="1128"/>
      <c r="O97" s="646"/>
    </row>
    <row r="98" ht="12.75" customHeight="1">
      <c r="A98" s="1026" t="s">
        <v>1855</v>
      </c>
      <c r="B98" s="534" t="s">
        <v>1856</v>
      </c>
      <c r="C98" s="589" t="n">
        <f aca="false">'Saisie et Calculateur'!D241</f>
        <v>0</v>
      </c>
      <c r="D98" s="1000" t="n">
        <f aca="false">'Saisie et Calculateur'!D242</f>
        <v>0</v>
      </c>
      <c r="E98" s="1000" t="n">
        <f aca="false">'Saisie et Calculateur'!D243</f>
        <v>0</v>
      </c>
      <c r="F98" s="1000" t="n">
        <f aca="false">'Saisie et Calculateur'!D244</f>
        <v>0</v>
      </c>
      <c r="G98" s="1161"/>
      <c r="H98" s="1128"/>
      <c r="I98" s="1128"/>
      <c r="J98" s="1128"/>
      <c r="K98" s="1128"/>
      <c r="L98" s="1128"/>
      <c r="M98" s="1128"/>
      <c r="N98" s="1128"/>
      <c r="O98" s="646"/>
    </row>
    <row r="99" ht="12.75" customHeight="1">
      <c r="A99" s="1173"/>
      <c r="B99" s="534" t="s">
        <v>1857</v>
      </c>
      <c r="C99" s="858" t="n">
        <v>30</v>
      </c>
      <c r="D99" s="1188" t="n">
        <v>30</v>
      </c>
      <c r="E99" s="1188" t="n">
        <v>30</v>
      </c>
      <c r="F99" s="1188" t="n">
        <v>30</v>
      </c>
      <c r="G99" s="1164" t="n">
        <v>0</v>
      </c>
      <c r="H99" s="1128"/>
      <c r="I99" s="1128"/>
      <c r="J99" s="1128"/>
      <c r="K99" s="1128"/>
      <c r="L99" s="1128"/>
      <c r="M99" s="1128"/>
      <c r="N99" s="1128"/>
      <c r="O99" s="646"/>
    </row>
    <row r="100" ht="12.75" customHeight="1">
      <c r="A100" s="1026" t="s">
        <v>1858</v>
      </c>
      <c r="B100" s="534" t="s">
        <v>1859</v>
      </c>
      <c r="C100" s="1179" t="n">
        <f aca="false">C98*C97*C99</f>
        <v>0</v>
      </c>
      <c r="D100" s="1179" t="n">
        <f aca="false">D98*D97*D99</f>
        <v>0</v>
      </c>
      <c r="E100" s="1179" t="n">
        <f aca="false">E98*E97*E99</f>
        <v>0</v>
      </c>
      <c r="F100" s="1179" t="n">
        <f aca="false">F98*F97*F99</f>
        <v>0</v>
      </c>
      <c r="G100" s="1128"/>
      <c r="H100" s="1128"/>
      <c r="I100" s="1128"/>
      <c r="J100" s="1128"/>
      <c r="K100" s="1128"/>
      <c r="L100" s="1128"/>
      <c r="M100" s="646"/>
      <c r="N100" s="646"/>
      <c r="O100" s="646"/>
    </row>
    <row r="101" ht="12.75" customHeight="1">
      <c r="A101" s="1026" t="s">
        <v>1860</v>
      </c>
      <c r="B101" s="534" t="s">
        <v>94</v>
      </c>
      <c r="C101" s="1179" t="n">
        <f aca="false">'Saisie et Calculateur'!C241</f>
        <v>0</v>
      </c>
      <c r="D101" s="1179" t="n">
        <f aca="false">'Saisie et Calculateur'!C242</f>
        <v>0</v>
      </c>
      <c r="E101" s="1179" t="n">
        <f aca="false">'Saisie et Calculateur'!C243</f>
        <v>0</v>
      </c>
      <c r="F101" s="1179" t="n">
        <f aca="false">'Saisie et Calculateur'!C244</f>
        <v>0</v>
      </c>
      <c r="G101" s="1128"/>
      <c r="H101" s="1128"/>
      <c r="I101" s="1128"/>
      <c r="J101" s="1128"/>
      <c r="K101" s="1128"/>
      <c r="L101" s="1128"/>
      <c r="M101" s="646"/>
      <c r="N101" s="646"/>
      <c r="O101" s="646"/>
    </row>
    <row r="102" ht="12.75" customHeight="1">
      <c r="A102" s="1173" t="s">
        <v>1861</v>
      </c>
      <c r="B102" s="534" t="s">
        <v>1862</v>
      </c>
      <c r="C102" s="1000" t="n">
        <f aca="false">C100*C101</f>
        <v>0</v>
      </c>
      <c r="D102" s="1000" t="n">
        <f aca="false">D100*D101</f>
        <v>0</v>
      </c>
      <c r="E102" s="1000" t="n">
        <f aca="false">E100*E101</f>
        <v>0</v>
      </c>
      <c r="F102" s="1000" t="n">
        <f aca="false">F100*F101</f>
        <v>0</v>
      </c>
      <c r="G102" s="1128"/>
      <c r="H102" s="1128"/>
      <c r="I102" s="1128"/>
      <c r="J102" s="1128"/>
      <c r="K102" s="1128"/>
      <c r="L102" s="646"/>
      <c r="M102" s="646"/>
      <c r="N102" s="646"/>
      <c r="O102" s="646"/>
    </row>
    <row r="103" ht="12.75" customHeight="1">
      <c r="A103" s="1128"/>
      <c r="B103" s="1128"/>
      <c r="C103" s="1128"/>
      <c r="D103" s="1128"/>
      <c r="E103" s="1128"/>
      <c r="F103" s="1128"/>
      <c r="G103" s="1128"/>
      <c r="H103" s="1128"/>
      <c r="I103" s="1128"/>
      <c r="J103" s="1128"/>
      <c r="K103" s="1128"/>
      <c r="L103" s="646"/>
      <c r="M103" s="646"/>
      <c r="N103" s="646"/>
      <c r="O103" s="646"/>
    </row>
    <row r="104" ht="12.75" customHeight="1">
      <c r="A104" s="1185" t="s">
        <v>1863</v>
      </c>
      <c r="B104" s="1185"/>
      <c r="C104" s="1185"/>
      <c r="D104" s="1185"/>
      <c r="E104" s="1185"/>
      <c r="F104" s="1185"/>
      <c r="G104" s="1185"/>
      <c r="H104" s="1185"/>
      <c r="I104" s="1185"/>
      <c r="J104" s="1128"/>
      <c r="K104" s="1128"/>
      <c r="L104" s="646"/>
      <c r="M104" s="646"/>
      <c r="N104" s="646"/>
      <c r="O104" s="646"/>
    </row>
    <row r="105" ht="12.75" customHeight="1">
      <c r="A105" s="1158"/>
      <c r="B105" s="1128"/>
      <c r="C105" s="1128"/>
      <c r="D105" s="1128"/>
      <c r="E105" s="1128"/>
      <c r="F105" s="1128"/>
      <c r="G105" s="1128"/>
      <c r="H105" s="1128"/>
      <c r="I105" s="1128"/>
      <c r="J105" s="1128"/>
      <c r="K105" s="1128"/>
      <c r="L105" s="646"/>
      <c r="M105" s="646"/>
      <c r="N105" s="646"/>
      <c r="O105" s="646"/>
    </row>
    <row r="106" ht="12.75" customHeight="1">
      <c r="A106" s="1150"/>
      <c r="B106" s="1128"/>
      <c r="C106" s="1128"/>
      <c r="D106" s="1128"/>
      <c r="E106" s="1128"/>
      <c r="F106" s="1128"/>
      <c r="G106" s="1128"/>
      <c r="H106" s="1128"/>
      <c r="I106" s="1128"/>
      <c r="J106" s="1128"/>
      <c r="K106" s="1128"/>
      <c r="L106" s="646"/>
      <c r="M106" s="646"/>
      <c r="N106" s="646"/>
      <c r="O106" s="646"/>
    </row>
    <row r="107" ht="25.5" customHeight="1">
      <c r="A107" s="1128"/>
      <c r="B107" s="840" t="s">
        <v>1864</v>
      </c>
      <c r="C107" s="840" t="s">
        <v>298</v>
      </c>
      <c r="D107" s="1173" t="s">
        <v>1865</v>
      </c>
      <c r="E107" s="1173" t="s">
        <v>1861</v>
      </c>
      <c r="F107" s="1159" t="s">
        <v>1827</v>
      </c>
      <c r="G107" s="1128"/>
      <c r="H107" s="1128"/>
      <c r="I107" s="1128"/>
      <c r="J107" s="1128"/>
      <c r="K107" s="1128"/>
      <c r="L107" s="646"/>
      <c r="M107" s="646"/>
      <c r="N107" s="646"/>
      <c r="O107" s="646"/>
    </row>
    <row r="108" ht="12.75" customHeight="1">
      <c r="A108" s="1128"/>
      <c r="B108" s="424" t="s">
        <v>1129</v>
      </c>
      <c r="C108" s="424" t="s">
        <v>94</v>
      </c>
      <c r="D108" s="1117" t="s">
        <v>1866</v>
      </c>
      <c r="E108" s="424" t="s">
        <v>1862</v>
      </c>
      <c r="F108" s="1161"/>
      <c r="G108" s="1128"/>
      <c r="H108" s="1128"/>
      <c r="I108" s="1189" t="s">
        <v>1867</v>
      </c>
      <c r="J108" s="1190" t="s">
        <v>1868</v>
      </c>
      <c r="K108" s="1190"/>
      <c r="L108" s="1190"/>
      <c r="M108" s="1190"/>
      <c r="N108" s="1190"/>
      <c r="O108" s="646"/>
    </row>
    <row r="109" ht="12.75" customHeight="1">
      <c r="A109" s="27" t="s">
        <v>1869</v>
      </c>
      <c r="B109" s="589" t="n">
        <f aca="false">'Saisie et Calculateur'!D239</f>
        <v>0</v>
      </c>
      <c r="C109" s="589" t="n">
        <f aca="false">'Saisie et Calculateur'!C239</f>
        <v>0</v>
      </c>
      <c r="D109" s="858" t="n">
        <v>30</v>
      </c>
      <c r="E109" s="589" t="n">
        <f aca="false">D109*B109*C109</f>
        <v>0</v>
      </c>
      <c r="F109" s="1164" t="n">
        <v>0</v>
      </c>
      <c r="G109" s="1128"/>
      <c r="H109" s="1128"/>
      <c r="I109" s="1189"/>
      <c r="J109" s="1190" t="n">
        <v>20</v>
      </c>
      <c r="K109" s="1190" t="n">
        <v>30</v>
      </c>
      <c r="L109" s="1190" t="n">
        <v>40</v>
      </c>
      <c r="M109" s="1190" t="n">
        <v>50</v>
      </c>
      <c r="N109" s="983" t="n">
        <v>60</v>
      </c>
      <c r="O109" s="646"/>
    </row>
    <row r="110" ht="12.75" customHeight="1">
      <c r="A110" s="27" t="s">
        <v>1870</v>
      </c>
      <c r="B110" s="589" t="n">
        <f aca="false">'Saisie et Calculateur'!D238</f>
        <v>0</v>
      </c>
      <c r="C110" s="589" t="n">
        <f aca="false">'Saisie et Calculateur'!C238</f>
        <v>0</v>
      </c>
      <c r="D110" s="858" t="n">
        <v>30</v>
      </c>
      <c r="E110" s="589" t="n">
        <f aca="false">D110*B110*C110</f>
        <v>0</v>
      </c>
      <c r="F110" s="1164" t="n">
        <v>0</v>
      </c>
      <c r="G110" s="1128"/>
      <c r="H110" s="1128"/>
      <c r="I110" s="1191" t="s">
        <v>1871</v>
      </c>
      <c r="J110" s="1192" t="n">
        <v>65</v>
      </c>
      <c r="K110" s="1192" t="n">
        <v>97.5</v>
      </c>
      <c r="L110" s="1192" t="n">
        <v>130</v>
      </c>
      <c r="M110" s="1192" t="n">
        <v>162.5</v>
      </c>
      <c r="N110" s="1192" t="n">
        <v>195</v>
      </c>
      <c r="O110" s="646"/>
    </row>
    <row r="111" ht="12.75" customHeight="1">
      <c r="A111" s="27" t="s">
        <v>1872</v>
      </c>
      <c r="B111" s="589" t="n">
        <f aca="false">'Saisie et Calculateur'!D240</f>
        <v>0</v>
      </c>
      <c r="C111" s="589" t="n">
        <f aca="false">'Saisie et Calculateur'!C240</f>
        <v>0</v>
      </c>
      <c r="D111" s="864"/>
      <c r="E111" s="589" t="n">
        <f aca="false">D111*B111*C111</f>
        <v>0</v>
      </c>
      <c r="F111" s="1164"/>
      <c r="G111" s="1128"/>
      <c r="H111" s="1128"/>
      <c r="I111" s="1191" t="s">
        <v>1873</v>
      </c>
      <c r="J111" s="1192" t="n">
        <v>71</v>
      </c>
      <c r="K111" s="1192" t="n">
        <v>106.5</v>
      </c>
      <c r="L111" s="1192" t="n">
        <v>142</v>
      </c>
      <c r="M111" s="1192" t="n">
        <v>177.5</v>
      </c>
      <c r="N111" s="1192" t="n">
        <v>213</v>
      </c>
      <c r="O111" s="646"/>
    </row>
    <row r="112" ht="12.75" customHeight="1">
      <c r="A112" s="1128"/>
      <c r="B112" s="1128"/>
      <c r="C112" s="1128"/>
      <c r="D112" s="1169" t="s">
        <v>1233</v>
      </c>
      <c r="E112" s="589" t="n">
        <f aca="false">SUM(E109:E111)</f>
        <v>0</v>
      </c>
      <c r="F112" s="1128"/>
      <c r="G112" s="1128"/>
      <c r="H112" s="1128"/>
      <c r="I112" s="1191" t="s">
        <v>1874</v>
      </c>
      <c r="J112" s="1192" t="n">
        <v>66</v>
      </c>
      <c r="K112" s="1192" t="n">
        <v>99</v>
      </c>
      <c r="L112" s="1192" t="n">
        <v>132</v>
      </c>
      <c r="M112" s="1192" t="n">
        <v>164.5</v>
      </c>
      <c r="N112" s="1192" t="n">
        <v>198</v>
      </c>
      <c r="O112" s="646"/>
    </row>
    <row r="113" ht="12.75" customHeight="1">
      <c r="A113" s="1128"/>
      <c r="B113" s="1128"/>
      <c r="C113" s="1128"/>
      <c r="D113" s="1128"/>
      <c r="E113" s="1165"/>
      <c r="F113" s="1128"/>
      <c r="G113" s="1128"/>
      <c r="H113" s="1128"/>
      <c r="I113" s="1191" t="s">
        <v>1875</v>
      </c>
      <c r="J113" s="1192" t="n">
        <v>111</v>
      </c>
      <c r="K113" s="1192" t="n">
        <v>166.5</v>
      </c>
      <c r="L113" s="1192" t="n">
        <v>222</v>
      </c>
      <c r="M113" s="1192" t="n">
        <v>277.5</v>
      </c>
      <c r="N113" s="1192" t="n">
        <v>333</v>
      </c>
      <c r="O113" s="646"/>
    </row>
    <row r="114" ht="25.5" customHeight="1">
      <c r="A114" s="1128"/>
      <c r="B114" s="840" t="s">
        <v>1855</v>
      </c>
      <c r="C114" s="840" t="s">
        <v>298</v>
      </c>
      <c r="D114" s="1173" t="s">
        <v>1876</v>
      </c>
      <c r="E114" s="725" t="s">
        <v>1861</v>
      </c>
      <c r="F114" s="1159" t="s">
        <v>1827</v>
      </c>
      <c r="G114" s="1128"/>
      <c r="H114" s="1128"/>
      <c r="I114" s="1191" t="s">
        <v>1877</v>
      </c>
      <c r="J114" s="1192" t="n">
        <v>113</v>
      </c>
      <c r="K114" s="1192" t="n">
        <v>169.5</v>
      </c>
      <c r="L114" s="1192" t="n">
        <v>226</v>
      </c>
      <c r="M114" s="1192" t="n">
        <v>282</v>
      </c>
      <c r="N114" s="1192" t="n">
        <v>339</v>
      </c>
      <c r="O114" s="646"/>
    </row>
    <row r="115" ht="12.75" customHeight="1">
      <c r="A115" s="1128"/>
      <c r="B115" s="424" t="s">
        <v>1878</v>
      </c>
      <c r="C115" s="424" t="s">
        <v>94</v>
      </c>
      <c r="D115" s="1117" t="s">
        <v>1859</v>
      </c>
      <c r="E115" s="424" t="s">
        <v>1862</v>
      </c>
      <c r="F115" s="1161"/>
      <c r="G115" s="1128"/>
      <c r="H115" s="1128"/>
      <c r="I115" s="1191" t="s">
        <v>1879</v>
      </c>
      <c r="J115" s="1192" t="n">
        <v>72</v>
      </c>
      <c r="K115" s="1192" t="n">
        <v>108</v>
      </c>
      <c r="L115" s="1192" t="n">
        <v>144</v>
      </c>
      <c r="M115" s="1192" t="n">
        <v>180</v>
      </c>
      <c r="N115" s="1192" t="n">
        <v>216</v>
      </c>
      <c r="O115" s="646"/>
    </row>
    <row r="116" ht="12.75" customHeight="1">
      <c r="A116" s="1193" t="str">
        <f aca="false">'Saisie et Calculateur'!A282</f>
        <v>Féverole d'hiver</v>
      </c>
      <c r="B116" s="589" t="n">
        <f aca="false">'Saisie et Calculateur'!E282</f>
        <v>0</v>
      </c>
      <c r="C116" s="589" t="n">
        <f aca="false">'Saisie et Calculateur'!D282</f>
        <v>0</v>
      </c>
      <c r="D116" s="858" t="n">
        <f aca="false">IF(B116&lt;=$J$109,J112,IF(B116&lt;=$K$109,K112,IF(B116&lt;=$L$109,L112,IF(B116&lt;=$M$109,M112,N112))))</f>
        <v>66</v>
      </c>
      <c r="E116" s="589" t="n">
        <f aca="false">C116*D116</f>
        <v>0</v>
      </c>
      <c r="F116" s="1164" t="n">
        <v>0</v>
      </c>
      <c r="G116" s="1128"/>
      <c r="H116" s="1128"/>
      <c r="I116" s="1128"/>
      <c r="J116" s="1128"/>
      <c r="K116" s="1128"/>
      <c r="L116" s="646"/>
      <c r="M116" s="646"/>
      <c r="N116" s="646"/>
      <c r="O116" s="646"/>
    </row>
    <row r="117" ht="12.75" customHeight="1">
      <c r="A117" s="1194" t="str">
        <f aca="false">'Saisie et Calculateur'!A283</f>
        <v>Féverole de printemps</v>
      </c>
      <c r="B117" s="589" t="n">
        <f aca="false">'Saisie et Calculateur'!E283</f>
        <v>0</v>
      </c>
      <c r="C117" s="589" t="n">
        <f aca="false">'Saisie et Calculateur'!D283</f>
        <v>0</v>
      </c>
      <c r="D117" s="858" t="n">
        <f aca="false">IF(B117&lt;=$J$109,J111,IF(B117&lt;=$K$109,K111,IF(B117&lt;=$L$109,L111,IF(B117&lt;=$M$109,M111,N111))))</f>
        <v>71</v>
      </c>
      <c r="E117" s="589" t="n">
        <f aca="false">C117*D117</f>
        <v>0</v>
      </c>
      <c r="F117" s="1164" t="n">
        <v>0</v>
      </c>
      <c r="G117" s="1128"/>
      <c r="H117" s="1128"/>
      <c r="I117" s="1128"/>
      <c r="J117" s="1128"/>
      <c r="K117" s="1128"/>
      <c r="L117" s="646"/>
      <c r="M117" s="646"/>
      <c r="N117" s="646"/>
      <c r="O117" s="646"/>
    </row>
    <row r="118" ht="12.75" customHeight="1">
      <c r="A118" s="1194" t="str">
        <f aca="false">'Saisie et Calculateur'!A284</f>
        <v>Lupin de printemps</v>
      </c>
      <c r="B118" s="589" t="n">
        <f aca="false">'Saisie et Calculateur'!E284</f>
        <v>0</v>
      </c>
      <c r="C118" s="589" t="n">
        <f aca="false">'Saisie et Calculateur'!D284</f>
        <v>0</v>
      </c>
      <c r="D118" s="858" t="n">
        <f aca="false">IF(B118&lt;=$J$109,J113,IF(B118&lt;=$K$109,K113,IF(B118&lt;=$L$109,L113,IF(B118&lt;=$M$109,M113,N113))))</f>
        <v>111</v>
      </c>
      <c r="E118" s="589" t="n">
        <f aca="false">C118*D118</f>
        <v>0</v>
      </c>
      <c r="F118" s="1164" t="n">
        <v>0</v>
      </c>
      <c r="G118" s="1128"/>
      <c r="H118" s="1186"/>
      <c r="I118" s="1128"/>
      <c r="J118" s="1128"/>
      <c r="K118" s="1128"/>
      <c r="L118" s="646"/>
      <c r="M118" s="646"/>
      <c r="N118" s="646"/>
      <c r="O118" s="646"/>
    </row>
    <row r="119" ht="12.75" customHeight="1">
      <c r="A119" s="1194" t="str">
        <f aca="false">'Saisie et Calculateur'!A285</f>
        <v>Pois printemps</v>
      </c>
      <c r="B119" s="589" t="n">
        <f aca="false">'Saisie et Calculateur'!E285</f>
        <v>0</v>
      </c>
      <c r="C119" s="589" t="n">
        <f aca="false">'Saisie et Calculateur'!D285</f>
        <v>0</v>
      </c>
      <c r="D119" s="858" t="n">
        <f aca="false">IF(B119&lt;=$J$109,J110,IF(B119&lt;=$K$109,K110,IF(B119&lt;=$L$109,L110,IF(B119&lt;=$M$109,M110,N110))))</f>
        <v>65</v>
      </c>
      <c r="E119" s="589" t="n">
        <f aca="false">C119*D119</f>
        <v>0</v>
      </c>
      <c r="F119" s="1164" t="n">
        <v>0</v>
      </c>
      <c r="G119" s="1128"/>
      <c r="H119" s="1128"/>
      <c r="I119" s="1128"/>
      <c r="J119" s="1128"/>
      <c r="K119" s="1128"/>
      <c r="L119" s="646"/>
      <c r="M119" s="646"/>
      <c r="N119" s="646"/>
      <c r="O119" s="646"/>
    </row>
    <row r="120" ht="12.75" customHeight="1">
      <c r="A120" s="1194" t="str">
        <f aca="false">'Saisie et Calculateur'!A286</f>
        <v>Soja (grain)</v>
      </c>
      <c r="B120" s="589" t="n">
        <f aca="false">'Saisie et Calculateur'!E286</f>
        <v>0</v>
      </c>
      <c r="C120" s="589" t="n">
        <f aca="false">'Saisie et Calculateur'!D286</f>
        <v>0</v>
      </c>
      <c r="D120" s="858" t="n">
        <f aca="false">IF(B120&lt;=$J$109,J114,IF(B120&lt;=$K$109,K114,IF(B120&lt;=$L$109,L114,IF(B120&lt;=$M$109,M114,N114))))</f>
        <v>113</v>
      </c>
      <c r="E120" s="589"/>
      <c r="F120" s="1164"/>
      <c r="G120" s="1128"/>
      <c r="H120" s="1128"/>
      <c r="I120" s="1128"/>
      <c r="J120" s="1128"/>
      <c r="K120" s="1128"/>
      <c r="L120" s="646"/>
      <c r="M120" s="646"/>
      <c r="N120" s="646"/>
      <c r="O120" s="646"/>
    </row>
    <row r="121" ht="12.75" customHeight="1">
      <c r="A121" s="1194" t="str">
        <f aca="false">'Saisie et Calculateur'!A287</f>
        <v>Autre</v>
      </c>
      <c r="B121" s="589" t="n">
        <f aca="false">'Saisie et Calculateur'!E287</f>
        <v>0</v>
      </c>
      <c r="C121" s="589" t="n">
        <f aca="false">'Saisie et Calculateur'!D287</f>
        <v>0</v>
      </c>
      <c r="D121" s="864"/>
      <c r="E121" s="589"/>
      <c r="F121" s="1164"/>
      <c r="G121" s="1128"/>
      <c r="H121" s="1128"/>
      <c r="I121" s="1128"/>
      <c r="J121" s="1128"/>
      <c r="K121" s="1128"/>
      <c r="L121" s="646"/>
      <c r="M121" s="646"/>
      <c r="N121" s="646"/>
      <c r="O121" s="646"/>
    </row>
    <row r="122" ht="12.75" customHeight="1">
      <c r="A122" s="1194" t="s">
        <v>1880</v>
      </c>
      <c r="B122" s="589" t="n">
        <f aca="false">'Saisie et Calculateur'!E294</f>
        <v>0</v>
      </c>
      <c r="C122" s="589" t="n">
        <f aca="false">'Saisie et Calculateur'!D294</f>
        <v>0</v>
      </c>
      <c r="D122" s="858" t="n">
        <f aca="false">IF(B122&lt;=$J$109,J115,IF(B122&lt;=$K$109,K115,IF(B122&lt;=$L$109,L115,IF(B122&lt;=$M$109,M115,N115))))</f>
        <v>72</v>
      </c>
      <c r="E122" s="589" t="n">
        <f aca="false">C122*D122</f>
        <v>0</v>
      </c>
      <c r="F122" s="1164" t="n">
        <v>0</v>
      </c>
      <c r="G122" s="1128"/>
      <c r="H122" s="1128"/>
      <c r="I122" s="1128"/>
      <c r="J122" s="1128"/>
      <c r="K122" s="1128"/>
      <c r="L122" s="646"/>
      <c r="M122" s="646"/>
      <c r="N122" s="646"/>
      <c r="O122" s="646"/>
    </row>
    <row r="123" ht="12.75" customHeight="1">
      <c r="A123" s="1194" t="s">
        <v>1182</v>
      </c>
      <c r="B123" s="589" t="n">
        <f aca="false">'Saisie et Calculateur'!E295</f>
        <v>0</v>
      </c>
      <c r="C123" s="589" t="n">
        <f aca="false">'Saisie et Calculateur'!E295</f>
        <v>0</v>
      </c>
      <c r="D123" s="858" t="n">
        <f aca="false">IF(B123&lt;=$J$109,J115,IF(B123&lt;=$K$109,K115,IF(B123&lt;=$L$109,L115,IF(B123&lt;=$M$109,M115,N115))))</f>
        <v>72</v>
      </c>
      <c r="E123" s="589" t="n">
        <f aca="false">C123*D123</f>
        <v>0</v>
      </c>
      <c r="F123" s="1164" t="n">
        <v>0</v>
      </c>
      <c r="G123" s="1128"/>
      <c r="H123" s="1128"/>
      <c r="I123" s="1128"/>
      <c r="J123" s="1128"/>
      <c r="K123" s="1128"/>
      <c r="L123" s="646"/>
      <c r="M123" s="646"/>
      <c r="N123" s="646"/>
      <c r="O123" s="646"/>
    </row>
    <row r="124" ht="12.75" customHeight="1">
      <c r="A124" s="1128"/>
      <c r="B124" s="1128"/>
      <c r="C124" s="1168" t="s">
        <v>1233</v>
      </c>
      <c r="D124" s="1168" t="s">
        <v>1881</v>
      </c>
      <c r="E124" s="589" t="n">
        <f aca="false">SUM(E116:E123)</f>
        <v>0</v>
      </c>
      <c r="F124" s="1128"/>
      <c r="G124" s="1128"/>
      <c r="H124" s="1128"/>
      <c r="I124" s="1128"/>
      <c r="J124" s="1128"/>
      <c r="K124" s="1128"/>
      <c r="L124" s="646"/>
      <c r="M124" s="646"/>
      <c r="N124" s="646"/>
      <c r="O124" s="646"/>
    </row>
    <row r="125" ht="12.75" customHeight="1">
      <c r="A125" s="1128"/>
      <c r="B125" s="1128"/>
      <c r="C125" s="1128"/>
      <c r="D125" s="1128"/>
      <c r="E125" s="1128"/>
      <c r="F125" s="1128"/>
      <c r="G125" s="1128"/>
      <c r="H125" s="1128"/>
      <c r="I125" s="1128"/>
      <c r="J125" s="1128"/>
      <c r="K125" s="1128"/>
      <c r="L125" s="646"/>
      <c r="M125" s="646"/>
      <c r="N125" s="646"/>
      <c r="O125" s="646"/>
    </row>
    <row r="126" ht="12.75" customHeight="1">
      <c r="A126" s="1128"/>
      <c r="B126" s="1195" t="s">
        <v>1882</v>
      </c>
      <c r="C126" s="1195"/>
      <c r="D126" s="1168" t="s">
        <v>1881</v>
      </c>
      <c r="E126" s="589" t="n">
        <f aca="false">E112+E124</f>
        <v>0</v>
      </c>
      <c r="F126" s="1128"/>
      <c r="G126" s="1128"/>
      <c r="H126" s="1128"/>
      <c r="I126" s="1128"/>
      <c r="J126" s="1128"/>
      <c r="K126" s="1128"/>
      <c r="L126" s="646"/>
      <c r="M126" s="646"/>
      <c r="N126" s="646"/>
      <c r="O126" s="646"/>
    </row>
    <row r="127" ht="12.75" customHeight="1">
      <c r="A127" s="1128"/>
      <c r="B127" s="1196"/>
      <c r="C127" s="1196"/>
      <c r="D127" s="1197"/>
      <c r="E127" s="1197"/>
      <c r="F127" s="1128"/>
      <c r="G127" s="1128"/>
      <c r="H127" s="1128"/>
      <c r="I127" s="1128"/>
      <c r="J127" s="1128"/>
      <c r="K127" s="1128"/>
      <c r="L127" s="646"/>
      <c r="M127" s="646"/>
      <c r="N127" s="646"/>
      <c r="O127" s="646"/>
    </row>
    <row r="128" ht="12.75" customHeight="1">
      <c r="A128" s="1128"/>
      <c r="B128" s="1195" t="s">
        <v>1883</v>
      </c>
      <c r="C128" s="1195"/>
      <c r="D128" s="1168" t="s">
        <v>1881</v>
      </c>
      <c r="E128" s="1000" t="n">
        <f aca="false">E126+C102+D102+E102+F102</f>
        <v>0</v>
      </c>
      <c r="F128" s="1128"/>
      <c r="G128" s="1128"/>
      <c r="H128" s="1128"/>
      <c r="I128" s="1128"/>
      <c r="J128" s="1128"/>
      <c r="K128" s="1128"/>
      <c r="L128" s="646"/>
      <c r="M128" s="646"/>
      <c r="N128" s="646"/>
      <c r="O128" s="646"/>
    </row>
    <row r="129" ht="12.75" customHeight="1">
      <c r="A129" s="1128"/>
      <c r="B129" s="1128"/>
      <c r="C129" s="1196"/>
      <c r="D129" s="1128"/>
      <c r="E129" s="1128"/>
      <c r="F129" s="1128"/>
      <c r="G129" s="1128"/>
      <c r="H129" s="1128"/>
      <c r="I129" s="1128"/>
      <c r="J129" s="1128"/>
      <c r="K129" s="1128"/>
      <c r="L129" s="646"/>
      <c r="M129" s="646"/>
      <c r="N129" s="646"/>
      <c r="O129" s="646"/>
    </row>
    <row r="130" ht="12.75" customHeight="1">
      <c r="A130" s="1128"/>
      <c r="B130" s="1128"/>
      <c r="C130" s="1128"/>
      <c r="D130" s="1128"/>
      <c r="E130" s="1128"/>
      <c r="F130" s="1128"/>
      <c r="G130" s="1128"/>
      <c r="H130" s="1128"/>
      <c r="I130" s="1128"/>
      <c r="J130" s="1128"/>
      <c r="K130" s="1128"/>
      <c r="L130" s="646"/>
      <c r="M130" s="646"/>
      <c r="N130" s="646"/>
      <c r="O130" s="646"/>
    </row>
    <row r="131" ht="12.75" customHeight="1">
      <c r="A131" s="1128"/>
      <c r="B131" s="1128"/>
      <c r="C131" s="1128"/>
      <c r="D131" s="1128"/>
      <c r="E131" s="1128"/>
      <c r="F131" s="1128"/>
      <c r="G131" s="1128"/>
      <c r="H131" s="1128"/>
      <c r="I131" s="1128"/>
      <c r="J131" s="1128"/>
      <c r="K131" s="1128"/>
      <c r="L131" s="646"/>
      <c r="M131" s="646"/>
      <c r="N131" s="646"/>
      <c r="O131" s="646"/>
    </row>
    <row r="132" ht="20.25" customHeight="1">
      <c r="A132" s="1156" t="s">
        <v>1884</v>
      </c>
      <c r="B132" s="1156"/>
      <c r="C132" s="1156"/>
      <c r="D132" s="1156"/>
      <c r="E132" s="1156"/>
      <c r="F132" s="1156"/>
      <c r="G132" s="1156"/>
      <c r="H132" s="1156"/>
      <c r="I132" s="1156"/>
      <c r="J132" s="1128"/>
      <c r="K132" s="1128"/>
      <c r="L132" s="646"/>
      <c r="M132" s="646"/>
      <c r="N132" s="646"/>
      <c r="O132" s="646"/>
    </row>
    <row r="133" ht="12.75" customHeight="1">
      <c r="A133" s="1158"/>
      <c r="B133" s="1128"/>
      <c r="C133" s="1128"/>
      <c r="D133" s="1128"/>
      <c r="E133" s="1128"/>
      <c r="F133" s="1128"/>
      <c r="G133" s="1128"/>
      <c r="H133" s="1128"/>
      <c r="I133" s="1128"/>
      <c r="J133" s="1128"/>
      <c r="K133" s="1128"/>
      <c r="L133" s="646"/>
      <c r="M133" s="646"/>
      <c r="N133" s="646"/>
      <c r="O133" s="646"/>
    </row>
    <row r="134" ht="12.75" customHeight="1">
      <c r="A134" s="1128"/>
      <c r="B134" s="1128"/>
      <c r="C134" s="1128"/>
      <c r="D134" s="1128"/>
      <c r="E134" s="1128"/>
      <c r="F134" s="1128"/>
      <c r="G134" s="1128"/>
      <c r="H134" s="1128"/>
      <c r="I134" s="1128"/>
      <c r="J134" s="1128"/>
      <c r="K134" s="1128"/>
      <c r="L134" s="646"/>
      <c r="M134" s="646"/>
      <c r="N134" s="646"/>
      <c r="O134" s="646"/>
    </row>
    <row r="135" ht="25.5" customHeight="1">
      <c r="A135" s="646"/>
      <c r="B135" s="725" t="s">
        <v>1885</v>
      </c>
      <c r="C135" s="840" t="s">
        <v>406</v>
      </c>
      <c r="D135" s="840" t="s">
        <v>406</v>
      </c>
      <c r="E135" s="646"/>
      <c r="F135" s="646"/>
      <c r="G135" s="646"/>
      <c r="H135" s="646"/>
      <c r="I135" s="646"/>
      <c r="J135" s="646"/>
      <c r="K135" s="646"/>
      <c r="L135" s="646"/>
      <c r="M135" s="646"/>
      <c r="N135" s="646"/>
      <c r="O135" s="646"/>
    </row>
    <row r="136" ht="25.5" customHeight="1">
      <c r="A136" s="1026" t="s">
        <v>1886</v>
      </c>
      <c r="B136" s="1198" t="s">
        <v>1887</v>
      </c>
      <c r="C136" s="1199" t="s">
        <v>1888</v>
      </c>
      <c r="D136" s="1168" t="s">
        <v>1862</v>
      </c>
      <c r="E136" s="1159" t="s">
        <v>1827</v>
      </c>
      <c r="F136" s="646"/>
      <c r="G136" s="646"/>
      <c r="H136" s="646"/>
      <c r="I136" s="646"/>
      <c r="J136" s="646"/>
      <c r="K136" s="646"/>
      <c r="L136" s="646"/>
      <c r="M136" s="646"/>
      <c r="N136" s="646"/>
      <c r="O136" s="646"/>
    </row>
    <row r="137" ht="12.75" customHeight="1">
      <c r="A137" s="584" t="s">
        <v>1094</v>
      </c>
      <c r="B137" s="1178"/>
      <c r="C137" s="1163"/>
      <c r="D137" s="589"/>
      <c r="E137" s="1164" t="n">
        <v>7</v>
      </c>
      <c r="F137" s="646"/>
      <c r="G137" s="646"/>
      <c r="H137" s="646"/>
      <c r="I137" s="646"/>
      <c r="J137" s="646"/>
      <c r="K137" s="646"/>
      <c r="L137" s="646"/>
      <c r="M137" s="646"/>
      <c r="N137" s="646"/>
      <c r="O137" s="646"/>
    </row>
    <row r="138" ht="12.75" customHeight="1">
      <c r="A138" s="1200" t="s">
        <v>193</v>
      </c>
      <c r="B138" s="553" t="n">
        <f aca="false">'Saisie et Calculateur'!C159</f>
        <v>0</v>
      </c>
      <c r="C138" s="1163" t="n">
        <v>73</v>
      </c>
      <c r="D138" s="589" t="n">
        <f aca="false">B138*C138</f>
        <v>0</v>
      </c>
      <c r="E138" s="1164" t="n">
        <v>7</v>
      </c>
      <c r="F138" s="646"/>
      <c r="G138" s="646"/>
      <c r="H138" s="646"/>
      <c r="I138" s="646"/>
      <c r="J138" s="646"/>
      <c r="K138" s="646"/>
      <c r="L138" s="646"/>
      <c r="M138" s="646"/>
      <c r="N138" s="646"/>
      <c r="O138" s="646"/>
    </row>
    <row r="139" ht="12.75" customHeight="1">
      <c r="A139" s="1200" t="s">
        <v>195</v>
      </c>
      <c r="B139" s="553" t="n">
        <f aca="false">'Saisie et Calculateur'!C160</f>
        <v>0</v>
      </c>
      <c r="C139" s="1163" t="n">
        <v>71</v>
      </c>
      <c r="D139" s="589" t="n">
        <f aca="false">B139*C139</f>
        <v>0</v>
      </c>
      <c r="E139" s="1164" t="n">
        <v>7</v>
      </c>
      <c r="F139" s="646"/>
      <c r="G139" s="646"/>
      <c r="H139" s="646"/>
      <c r="I139" s="646"/>
      <c r="J139" s="646"/>
      <c r="K139" s="646"/>
      <c r="L139" s="646"/>
      <c r="M139" s="646"/>
      <c r="N139" s="646"/>
      <c r="O139" s="646"/>
    </row>
    <row r="140" ht="12.75" customHeight="1">
      <c r="A140" s="1200" t="s">
        <v>197</v>
      </c>
      <c r="B140" s="553" t="n">
        <f aca="false">'Saisie et Calculateur'!C161</f>
        <v>0</v>
      </c>
      <c r="C140" s="1163" t="n">
        <v>68</v>
      </c>
      <c r="D140" s="589" t="n">
        <f aca="false">B140*C140</f>
        <v>0</v>
      </c>
      <c r="E140" s="1164" t="n">
        <v>7</v>
      </c>
      <c r="F140" s="646"/>
      <c r="G140" s="646"/>
      <c r="H140" s="646"/>
      <c r="I140" s="646"/>
      <c r="J140" s="646"/>
      <c r="K140" s="646"/>
      <c r="L140" s="646"/>
      <c r="M140" s="646"/>
      <c r="N140" s="646"/>
      <c r="O140" s="646"/>
    </row>
    <row r="141" ht="12.75" customHeight="1">
      <c r="A141" s="584" t="s">
        <v>1095</v>
      </c>
      <c r="B141" s="553" t="n">
        <f aca="false">'Saisie et Calculateur'!C162</f>
        <v>0</v>
      </c>
      <c r="C141" s="1163" t="n">
        <v>56</v>
      </c>
      <c r="D141" s="589" t="n">
        <f aca="false">B141*C141</f>
        <v>0</v>
      </c>
      <c r="E141" s="1164" t="n">
        <v>7</v>
      </c>
      <c r="F141" s="646"/>
      <c r="G141" s="646"/>
      <c r="H141" s="1186"/>
      <c r="I141" s="646"/>
      <c r="J141" s="646"/>
      <c r="K141" s="646"/>
      <c r="L141" s="646"/>
      <c r="M141" s="646"/>
      <c r="N141" s="646"/>
      <c r="O141" s="646"/>
    </row>
    <row r="142" ht="12.75" customHeight="1">
      <c r="A142" s="584" t="s">
        <v>1096</v>
      </c>
      <c r="B142" s="553"/>
      <c r="C142" s="1163"/>
      <c r="D142" s="589"/>
      <c r="E142" s="1164" t="n">
        <v>7</v>
      </c>
      <c r="F142" s="646"/>
      <c r="G142" s="646"/>
      <c r="H142" s="646"/>
      <c r="I142" s="646"/>
      <c r="J142" s="646"/>
      <c r="K142" s="646"/>
      <c r="L142" s="646"/>
      <c r="M142" s="646"/>
      <c r="N142" s="646"/>
      <c r="O142" s="646"/>
    </row>
    <row r="143" ht="12.75" customHeight="1">
      <c r="A143" s="1200" t="s">
        <v>203</v>
      </c>
      <c r="B143" s="553" t="n">
        <f aca="false">'Saisie et Calculateur'!C164</f>
        <v>0</v>
      </c>
      <c r="C143" s="1163" t="n">
        <v>15.5</v>
      </c>
      <c r="D143" s="589" t="n">
        <f aca="false">B143*C143</f>
        <v>0</v>
      </c>
      <c r="E143" s="1164" t="n">
        <v>7</v>
      </c>
      <c r="F143" s="646"/>
      <c r="G143" s="646"/>
      <c r="H143" s="646"/>
      <c r="I143" s="646"/>
      <c r="J143" s="646"/>
      <c r="K143" s="646"/>
      <c r="L143" s="646"/>
      <c r="M143" s="646"/>
      <c r="N143" s="646"/>
      <c r="O143" s="646"/>
    </row>
    <row r="144" ht="12.75" customHeight="1">
      <c r="A144" s="1200" t="s">
        <v>205</v>
      </c>
      <c r="B144" s="553" t="n">
        <f aca="false">'Saisie et Calculateur'!C165</f>
        <v>0</v>
      </c>
      <c r="C144" s="1163" t="n">
        <v>13</v>
      </c>
      <c r="D144" s="589" t="n">
        <f aca="false">B144*C144</f>
        <v>0</v>
      </c>
      <c r="E144" s="1164" t="n">
        <v>7</v>
      </c>
      <c r="F144" s="646"/>
      <c r="G144" s="646"/>
      <c r="H144" s="646"/>
      <c r="I144" s="646"/>
      <c r="J144" s="646"/>
      <c r="K144" s="646"/>
      <c r="L144" s="646"/>
      <c r="M144" s="646"/>
      <c r="N144" s="646"/>
      <c r="O144" s="646"/>
    </row>
    <row r="145" ht="12.75" customHeight="1">
      <c r="A145" s="1200" t="s">
        <v>207</v>
      </c>
      <c r="B145" s="553" t="n">
        <f aca="false">'Saisie et Calculateur'!C166</f>
        <v>14.4</v>
      </c>
      <c r="C145" s="1163" t="n">
        <v>13</v>
      </c>
      <c r="D145" s="589" t="n">
        <f aca="false">B145*C145</f>
        <v>187.2</v>
      </c>
      <c r="E145" s="1164" t="n">
        <v>7</v>
      </c>
      <c r="F145" s="646"/>
      <c r="G145" s="646"/>
      <c r="H145" s="646"/>
      <c r="I145" s="646"/>
      <c r="J145" s="646"/>
      <c r="K145" s="646"/>
      <c r="L145" s="646"/>
      <c r="M145" s="646"/>
      <c r="N145" s="646"/>
      <c r="O145" s="646"/>
    </row>
    <row r="146" ht="12.75" customHeight="1">
      <c r="A146" s="1200" t="s">
        <v>209</v>
      </c>
      <c r="B146" s="553" t="n">
        <f aca="false">'Saisie et Calculateur'!C167</f>
        <v>0</v>
      </c>
      <c r="C146" s="1163" t="n">
        <v>32.5</v>
      </c>
      <c r="D146" s="589" t="n">
        <f aca="false">B146*C146</f>
        <v>0</v>
      </c>
      <c r="E146" s="1164" t="n">
        <v>7</v>
      </c>
      <c r="F146" s="646"/>
      <c r="G146" s="646"/>
      <c r="H146" s="646"/>
      <c r="I146" s="646"/>
      <c r="J146" s="646"/>
      <c r="K146" s="646"/>
      <c r="L146" s="646"/>
      <c r="M146" s="646"/>
      <c r="N146" s="646"/>
      <c r="O146" s="646"/>
    </row>
    <row r="147" ht="12.75" customHeight="1">
      <c r="A147" s="1200" t="s">
        <v>211</v>
      </c>
      <c r="B147" s="553" t="n">
        <f aca="false">'Saisie et Calculateur'!C168</f>
        <v>0</v>
      </c>
      <c r="C147" s="1163" t="n">
        <v>55.5</v>
      </c>
      <c r="D147" s="589" t="n">
        <f aca="false">B147*C147</f>
        <v>0</v>
      </c>
      <c r="E147" s="1164" t="n">
        <v>7</v>
      </c>
      <c r="F147" s="646"/>
      <c r="G147" s="646"/>
      <c r="H147" s="646"/>
      <c r="I147" s="646"/>
      <c r="J147" s="646"/>
      <c r="K147" s="646"/>
      <c r="L147" s="646"/>
      <c r="M147" s="646"/>
      <c r="N147" s="646"/>
      <c r="O147" s="646"/>
    </row>
    <row r="148" ht="12.75" customHeight="1">
      <c r="A148" s="1200" t="str">
        <f aca="false">'Saisie et Calculateur'!B169</f>
        <v>autre.1</v>
      </c>
      <c r="B148" s="553" t="n">
        <f aca="false">'Saisie et Calculateur'!C169</f>
        <v>57.6</v>
      </c>
      <c r="C148" s="1201" t="n">
        <v>13</v>
      </c>
      <c r="D148" s="589" t="n">
        <f aca="false">B148*C148</f>
        <v>748.8</v>
      </c>
      <c r="E148" s="1164"/>
      <c r="F148" s="646"/>
      <c r="G148" s="646"/>
      <c r="H148" s="646"/>
      <c r="I148" s="646"/>
      <c r="J148" s="646"/>
      <c r="K148" s="646"/>
      <c r="L148" s="646"/>
      <c r="M148" s="646"/>
      <c r="N148" s="646"/>
      <c r="O148" s="646"/>
    </row>
    <row r="149" ht="12.75" customHeight="1">
      <c r="A149" s="1200" t="str">
        <f aca="false">'Saisie et Calculateur'!B170</f>
        <v>autre.2</v>
      </c>
      <c r="B149" s="553" t="n">
        <f aca="false">'Saisie et Calculateur'!C170</f>
        <v>0</v>
      </c>
      <c r="C149" s="1201"/>
      <c r="D149" s="589" t="n">
        <f aca="false">B149*C149</f>
        <v>0</v>
      </c>
      <c r="E149" s="1164"/>
      <c r="F149" s="646"/>
      <c r="G149" s="646"/>
      <c r="H149" s="646"/>
      <c r="I149" s="646"/>
      <c r="J149" s="646"/>
      <c r="K149" s="646"/>
      <c r="L149" s="646"/>
      <c r="M149" s="646"/>
      <c r="N149" s="646"/>
      <c r="O149" s="646"/>
    </row>
    <row r="150" ht="12.75" customHeight="1">
      <c r="A150" s="584" t="s">
        <v>217</v>
      </c>
      <c r="B150" s="553" t="n">
        <f aca="false">'Saisie et Calculateur'!C171</f>
        <v>0</v>
      </c>
      <c r="C150" s="1163" t="n">
        <v>16</v>
      </c>
      <c r="D150" s="589" t="n">
        <f aca="false">B150*C150</f>
        <v>0</v>
      </c>
      <c r="E150" s="1164" t="n">
        <v>7</v>
      </c>
      <c r="F150" s="646"/>
      <c r="G150" s="646"/>
      <c r="H150" s="646"/>
      <c r="I150" s="646"/>
      <c r="J150" s="646"/>
      <c r="K150" s="646"/>
      <c r="L150" s="646"/>
      <c r="M150" s="646"/>
      <c r="N150" s="646"/>
      <c r="O150" s="646"/>
    </row>
    <row r="151" ht="12.75" customHeight="1">
      <c r="A151" s="584" t="s">
        <v>219</v>
      </c>
      <c r="B151" s="553"/>
      <c r="C151" s="1163"/>
      <c r="D151" s="589"/>
      <c r="E151" s="1164" t="n">
        <v>7</v>
      </c>
      <c r="F151" s="646"/>
      <c r="G151" s="646"/>
      <c r="H151" s="646"/>
      <c r="I151" s="646"/>
      <c r="J151" s="646"/>
      <c r="K151" s="646"/>
      <c r="L151" s="646"/>
      <c r="M151" s="646"/>
      <c r="N151" s="646"/>
      <c r="O151" s="646"/>
    </row>
    <row r="152" ht="12.75" customHeight="1">
      <c r="A152" s="1200" t="s">
        <v>220</v>
      </c>
      <c r="B152" s="553" t="n">
        <f aca="false">'Saisie et Calculateur'!C173</f>
        <v>0</v>
      </c>
      <c r="C152" s="1163" t="n">
        <v>19.2</v>
      </c>
      <c r="D152" s="589" t="n">
        <f aca="false">B152*C152</f>
        <v>0</v>
      </c>
      <c r="E152" s="1164" t="n">
        <v>7</v>
      </c>
      <c r="F152" s="646"/>
      <c r="G152" s="646"/>
      <c r="H152" s="646"/>
      <c r="I152" s="646"/>
      <c r="J152" s="646"/>
      <c r="K152" s="646"/>
      <c r="L152" s="646"/>
      <c r="M152" s="646"/>
      <c r="N152" s="646"/>
      <c r="O152" s="646"/>
    </row>
    <row r="153" ht="12.75" customHeight="1">
      <c r="A153" s="1200" t="s">
        <v>221</v>
      </c>
      <c r="B153" s="553" t="n">
        <f aca="false">'Saisie et Calculateur'!C174</f>
        <v>0</v>
      </c>
      <c r="C153" s="1163" t="n">
        <v>22.4</v>
      </c>
      <c r="D153" s="589" t="n">
        <f aca="false">B153*C153</f>
        <v>0</v>
      </c>
      <c r="E153" s="1164" t="n">
        <v>7</v>
      </c>
      <c r="F153" s="646"/>
      <c r="G153" s="646"/>
      <c r="H153" s="646"/>
      <c r="I153" s="646"/>
      <c r="J153" s="646"/>
      <c r="K153" s="646"/>
      <c r="L153" s="646"/>
      <c r="M153" s="646"/>
      <c r="N153" s="646"/>
      <c r="O153" s="646"/>
    </row>
    <row r="154" ht="12.75" customHeight="1">
      <c r="A154" s="1200" t="s">
        <v>222</v>
      </c>
      <c r="B154" s="553" t="n">
        <f aca="false">'Saisie et Calculateur'!C175</f>
        <v>0</v>
      </c>
      <c r="C154" s="1163" t="n">
        <v>29</v>
      </c>
      <c r="D154" s="589" t="n">
        <f aca="false">B154*C154</f>
        <v>0</v>
      </c>
      <c r="E154" s="1164" t="n">
        <v>7</v>
      </c>
      <c r="F154" s="646"/>
      <c r="G154" s="646"/>
      <c r="H154" s="646"/>
      <c r="I154" s="646"/>
      <c r="J154" s="646"/>
      <c r="K154" s="646"/>
      <c r="L154" s="646"/>
      <c r="M154" s="646"/>
      <c r="N154" s="646"/>
      <c r="O154" s="646"/>
    </row>
    <row r="155" ht="12.75" customHeight="1">
      <c r="A155" s="1200" t="s">
        <v>223</v>
      </c>
      <c r="B155" s="553" t="n">
        <f aca="false">'Saisie et Calculateur'!C176</f>
        <v>0</v>
      </c>
      <c r="C155" s="1163" t="n">
        <v>35</v>
      </c>
      <c r="D155" s="589" t="n">
        <f aca="false">B155*C155</f>
        <v>0</v>
      </c>
      <c r="E155" s="1164" t="n">
        <v>7</v>
      </c>
      <c r="F155" s="646"/>
      <c r="G155" s="646"/>
      <c r="H155" s="646"/>
      <c r="I155" s="646"/>
      <c r="J155" s="646"/>
      <c r="K155" s="646"/>
      <c r="L155" s="646"/>
      <c r="M155" s="646"/>
      <c r="N155" s="646"/>
      <c r="O155" s="646"/>
    </row>
    <row r="156" ht="12.75" customHeight="1">
      <c r="A156" s="1200" t="s">
        <v>224</v>
      </c>
      <c r="B156" s="553" t="n">
        <f aca="false">'Saisie et Calculateur'!C177</f>
        <v>0</v>
      </c>
      <c r="C156" s="1163" t="n">
        <v>42</v>
      </c>
      <c r="D156" s="589" t="n">
        <f aca="false">B156*C156</f>
        <v>0</v>
      </c>
      <c r="E156" s="1164" t="n">
        <v>7</v>
      </c>
      <c r="F156" s="646"/>
      <c r="G156" s="646"/>
      <c r="H156" s="646"/>
      <c r="I156" s="646"/>
      <c r="J156" s="646"/>
      <c r="K156" s="646"/>
      <c r="L156" s="646"/>
      <c r="M156" s="646"/>
      <c r="N156" s="646"/>
      <c r="O156" s="646"/>
    </row>
    <row r="157" ht="12.75" customHeight="1">
      <c r="A157" s="1200" t="s">
        <v>225</v>
      </c>
      <c r="B157" s="553" t="n">
        <f aca="false">'Saisie et Calculateur'!C178</f>
        <v>0</v>
      </c>
      <c r="C157" s="1163" t="n">
        <v>48</v>
      </c>
      <c r="D157" s="589" t="n">
        <f aca="false">B157*C157</f>
        <v>0</v>
      </c>
      <c r="E157" s="1164" t="n">
        <v>7</v>
      </c>
      <c r="F157" s="646"/>
      <c r="G157" s="646"/>
      <c r="H157" s="646"/>
      <c r="I157" s="646"/>
      <c r="J157" s="646"/>
      <c r="K157" s="646"/>
      <c r="L157" s="646"/>
      <c r="M157" s="646"/>
      <c r="N157" s="646"/>
      <c r="O157" s="646"/>
    </row>
    <row r="158" ht="12.75" customHeight="1">
      <c r="A158" s="1200" t="s">
        <v>228</v>
      </c>
      <c r="B158" s="553" t="n">
        <f aca="false">'Saisie et Calculateur'!C179</f>
        <v>0</v>
      </c>
      <c r="C158" s="1163" t="n">
        <v>58</v>
      </c>
      <c r="D158" s="589" t="n">
        <f aca="false">B158*C158</f>
        <v>0</v>
      </c>
      <c r="E158" s="1164" t="n">
        <v>7</v>
      </c>
      <c r="F158" s="646"/>
      <c r="G158" s="646"/>
      <c r="H158" s="646"/>
      <c r="I158" s="646"/>
      <c r="J158" s="646"/>
      <c r="K158" s="646"/>
      <c r="L158" s="646"/>
      <c r="M158" s="646"/>
      <c r="N158" s="646"/>
      <c r="O158" s="646"/>
    </row>
    <row r="159" ht="12.75" customHeight="1">
      <c r="A159" s="1200" t="s">
        <v>231</v>
      </c>
      <c r="B159" s="553" t="n">
        <f aca="false">'Saisie et Calculateur'!C180</f>
        <v>0</v>
      </c>
      <c r="C159" s="1163" t="n">
        <v>64</v>
      </c>
      <c r="D159" s="589" t="n">
        <f aca="false">B159*C159</f>
        <v>0</v>
      </c>
      <c r="E159" s="1164" t="n">
        <v>7</v>
      </c>
      <c r="F159" s="646"/>
      <c r="G159" s="646"/>
      <c r="H159" s="646"/>
      <c r="I159" s="646"/>
      <c r="J159" s="646"/>
      <c r="K159" s="646"/>
      <c r="L159" s="646"/>
      <c r="M159" s="646"/>
      <c r="N159" s="646"/>
      <c r="O159" s="646"/>
    </row>
    <row r="160" ht="12.75" customHeight="1">
      <c r="A160" s="1200" t="s">
        <v>232</v>
      </c>
      <c r="B160" s="553" t="n">
        <f aca="false">'Saisie et Calculateur'!C181</f>
        <v>0</v>
      </c>
      <c r="C160" s="1182"/>
      <c r="D160" s="589" t="n">
        <f aca="false">B160*C160</f>
        <v>0</v>
      </c>
      <c r="E160" s="1164"/>
      <c r="F160" s="1184"/>
      <c r="G160" s="646"/>
      <c r="H160" s="646"/>
      <c r="I160" s="646"/>
      <c r="J160" s="646"/>
      <c r="K160" s="646"/>
      <c r="L160" s="646"/>
      <c r="M160" s="646"/>
      <c r="N160" s="646"/>
      <c r="O160" s="646"/>
    </row>
    <row r="161" ht="12.75" customHeight="1">
      <c r="A161" s="1200" t="s">
        <v>233</v>
      </c>
      <c r="B161" s="553" t="n">
        <f aca="false">'Saisie et Calculateur'!C182</f>
        <v>0</v>
      </c>
      <c r="C161" s="1182" t="n">
        <v>70</v>
      </c>
      <c r="D161" s="589" t="n">
        <f aca="false">B161*C161</f>
        <v>0</v>
      </c>
      <c r="E161" s="1164" t="n">
        <v>7</v>
      </c>
      <c r="F161" s="1184"/>
      <c r="G161" s="646"/>
      <c r="H161" s="646"/>
      <c r="I161" s="646"/>
      <c r="J161" s="646"/>
      <c r="K161" s="646"/>
      <c r="L161" s="646"/>
      <c r="M161" s="646"/>
      <c r="N161" s="646"/>
      <c r="O161" s="646"/>
    </row>
    <row r="162" ht="12.75" customHeight="1">
      <c r="A162" s="584" t="s">
        <v>1105</v>
      </c>
      <c r="B162" s="553" t="n">
        <f aca="false">'Saisie et Calculateur'!C183</f>
        <v>0</v>
      </c>
      <c r="C162" s="1163" t="n">
        <v>36</v>
      </c>
      <c r="D162" s="589" t="n">
        <f aca="false">B162*C162</f>
        <v>0</v>
      </c>
      <c r="E162" s="1164" t="n">
        <v>7</v>
      </c>
      <c r="F162" s="646"/>
      <c r="G162" s="646"/>
      <c r="H162" s="646"/>
      <c r="I162" s="646"/>
      <c r="J162" s="646"/>
      <c r="K162" s="646"/>
      <c r="L162" s="646"/>
      <c r="M162" s="646"/>
      <c r="N162" s="646"/>
      <c r="O162" s="646"/>
    </row>
    <row r="163" ht="12.75" customHeight="1">
      <c r="A163" s="584" t="s">
        <v>1889</v>
      </c>
      <c r="B163" s="553" t="n">
        <f aca="false">'Saisie et Calculateur'!C184</f>
        <v>0</v>
      </c>
      <c r="C163" s="1163" t="n">
        <v>29</v>
      </c>
      <c r="D163" s="589" t="n">
        <f aca="false">B163*C163</f>
        <v>0</v>
      </c>
      <c r="E163" s="1164" t="n">
        <v>7</v>
      </c>
      <c r="F163" s="646"/>
      <c r="G163" s="646"/>
      <c r="H163" s="646"/>
      <c r="I163" s="646"/>
      <c r="J163" s="646"/>
      <c r="K163" s="646"/>
      <c r="L163" s="646"/>
      <c r="M163" s="646"/>
      <c r="N163" s="646"/>
      <c r="O163" s="646"/>
    </row>
    <row r="164" ht="12.75" customHeight="1">
      <c r="A164" s="584" t="s">
        <v>236</v>
      </c>
      <c r="B164" s="553" t="n">
        <f aca="false">'Saisie et Calculateur'!C185</f>
        <v>0</v>
      </c>
      <c r="C164" s="1163" t="n">
        <v>27.2</v>
      </c>
      <c r="D164" s="589" t="n">
        <f aca="false">B164*C164</f>
        <v>0</v>
      </c>
      <c r="E164" s="1164" t="n">
        <v>7</v>
      </c>
      <c r="F164" s="646"/>
      <c r="G164" s="646"/>
      <c r="H164" s="646"/>
      <c r="I164" s="646"/>
      <c r="J164" s="646"/>
      <c r="K164" s="646"/>
      <c r="L164" s="646"/>
      <c r="M164" s="646"/>
      <c r="N164" s="646"/>
      <c r="O164" s="646"/>
    </row>
    <row r="165" ht="12.75" customHeight="1">
      <c r="A165" s="584" t="s">
        <v>237</v>
      </c>
      <c r="B165" s="553" t="n">
        <f aca="false">'Saisie et Calculateur'!C186</f>
        <v>0</v>
      </c>
      <c r="C165" s="1163" t="n">
        <v>35.2</v>
      </c>
      <c r="D165" s="589" t="n">
        <f aca="false">B165*C165</f>
        <v>0</v>
      </c>
      <c r="E165" s="1164" t="n">
        <v>7</v>
      </c>
      <c r="F165" s="646"/>
      <c r="G165" s="646"/>
      <c r="H165" s="646"/>
      <c r="I165" s="646"/>
      <c r="J165" s="646"/>
      <c r="K165" s="646"/>
      <c r="L165" s="646"/>
      <c r="M165" s="646"/>
      <c r="N165" s="646"/>
      <c r="O165" s="646"/>
    </row>
    <row r="166" ht="12.75" customHeight="1">
      <c r="A166" s="584" t="s">
        <v>238</v>
      </c>
      <c r="B166" s="553" t="n">
        <f aca="false">'Saisie et Calculateur'!C187</f>
        <v>0</v>
      </c>
      <c r="C166" s="1163" t="n">
        <v>26.4</v>
      </c>
      <c r="D166" s="589" t="n">
        <f aca="false">B166*C166</f>
        <v>0</v>
      </c>
      <c r="E166" s="1164" t="n">
        <v>7</v>
      </c>
      <c r="F166" s="646"/>
      <c r="G166" s="646"/>
      <c r="H166" s="646"/>
      <c r="I166" s="646"/>
      <c r="J166" s="646"/>
      <c r="K166" s="646"/>
      <c r="L166" s="646"/>
      <c r="M166" s="646"/>
      <c r="N166" s="646"/>
      <c r="O166" s="646"/>
    </row>
    <row r="167" ht="12.75" customHeight="1">
      <c r="A167" s="584" t="s">
        <v>1106</v>
      </c>
      <c r="B167" s="553"/>
      <c r="C167" s="1163"/>
      <c r="D167" s="589"/>
      <c r="E167" s="1164" t="n">
        <v>7</v>
      </c>
      <c r="F167" s="646"/>
      <c r="G167" s="646"/>
      <c r="H167" s="646"/>
      <c r="I167" s="646"/>
      <c r="J167" s="646"/>
      <c r="K167" s="646"/>
      <c r="L167" s="646"/>
      <c r="M167" s="646"/>
      <c r="N167" s="646"/>
      <c r="O167" s="646"/>
    </row>
    <row r="168" ht="12.75" customHeight="1">
      <c r="A168" s="1200" t="s">
        <v>240</v>
      </c>
      <c r="B168" s="553" t="n">
        <f aca="false">'Saisie et Calculateur'!C189</f>
        <v>0</v>
      </c>
      <c r="C168" s="1163" t="n">
        <v>25.6</v>
      </c>
      <c r="D168" s="589" t="n">
        <f aca="false">B168*C168</f>
        <v>0</v>
      </c>
      <c r="E168" s="1164" t="n">
        <v>7</v>
      </c>
      <c r="F168" s="646"/>
      <c r="G168" s="646"/>
      <c r="H168" s="646"/>
      <c r="I168" s="646"/>
      <c r="J168" s="646"/>
      <c r="K168" s="646"/>
      <c r="L168" s="646"/>
      <c r="M168" s="646"/>
      <c r="N168" s="646"/>
      <c r="O168" s="646"/>
    </row>
    <row r="169" ht="12.75" customHeight="1">
      <c r="A169" s="1200" t="s">
        <v>241</v>
      </c>
      <c r="B169" s="553" t="n">
        <f aca="false">'Saisie et Calculateur'!C190</f>
        <v>0</v>
      </c>
      <c r="C169" s="1163" t="n">
        <v>28.8</v>
      </c>
      <c r="D169" s="589" t="n">
        <f aca="false">B169*C169</f>
        <v>0</v>
      </c>
      <c r="E169" s="1164" t="n">
        <v>7</v>
      </c>
      <c r="F169" s="646"/>
      <c r="G169" s="646"/>
      <c r="H169" s="646"/>
      <c r="I169" s="646"/>
      <c r="J169" s="646"/>
      <c r="K169" s="646"/>
      <c r="L169" s="646"/>
      <c r="M169" s="646"/>
      <c r="N169" s="646"/>
      <c r="O169" s="646"/>
    </row>
    <row r="170" ht="12.75" customHeight="1">
      <c r="A170" s="1200" t="s">
        <v>242</v>
      </c>
      <c r="B170" s="553" t="n">
        <f aca="false">'Saisie et Calculateur'!C191</f>
        <v>0</v>
      </c>
      <c r="C170" s="1163" t="n">
        <v>32</v>
      </c>
      <c r="D170" s="589" t="n">
        <f aca="false">B170*C170</f>
        <v>0</v>
      </c>
      <c r="E170" s="1164" t="n">
        <v>7</v>
      </c>
      <c r="F170" s="646"/>
      <c r="G170" s="646"/>
      <c r="H170" s="646"/>
      <c r="I170" s="646"/>
      <c r="J170" s="646"/>
      <c r="K170" s="646"/>
      <c r="L170" s="646"/>
      <c r="M170" s="646"/>
      <c r="N170" s="646"/>
      <c r="O170" s="646"/>
    </row>
    <row r="171" ht="12.75" customHeight="1">
      <c r="A171" s="1200" t="s">
        <v>243</v>
      </c>
      <c r="B171" s="553" t="n">
        <f aca="false">'Saisie et Calculateur'!C192</f>
        <v>0</v>
      </c>
      <c r="C171" s="1163" t="n">
        <v>35.2</v>
      </c>
      <c r="D171" s="589" t="n">
        <f aca="false">B171*C171</f>
        <v>0</v>
      </c>
      <c r="E171" s="1164" t="n">
        <v>7</v>
      </c>
      <c r="F171" s="646"/>
      <c r="G171" s="646"/>
      <c r="H171" s="646"/>
      <c r="I171" s="646"/>
      <c r="J171" s="646"/>
      <c r="K171" s="646"/>
      <c r="L171" s="646"/>
      <c r="M171" s="646"/>
      <c r="N171" s="646"/>
      <c r="O171" s="646"/>
    </row>
    <row r="172" ht="12.75" customHeight="1">
      <c r="A172" s="584" t="s">
        <v>1107</v>
      </c>
      <c r="B172" s="553" t="n">
        <f aca="false">'Saisie et Calculateur'!C193</f>
        <v>0</v>
      </c>
      <c r="C172" s="1201"/>
      <c r="D172" s="589" t="n">
        <f aca="false">B172*C172</f>
        <v>0</v>
      </c>
      <c r="E172" s="1164"/>
      <c r="F172" s="646"/>
      <c r="G172" s="646"/>
      <c r="H172" s="646"/>
      <c r="I172" s="646"/>
      <c r="J172" s="646"/>
      <c r="K172" s="646"/>
      <c r="L172" s="646"/>
      <c r="M172" s="646"/>
      <c r="N172" s="646"/>
      <c r="O172" s="646"/>
    </row>
    <row r="173" ht="12.75" customHeight="1">
      <c r="A173" s="584" t="s">
        <v>1108</v>
      </c>
      <c r="B173" s="553" t="n">
        <f aca="false">'Saisie et Calculateur'!C194</f>
        <v>0</v>
      </c>
      <c r="C173" s="1201"/>
      <c r="D173" s="589" t="n">
        <f aca="false">B173*C173</f>
        <v>0</v>
      </c>
      <c r="E173" s="1164"/>
      <c r="F173" s="646"/>
      <c r="G173" s="646"/>
      <c r="H173" s="646"/>
      <c r="I173" s="646"/>
      <c r="J173" s="646"/>
      <c r="K173" s="646"/>
      <c r="L173" s="646"/>
      <c r="M173" s="646"/>
      <c r="N173" s="646"/>
      <c r="O173" s="646"/>
    </row>
    <row r="174" ht="12.75" customHeight="1">
      <c r="A174" s="584" t="s">
        <v>1109</v>
      </c>
      <c r="B174" s="553" t="n">
        <f aca="false">'Saisie et Calculateur'!C195</f>
        <v>0</v>
      </c>
      <c r="C174" s="1201"/>
      <c r="D174" s="589" t="n">
        <f aca="false">B174*C174</f>
        <v>0</v>
      </c>
      <c r="E174" s="1164"/>
      <c r="F174" s="646"/>
      <c r="G174" s="646"/>
      <c r="H174" s="646"/>
      <c r="I174" s="646"/>
      <c r="J174" s="646"/>
      <c r="K174" s="646"/>
      <c r="L174" s="646"/>
      <c r="M174" s="646"/>
      <c r="N174" s="646"/>
      <c r="O174" s="646"/>
    </row>
    <row r="175" ht="12.75" customHeight="1">
      <c r="A175" s="584" t="s">
        <v>1110</v>
      </c>
      <c r="B175" s="553" t="n">
        <f aca="false">'Saisie et Calculateur'!C196</f>
        <v>0</v>
      </c>
      <c r="C175" s="1201"/>
      <c r="D175" s="589" t="n">
        <f aca="false">B175*C175</f>
        <v>0</v>
      </c>
      <c r="E175" s="1164"/>
      <c r="F175" s="646"/>
      <c r="G175" s="646"/>
      <c r="H175" s="646"/>
      <c r="I175" s="646"/>
      <c r="J175" s="646"/>
      <c r="K175" s="646"/>
      <c r="L175" s="646"/>
      <c r="M175" s="646"/>
      <c r="N175" s="646"/>
      <c r="O175" s="646"/>
    </row>
    <row r="176" ht="12.75" customHeight="1">
      <c r="A176" s="584" t="s">
        <v>244</v>
      </c>
      <c r="B176" s="553" t="n">
        <f aca="false">'Saisie et Calculateur'!C197</f>
        <v>0</v>
      </c>
      <c r="C176" s="1201"/>
      <c r="D176" s="589" t="n">
        <f aca="false">B176*C176</f>
        <v>0</v>
      </c>
      <c r="E176" s="1164"/>
      <c r="F176" s="646"/>
      <c r="G176" s="646"/>
      <c r="H176" s="646"/>
      <c r="I176" s="646"/>
      <c r="J176" s="646"/>
      <c r="K176" s="646"/>
      <c r="L176" s="646"/>
      <c r="M176" s="646"/>
      <c r="N176" s="646"/>
      <c r="O176" s="646"/>
    </row>
    <row r="177" ht="12.75" customHeight="1">
      <c r="A177" s="1020" t="s">
        <v>1090</v>
      </c>
      <c r="B177" s="1202" t="s">
        <v>1890</v>
      </c>
      <c r="C177" s="1198" t="s">
        <v>1891</v>
      </c>
      <c r="D177" s="1198" t="s">
        <v>1881</v>
      </c>
      <c r="E177" s="1164"/>
      <c r="F177" s="646"/>
      <c r="G177" s="646"/>
      <c r="H177" s="646"/>
      <c r="I177" s="646"/>
      <c r="J177" s="646"/>
      <c r="K177" s="646"/>
      <c r="L177" s="646"/>
      <c r="M177" s="646"/>
      <c r="N177" s="646"/>
      <c r="O177" s="646"/>
    </row>
    <row r="178" ht="12.75" customHeight="1">
      <c r="A178" s="646" t="s">
        <v>192</v>
      </c>
      <c r="B178" s="553" t="n">
        <f aca="false">'Saisie et Calculateur'!I158</f>
        <v>0</v>
      </c>
      <c r="C178" s="1163" t="n">
        <v>12.5</v>
      </c>
      <c r="D178" s="589" t="n">
        <f aca="false">B178*C178</f>
        <v>0</v>
      </c>
      <c r="E178" s="1164" t="n">
        <v>7</v>
      </c>
      <c r="F178" s="646"/>
      <c r="G178" s="646"/>
      <c r="H178" s="646"/>
      <c r="I178" s="646"/>
      <c r="J178" s="646"/>
      <c r="K178" s="646"/>
      <c r="L178" s="646"/>
      <c r="M178" s="646"/>
      <c r="N178" s="646"/>
      <c r="O178" s="646"/>
    </row>
    <row r="179" ht="12.75" customHeight="1">
      <c r="A179" s="646" t="s">
        <v>194</v>
      </c>
      <c r="B179" s="553" t="n">
        <f aca="false">'Saisie et Calculateur'!I159</f>
        <v>0</v>
      </c>
      <c r="C179" s="1163" t="n">
        <v>20</v>
      </c>
      <c r="D179" s="589" t="n">
        <f aca="false">B179*C179</f>
        <v>0</v>
      </c>
      <c r="E179" s="1164" t="n">
        <v>7</v>
      </c>
      <c r="F179" s="646"/>
      <c r="G179" s="646"/>
      <c r="H179" s="646"/>
      <c r="I179" s="646"/>
      <c r="J179" s="646"/>
      <c r="K179" s="646"/>
      <c r="L179" s="646"/>
      <c r="M179" s="646"/>
      <c r="N179" s="646"/>
      <c r="O179" s="646"/>
    </row>
    <row r="180" ht="12.75" customHeight="1">
      <c r="A180" s="646" t="s">
        <v>196</v>
      </c>
      <c r="B180" s="553" t="n">
        <f aca="false">'Saisie et Calculateur'!I160</f>
        <v>0</v>
      </c>
      <c r="C180" s="1163" t="n">
        <v>15</v>
      </c>
      <c r="D180" s="589" t="n">
        <f aca="false">B180*C180</f>
        <v>0</v>
      </c>
      <c r="E180" s="1164" t="n">
        <v>7</v>
      </c>
      <c r="F180" s="646"/>
      <c r="G180" s="646"/>
      <c r="H180" s="646"/>
      <c r="I180" s="646"/>
      <c r="J180" s="646"/>
      <c r="K180" s="646"/>
      <c r="L180" s="646"/>
      <c r="M180" s="646"/>
      <c r="N180" s="646"/>
      <c r="O180" s="646"/>
    </row>
    <row r="181" ht="12.75" customHeight="1">
      <c r="A181" s="646" t="s">
        <v>198</v>
      </c>
      <c r="B181" s="553" t="n">
        <f aca="false">'Saisie et Calculateur'!I161</f>
        <v>0</v>
      </c>
      <c r="C181" s="1163" t="n">
        <v>28</v>
      </c>
      <c r="D181" s="589" t="n">
        <f aca="false">B181*C181</f>
        <v>0</v>
      </c>
      <c r="E181" s="1164" t="n">
        <v>7</v>
      </c>
      <c r="F181" s="646"/>
      <c r="G181" s="646"/>
      <c r="H181" s="646"/>
      <c r="I181" s="646"/>
      <c r="J181" s="646"/>
      <c r="K181" s="646"/>
      <c r="L181" s="646"/>
      <c r="M181" s="646"/>
      <c r="N181" s="646"/>
      <c r="O181" s="646"/>
    </row>
    <row r="182" ht="12.75" customHeight="1">
      <c r="A182" s="646" t="s">
        <v>200</v>
      </c>
      <c r="B182" s="553" t="n">
        <f aca="false">'Saisie et Calculateur'!I162</f>
        <v>0</v>
      </c>
      <c r="C182" s="1163" t="n">
        <v>25</v>
      </c>
      <c r="D182" s="589" t="n">
        <f aca="false">B182*C182</f>
        <v>0</v>
      </c>
      <c r="E182" s="1164" t="n">
        <v>7</v>
      </c>
      <c r="F182" s="646"/>
      <c r="G182" s="646"/>
      <c r="H182" s="646"/>
      <c r="I182" s="646"/>
      <c r="J182" s="646"/>
      <c r="K182" s="646"/>
      <c r="L182" s="646"/>
      <c r="M182" s="646"/>
      <c r="N182" s="646"/>
      <c r="O182" s="646"/>
    </row>
    <row r="183" ht="12.75" customHeight="1">
      <c r="A183" s="646" t="s">
        <v>202</v>
      </c>
      <c r="B183" s="553" t="n">
        <f aca="false">'Saisie et Calculateur'!I163</f>
        <v>0</v>
      </c>
      <c r="C183" s="1163" t="n">
        <v>15</v>
      </c>
      <c r="D183" s="589" t="n">
        <f aca="false">B183*C183</f>
        <v>0</v>
      </c>
      <c r="E183" s="1164" t="n">
        <v>7</v>
      </c>
      <c r="F183" s="646"/>
      <c r="G183" s="646"/>
      <c r="H183" s="646"/>
      <c r="I183" s="646"/>
      <c r="J183" s="646"/>
      <c r="K183" s="646"/>
      <c r="L183" s="646"/>
      <c r="M183" s="646"/>
      <c r="N183" s="646"/>
      <c r="O183" s="646"/>
    </row>
    <row r="184" ht="12.75" customHeight="1">
      <c r="A184" s="646" t="s">
        <v>204</v>
      </c>
      <c r="B184" s="553" t="n">
        <f aca="false">'Saisie et Calculateur'!I164</f>
        <v>0</v>
      </c>
      <c r="C184" s="1163" t="n">
        <v>35</v>
      </c>
      <c r="D184" s="589" t="n">
        <f aca="false">B184*C184</f>
        <v>0</v>
      </c>
      <c r="E184" s="1164" t="n">
        <v>7</v>
      </c>
      <c r="F184" s="646"/>
      <c r="G184" s="646"/>
      <c r="H184" s="646"/>
      <c r="I184" s="646"/>
      <c r="J184" s="646"/>
      <c r="K184" s="646"/>
      <c r="L184" s="646"/>
      <c r="M184" s="646"/>
      <c r="N184" s="646"/>
      <c r="O184" s="646"/>
    </row>
    <row r="185" ht="12.75" customHeight="1">
      <c r="A185" s="646" t="s">
        <v>206</v>
      </c>
      <c r="B185" s="553" t="n">
        <f aca="false">'Saisie et Calculateur'!I165</f>
        <v>0</v>
      </c>
      <c r="C185" s="1163" t="n">
        <v>16</v>
      </c>
      <c r="D185" s="589" t="n">
        <f aca="false">B185*C185</f>
        <v>0</v>
      </c>
      <c r="E185" s="1164" t="n">
        <v>7</v>
      </c>
      <c r="F185" s="646"/>
      <c r="G185" s="646"/>
      <c r="H185" s="646"/>
      <c r="I185" s="646"/>
      <c r="J185" s="646"/>
      <c r="K185" s="646"/>
      <c r="L185" s="646"/>
      <c r="M185" s="646"/>
      <c r="N185" s="646"/>
      <c r="O185" s="646"/>
    </row>
    <row r="186" ht="12.75" customHeight="1">
      <c r="A186" s="646" t="s">
        <v>208</v>
      </c>
      <c r="B186" s="553" t="n">
        <f aca="false">'Saisie et Calculateur'!I166</f>
        <v>0</v>
      </c>
      <c r="C186" s="1163" t="n">
        <v>16</v>
      </c>
      <c r="D186" s="589" t="n">
        <f aca="false">B186*C186</f>
        <v>0</v>
      </c>
      <c r="E186" s="1164" t="n">
        <v>7</v>
      </c>
      <c r="F186" s="646"/>
      <c r="G186" s="646"/>
      <c r="H186" s="646"/>
      <c r="I186" s="646"/>
      <c r="J186" s="646"/>
      <c r="K186" s="646"/>
      <c r="L186" s="646"/>
      <c r="M186" s="646"/>
      <c r="N186" s="646"/>
      <c r="O186" s="646"/>
    </row>
    <row r="187" ht="12.75" customHeight="1">
      <c r="A187" s="646" t="s">
        <v>210</v>
      </c>
      <c r="B187" s="553" t="n">
        <f aca="false">'Saisie et Calculateur'!I167</f>
        <v>0</v>
      </c>
      <c r="C187" s="1163" t="n">
        <v>23.3</v>
      </c>
      <c r="D187" s="589" t="n">
        <f aca="false">B187*C187</f>
        <v>0</v>
      </c>
      <c r="E187" s="1164" t="n">
        <v>7</v>
      </c>
      <c r="F187" s="646"/>
      <c r="G187" s="646"/>
      <c r="H187" s="646"/>
      <c r="I187" s="646"/>
      <c r="J187" s="646"/>
      <c r="K187" s="646"/>
      <c r="L187" s="646"/>
      <c r="M187" s="646"/>
      <c r="N187" s="646"/>
      <c r="O187" s="646"/>
    </row>
    <row r="188" ht="12.75" customHeight="1">
      <c r="A188" s="646" t="s">
        <v>212</v>
      </c>
      <c r="B188" s="553" t="n">
        <f aca="false">'Saisie et Calculateur'!I168</f>
        <v>0</v>
      </c>
      <c r="C188" s="1163" t="n">
        <v>48</v>
      </c>
      <c r="D188" s="589" t="n">
        <f aca="false">B188*C188</f>
        <v>0</v>
      </c>
      <c r="E188" s="1164" t="n">
        <v>7</v>
      </c>
      <c r="F188" s="646"/>
      <c r="G188" s="646"/>
      <c r="H188" s="646"/>
      <c r="I188" s="646"/>
      <c r="J188" s="646"/>
      <c r="K188" s="646"/>
      <c r="L188" s="646"/>
      <c r="M188" s="646"/>
      <c r="N188" s="646"/>
      <c r="O188" s="646"/>
    </row>
    <row r="189" ht="12.75" customHeight="1">
      <c r="A189" s="646" t="s">
        <v>214</v>
      </c>
      <c r="B189" s="553" t="n">
        <f aca="false">'Saisie et Calculateur'!I169</f>
        <v>0</v>
      </c>
      <c r="C189" s="1163" t="n">
        <v>16</v>
      </c>
      <c r="D189" s="589" t="n">
        <f aca="false">B189*C189</f>
        <v>0</v>
      </c>
      <c r="E189" s="1164" t="n">
        <v>7</v>
      </c>
      <c r="F189" s="1203"/>
      <c r="G189" s="646" t="s">
        <v>1892</v>
      </c>
      <c r="H189" s="646"/>
      <c r="I189" s="646"/>
      <c r="J189" s="646"/>
      <c r="K189" s="646"/>
      <c r="L189" s="646"/>
      <c r="M189" s="646"/>
      <c r="N189" s="646"/>
      <c r="O189" s="646"/>
    </row>
    <row r="190" ht="12.75" customHeight="1">
      <c r="A190" s="646" t="s">
        <v>216</v>
      </c>
      <c r="B190" s="553" t="n">
        <f aca="false">'Saisie et Calculateur'!I170</f>
        <v>0</v>
      </c>
      <c r="C190" s="1163" t="n">
        <v>6</v>
      </c>
      <c r="D190" s="589" t="n">
        <f aca="false">B190*C190</f>
        <v>0</v>
      </c>
      <c r="E190" s="1164" t="n">
        <v>7</v>
      </c>
      <c r="F190" s="1203"/>
      <c r="G190" s="646"/>
      <c r="H190" s="646"/>
      <c r="I190" s="646"/>
      <c r="J190" s="646"/>
      <c r="K190" s="646"/>
      <c r="L190" s="646"/>
      <c r="M190" s="646"/>
      <c r="N190" s="646"/>
      <c r="O190" s="646"/>
    </row>
    <row r="191" ht="12.75" customHeight="1">
      <c r="A191" s="646" t="s">
        <v>218</v>
      </c>
      <c r="B191" s="553" t="n">
        <f aca="false">'Saisie et Calculateur'!I171</f>
        <v>0</v>
      </c>
      <c r="C191" s="1163" t="n">
        <v>14</v>
      </c>
      <c r="D191" s="589" t="n">
        <f aca="false">B191*C191</f>
        <v>0</v>
      </c>
      <c r="E191" s="1164" t="n">
        <v>7</v>
      </c>
      <c r="F191" s="646"/>
      <c r="G191" s="646"/>
      <c r="H191" s="646"/>
      <c r="I191" s="646"/>
      <c r="J191" s="646"/>
      <c r="K191" s="646"/>
      <c r="L191" s="646"/>
      <c r="M191" s="646"/>
      <c r="N191" s="646"/>
      <c r="O191" s="646"/>
    </row>
    <row r="192" ht="14.25" customHeight="1">
      <c r="A192" s="298"/>
      <c r="B192" s="1204"/>
      <c r="C192" s="634"/>
      <c r="D192" s="1165"/>
      <c r="E192" s="646"/>
      <c r="F192" s="646"/>
      <c r="G192" s="646"/>
      <c r="H192" s="646"/>
      <c r="I192" s="646"/>
      <c r="J192" s="646"/>
      <c r="K192" s="646"/>
      <c r="L192" s="646"/>
      <c r="M192" s="646"/>
      <c r="N192" s="646"/>
      <c r="O192" s="646"/>
    </row>
    <row r="193" ht="12.75" customHeight="1">
      <c r="A193" s="646"/>
      <c r="B193" s="646"/>
      <c r="C193" s="646"/>
      <c r="D193" s="646"/>
      <c r="E193" s="646"/>
      <c r="F193" s="646"/>
      <c r="G193" s="646"/>
      <c r="H193" s="646"/>
      <c r="I193" s="646"/>
      <c r="J193" s="646"/>
      <c r="K193" s="646"/>
      <c r="L193" s="646"/>
      <c r="M193" s="646"/>
      <c r="N193" s="646"/>
      <c r="O193" s="646"/>
    </row>
    <row r="194" ht="12.75" customHeight="1">
      <c r="A194" s="646"/>
      <c r="B194" s="840" t="s">
        <v>1244</v>
      </c>
      <c r="C194" s="1168" t="s">
        <v>551</v>
      </c>
      <c r="D194" s="1000" t="n">
        <f aca="false">SUM(D138:D141,D143:D150,D152:D166,D168:D176,D178:D191)</f>
        <v>936</v>
      </c>
      <c r="E194" s="1164" t="s">
        <v>697</v>
      </c>
      <c r="F194" s="646"/>
      <c r="G194" s="646"/>
      <c r="H194" s="646"/>
      <c r="I194" s="646"/>
      <c r="J194" s="646"/>
      <c r="K194" s="646"/>
      <c r="L194" s="646"/>
      <c r="M194" s="646"/>
      <c r="N194" s="646"/>
      <c r="O194" s="646"/>
    </row>
    <row r="195" ht="12.75" customHeight="1">
      <c r="A195" s="646"/>
      <c r="B195" s="646"/>
      <c r="C195" s="646"/>
      <c r="D195" s="646"/>
      <c r="E195" s="646"/>
      <c r="F195" s="646"/>
      <c r="G195" s="646"/>
      <c r="H195" s="646"/>
      <c r="I195" s="646"/>
      <c r="J195" s="646"/>
      <c r="K195" s="646"/>
      <c r="L195" s="646"/>
      <c r="M195" s="646"/>
      <c r="N195" s="646"/>
      <c r="O195" s="646"/>
    </row>
    <row r="196" ht="12.75" customHeight="1">
      <c r="A196" s="646"/>
      <c r="B196" s="646"/>
      <c r="C196" s="646"/>
      <c r="D196" s="646"/>
      <c r="E196" s="646"/>
      <c r="F196" s="646"/>
      <c r="G196" s="646"/>
      <c r="H196" s="646"/>
      <c r="I196" s="646"/>
      <c r="J196" s="646"/>
      <c r="K196" s="646"/>
      <c r="L196" s="646"/>
      <c r="M196" s="646"/>
      <c r="N196" s="646"/>
      <c r="O196" s="646"/>
    </row>
    <row r="197" ht="20.25" customHeight="1">
      <c r="A197" s="1156" t="s">
        <v>1893</v>
      </c>
      <c r="B197" s="1156"/>
      <c r="C197" s="1156"/>
      <c r="D197" s="1156"/>
      <c r="E197" s="1156"/>
      <c r="F197" s="1156"/>
      <c r="G197" s="1156"/>
      <c r="H197" s="1156"/>
      <c r="I197" s="1156"/>
      <c r="J197" s="1128"/>
      <c r="K197" s="1128"/>
      <c r="L197" s="646"/>
      <c r="M197" s="646"/>
      <c r="N197" s="646"/>
      <c r="O197" s="646"/>
    </row>
    <row r="198" ht="21" customHeight="1">
      <c r="A198" s="1157"/>
      <c r="B198" s="1140"/>
      <c r="C198" s="1140"/>
      <c r="D198" s="1140"/>
      <c r="E198" s="1140"/>
      <c r="F198" s="1140"/>
      <c r="G198" s="1140"/>
      <c r="H198" s="1140"/>
      <c r="I198" s="1128"/>
      <c r="J198" s="1128"/>
      <c r="K198" s="1128"/>
      <c r="L198" s="646"/>
      <c r="M198" s="646"/>
      <c r="N198" s="646"/>
      <c r="O198" s="646"/>
    </row>
    <row r="199" ht="25.5" customHeight="1">
      <c r="A199" s="1205" t="s">
        <v>1894</v>
      </c>
      <c r="B199" s="725" t="s">
        <v>1046</v>
      </c>
      <c r="C199" s="725" t="s">
        <v>1895</v>
      </c>
      <c r="D199" s="725" t="s">
        <v>1048</v>
      </c>
      <c r="E199" s="840" t="s">
        <v>406</v>
      </c>
      <c r="F199" s="1206" t="s">
        <v>406</v>
      </c>
      <c r="G199" s="646"/>
      <c r="H199" s="646"/>
      <c r="I199" s="646"/>
      <c r="J199" s="646"/>
      <c r="K199" s="646"/>
      <c r="L199" s="646"/>
      <c r="M199" s="646"/>
      <c r="N199" s="646"/>
      <c r="O199" s="646"/>
    </row>
    <row r="200" ht="25.5" customHeight="1">
      <c r="A200" s="1207"/>
      <c r="B200" s="1177"/>
      <c r="C200" s="1208" t="s">
        <v>1896</v>
      </c>
      <c r="D200" s="1177" t="s">
        <v>1053</v>
      </c>
      <c r="E200" s="1177" t="s">
        <v>1897</v>
      </c>
      <c r="F200" s="1209" t="s">
        <v>1862</v>
      </c>
      <c r="G200" s="646"/>
      <c r="H200" s="646"/>
      <c r="I200" s="646"/>
      <c r="J200" s="646"/>
      <c r="K200" s="646"/>
      <c r="L200" s="646"/>
      <c r="M200" s="646"/>
      <c r="N200" s="646"/>
      <c r="O200" s="646"/>
    </row>
    <row r="201" ht="14.25" customHeight="1">
      <c r="A201" s="1210" t="s">
        <v>1055</v>
      </c>
      <c r="B201" s="1178" t="n">
        <f aca="false">'Saisie et Calculateur'!B113</f>
        <v>0</v>
      </c>
      <c r="C201" s="1178" t="n">
        <f aca="false">'Saisie et Calculateur'!C113</f>
        <v>0</v>
      </c>
      <c r="D201" s="589" t="n">
        <f aca="false">C201*B201/1000</f>
        <v>0</v>
      </c>
      <c r="E201" s="1163" t="n">
        <v>24</v>
      </c>
      <c r="F201" s="1211" t="n">
        <f aca="false">D201*E201</f>
        <v>0</v>
      </c>
      <c r="G201" s="646"/>
      <c r="H201" s="646"/>
      <c r="I201" s="646"/>
      <c r="J201" s="1128"/>
      <c r="K201" s="646"/>
      <c r="L201" s="646"/>
      <c r="M201" s="646"/>
      <c r="N201" s="646"/>
      <c r="O201" s="646"/>
    </row>
    <row r="202" ht="14.25" customHeight="1">
      <c r="A202" s="1210" t="s">
        <v>1056</v>
      </c>
      <c r="B202" s="1178" t="n">
        <f aca="false">'Saisie et Calculateur'!B114</f>
        <v>0</v>
      </c>
      <c r="C202" s="1178" t="n">
        <f aca="false">'Saisie et Calculateur'!C114</f>
        <v>0</v>
      </c>
      <c r="D202" s="589" t="n">
        <f aca="false">C202*B202/1000</f>
        <v>0</v>
      </c>
      <c r="E202" s="1163" t="n">
        <v>24</v>
      </c>
      <c r="F202" s="1211" t="n">
        <f aca="false">D202*E202</f>
        <v>0</v>
      </c>
      <c r="G202" s="646"/>
      <c r="H202" s="1186"/>
      <c r="I202" s="646"/>
      <c r="J202" s="646"/>
      <c r="K202" s="1128"/>
      <c r="L202" s="646"/>
      <c r="M202" s="646"/>
      <c r="N202" s="646"/>
      <c r="O202" s="646"/>
    </row>
    <row r="203" ht="14.25" customHeight="1">
      <c r="A203" s="1210" t="s">
        <v>1057</v>
      </c>
      <c r="B203" s="1178" t="n">
        <f aca="false">'Saisie et Calculateur'!B115</f>
        <v>0</v>
      </c>
      <c r="C203" s="1178" t="n">
        <f aca="false">'Saisie et Calculateur'!C115</f>
        <v>0</v>
      </c>
      <c r="D203" s="589" t="n">
        <f aca="false">C203*B203/1000</f>
        <v>0</v>
      </c>
      <c r="E203" s="1163" t="n">
        <v>24</v>
      </c>
      <c r="F203" s="1211" t="n">
        <f aca="false">D203*E203</f>
        <v>0</v>
      </c>
      <c r="G203" s="646"/>
      <c r="H203" s="646"/>
      <c r="I203" s="646"/>
      <c r="J203" s="646"/>
      <c r="K203" s="1128"/>
      <c r="L203" s="646"/>
      <c r="M203" s="646"/>
      <c r="N203" s="646"/>
      <c r="O203" s="646"/>
    </row>
    <row r="204" ht="14.25" customHeight="1">
      <c r="A204" s="1210" t="s">
        <v>1058</v>
      </c>
      <c r="B204" s="1178" t="n">
        <f aca="false">'Saisie et Calculateur'!B116</f>
        <v>0</v>
      </c>
      <c r="C204" s="1178" t="n">
        <f aca="false">'Saisie et Calculateur'!C116</f>
        <v>0</v>
      </c>
      <c r="D204" s="589" t="n">
        <f aca="false">C204*B204/1000</f>
        <v>0</v>
      </c>
      <c r="E204" s="1163" t="n">
        <v>24</v>
      </c>
      <c r="F204" s="1211" t="n">
        <f aca="false">D204*E204</f>
        <v>0</v>
      </c>
      <c r="G204" s="646"/>
      <c r="H204" s="646"/>
      <c r="I204" s="646"/>
      <c r="J204" s="646"/>
      <c r="K204" s="1128"/>
      <c r="L204" s="646"/>
      <c r="M204" s="646"/>
      <c r="N204" s="646"/>
      <c r="O204" s="646"/>
    </row>
    <row r="205" ht="14.25" customHeight="1">
      <c r="A205" s="1210" t="s">
        <v>1059</v>
      </c>
      <c r="B205" s="1178" t="n">
        <f aca="false">'Saisie et Calculateur'!B117</f>
        <v>0</v>
      </c>
      <c r="C205" s="1178" t="n">
        <f aca="false">'Saisie et Calculateur'!C117</f>
        <v>0</v>
      </c>
      <c r="D205" s="589" t="n">
        <f aca="false">C205*B205/1000</f>
        <v>0</v>
      </c>
      <c r="E205" s="1163" t="n">
        <v>24</v>
      </c>
      <c r="F205" s="1211" t="n">
        <f aca="false">D205*E205</f>
        <v>0</v>
      </c>
      <c r="G205" s="646"/>
      <c r="H205" s="646"/>
      <c r="I205" s="646"/>
      <c r="J205" s="646"/>
      <c r="K205" s="1128"/>
      <c r="L205" s="646"/>
      <c r="M205" s="646"/>
      <c r="N205" s="646"/>
      <c r="O205" s="646"/>
    </row>
    <row r="206" ht="14.25" customHeight="1">
      <c r="A206" s="1210" t="s">
        <v>1060</v>
      </c>
      <c r="B206" s="1178" t="n">
        <f aca="false">'Saisie et Calculateur'!B118</f>
        <v>0</v>
      </c>
      <c r="C206" s="1178" t="n">
        <f aca="false">'Saisie et Calculateur'!C118</f>
        <v>0</v>
      </c>
      <c r="D206" s="589" t="n">
        <f aca="false">C206*B206/1000</f>
        <v>0</v>
      </c>
      <c r="E206" s="1163" t="n">
        <v>24</v>
      </c>
      <c r="F206" s="1211" t="n">
        <f aca="false">D206*E206</f>
        <v>0</v>
      </c>
      <c r="G206" s="646"/>
      <c r="H206" s="646"/>
      <c r="I206" s="646"/>
      <c r="J206" s="646"/>
      <c r="K206" s="1128"/>
      <c r="L206" s="646"/>
      <c r="M206" s="646"/>
      <c r="N206" s="646"/>
      <c r="O206" s="646"/>
    </row>
    <row r="207" ht="14.25" customHeight="1">
      <c r="A207" s="1210" t="s">
        <v>1061</v>
      </c>
      <c r="B207" s="1178" t="n">
        <f aca="false">'Saisie et Calculateur'!B119</f>
        <v>0</v>
      </c>
      <c r="C207" s="1178" t="n">
        <f aca="false">'Saisie et Calculateur'!C119</f>
        <v>0</v>
      </c>
      <c r="D207" s="589" t="n">
        <f aca="false">C207*B207/1000</f>
        <v>0</v>
      </c>
      <c r="E207" s="1163" t="n">
        <v>24</v>
      </c>
      <c r="F207" s="1211" t="n">
        <f aca="false">D207*E207</f>
        <v>0</v>
      </c>
      <c r="G207" s="646"/>
      <c r="H207" s="646"/>
      <c r="I207" s="646"/>
      <c r="J207" s="646"/>
      <c r="K207" s="1128"/>
      <c r="L207" s="646"/>
      <c r="M207" s="646"/>
      <c r="N207" s="646"/>
      <c r="O207" s="646"/>
    </row>
    <row r="208" ht="14.25" customHeight="1">
      <c r="A208" s="1210" t="s">
        <v>1062</v>
      </c>
      <c r="B208" s="1178" t="n">
        <f aca="false">'Saisie et Calculateur'!B120</f>
        <v>0</v>
      </c>
      <c r="C208" s="1178" t="n">
        <f aca="false">'Saisie et Calculateur'!C120</f>
        <v>0</v>
      </c>
      <c r="D208" s="589" t="n">
        <f aca="false">C208*B208/1000</f>
        <v>0</v>
      </c>
      <c r="E208" s="1163" t="n">
        <v>24</v>
      </c>
      <c r="F208" s="1211" t="n">
        <f aca="false">D208*E208</f>
        <v>0</v>
      </c>
      <c r="G208" s="646"/>
      <c r="H208" s="646"/>
      <c r="I208" s="646"/>
      <c r="J208" s="646"/>
      <c r="K208" s="1128"/>
      <c r="L208" s="646"/>
      <c r="M208" s="646"/>
      <c r="N208" s="646"/>
      <c r="O208" s="646"/>
    </row>
    <row r="209" ht="14.25" customHeight="1">
      <c r="A209" s="1210" t="s">
        <v>1064</v>
      </c>
      <c r="B209" s="1178" t="n">
        <f aca="false">'Saisie et Calculateur'!B122</f>
        <v>0</v>
      </c>
      <c r="C209" s="1178" t="n">
        <f aca="false">'Saisie et Calculateur'!C122</f>
        <v>0</v>
      </c>
      <c r="D209" s="589" t="n">
        <f aca="false">C209*B209/1000</f>
        <v>0</v>
      </c>
      <c r="E209" s="1163" t="n">
        <v>24</v>
      </c>
      <c r="F209" s="1211" t="n">
        <f aca="false">D209*E209</f>
        <v>0</v>
      </c>
      <c r="G209" s="646"/>
      <c r="H209" s="646"/>
      <c r="I209" s="646"/>
      <c r="J209" s="646"/>
      <c r="K209" s="1128"/>
      <c r="L209" s="646"/>
      <c r="M209" s="646"/>
      <c r="N209" s="646"/>
      <c r="O209" s="646"/>
    </row>
    <row r="210" ht="14.25" customHeight="1">
      <c r="A210" s="1210" t="s">
        <v>1065</v>
      </c>
      <c r="B210" s="1178" t="n">
        <f aca="false">'Saisie et Calculateur'!B123</f>
        <v>0</v>
      </c>
      <c r="C210" s="1178" t="n">
        <f aca="false">'Saisie et Calculateur'!C123</f>
        <v>0</v>
      </c>
      <c r="D210" s="589" t="n">
        <f aca="false">C210*B210/1000</f>
        <v>0</v>
      </c>
      <c r="E210" s="1163" t="n">
        <v>24</v>
      </c>
      <c r="F210" s="1211" t="n">
        <f aca="false">D210*E210</f>
        <v>0</v>
      </c>
      <c r="G210" s="646"/>
      <c r="H210" s="646"/>
      <c r="I210" s="646"/>
      <c r="J210" s="646"/>
      <c r="K210" s="1128"/>
      <c r="L210" s="646"/>
      <c r="M210" s="646"/>
      <c r="N210" s="646"/>
      <c r="O210" s="646"/>
    </row>
    <row r="211" ht="14.25" customHeight="1">
      <c r="A211" s="1210" t="s">
        <v>1066</v>
      </c>
      <c r="B211" s="1178" t="n">
        <f aca="false">'Saisie et Calculateur'!B124</f>
        <v>0</v>
      </c>
      <c r="C211" s="1178" t="n">
        <f aca="false">'Saisie et Calculateur'!C124</f>
        <v>0</v>
      </c>
      <c r="D211" s="589" t="n">
        <f aca="false">C211*B211/1000</f>
        <v>0</v>
      </c>
      <c r="E211" s="1163" t="n">
        <v>24</v>
      </c>
      <c r="F211" s="1211" t="n">
        <f aca="false">D211*E211</f>
        <v>0</v>
      </c>
      <c r="G211" s="646"/>
      <c r="H211" s="646"/>
      <c r="I211" s="646"/>
      <c r="J211" s="646"/>
      <c r="K211" s="646"/>
      <c r="L211" s="646"/>
      <c r="M211" s="646"/>
      <c r="N211" s="646"/>
      <c r="O211" s="646"/>
    </row>
    <row r="212" ht="14.25" customHeight="1">
      <c r="A212" s="1210" t="s">
        <v>1067</v>
      </c>
      <c r="B212" s="1178" t="n">
        <f aca="false">'Saisie et Calculateur'!B125</f>
        <v>0</v>
      </c>
      <c r="C212" s="1178" t="n">
        <f aca="false">'Saisie et Calculateur'!C125</f>
        <v>0</v>
      </c>
      <c r="D212" s="589" t="n">
        <f aca="false">C212*B212/1000</f>
        <v>0</v>
      </c>
      <c r="E212" s="1163" t="n">
        <v>24</v>
      </c>
      <c r="F212" s="1211" t="n">
        <f aca="false">D212*E212</f>
        <v>0</v>
      </c>
      <c r="G212" s="646"/>
      <c r="H212" s="646"/>
      <c r="I212" s="646"/>
      <c r="J212" s="646"/>
      <c r="K212" s="646"/>
      <c r="L212" s="646"/>
      <c r="M212" s="646"/>
      <c r="N212" s="646"/>
      <c r="O212" s="646"/>
    </row>
    <row r="213" ht="14.25" customHeight="1">
      <c r="A213" s="1210" t="s">
        <v>142</v>
      </c>
      <c r="B213" s="1178" t="n">
        <f aca="false">'Saisie et Calculateur'!B127</f>
        <v>0</v>
      </c>
      <c r="C213" s="1178" t="n">
        <f aca="false">'Saisie et Calculateur'!C127</f>
        <v>0</v>
      </c>
      <c r="D213" s="589" t="n">
        <f aca="false">C213*B213/1000</f>
        <v>0</v>
      </c>
      <c r="E213" s="1163" t="n">
        <v>24</v>
      </c>
      <c r="F213" s="1211" t="n">
        <f aca="false">D213*E213</f>
        <v>0</v>
      </c>
      <c r="G213" s="646"/>
      <c r="H213" s="646"/>
      <c r="I213" s="646"/>
      <c r="J213" s="646"/>
      <c r="K213" s="646"/>
      <c r="L213" s="646"/>
      <c r="M213" s="646"/>
      <c r="N213" s="646"/>
      <c r="O213" s="646"/>
    </row>
    <row r="214" ht="14.25" customHeight="1">
      <c r="A214" s="1210" t="s">
        <v>1069</v>
      </c>
      <c r="B214" s="1178" t="n">
        <f aca="false">'Saisie et Calculateur'!B128</f>
        <v>0</v>
      </c>
      <c r="C214" s="1178" t="n">
        <f aca="false">'Saisie et Calculateur'!C128</f>
        <v>0</v>
      </c>
      <c r="D214" s="589" t="n">
        <f aca="false">C214*B214/1000</f>
        <v>0</v>
      </c>
      <c r="E214" s="1163" t="n">
        <v>24</v>
      </c>
      <c r="F214" s="1211" t="n">
        <f aca="false">D214*E214</f>
        <v>0</v>
      </c>
      <c r="G214" s="646"/>
      <c r="H214" s="646"/>
      <c r="I214" s="646"/>
      <c r="J214" s="646"/>
      <c r="K214" s="646"/>
      <c r="L214" s="646"/>
      <c r="M214" s="646"/>
      <c r="N214" s="646"/>
      <c r="O214" s="646"/>
    </row>
    <row r="215" ht="14.25" customHeight="1">
      <c r="A215" s="1210" t="s">
        <v>144</v>
      </c>
      <c r="B215" s="1178" t="n">
        <f aca="false">'Saisie et Calculateur'!B129</f>
        <v>0</v>
      </c>
      <c r="C215" s="1178" t="n">
        <f aca="false">'Saisie et Calculateur'!C129</f>
        <v>0</v>
      </c>
      <c r="D215" s="589" t="n">
        <f aca="false">C215*B215/1000</f>
        <v>0</v>
      </c>
      <c r="E215" s="1163" t="n">
        <v>24</v>
      </c>
      <c r="F215" s="1211" t="n">
        <f aca="false">D215*E215</f>
        <v>0</v>
      </c>
      <c r="G215" s="646"/>
      <c r="H215" s="646"/>
      <c r="I215" s="646"/>
      <c r="J215" s="646"/>
      <c r="K215" s="646"/>
      <c r="L215" s="646"/>
      <c r="M215" s="646"/>
      <c r="N215" s="646"/>
      <c r="O215" s="646"/>
    </row>
    <row r="216" ht="14.25" customHeight="1">
      <c r="A216" s="1210" t="s">
        <v>1070</v>
      </c>
      <c r="B216" s="1178" t="n">
        <f aca="false">'Saisie et Calculateur'!B130</f>
        <v>0</v>
      </c>
      <c r="C216" s="1178" t="n">
        <f aca="false">'Saisie et Calculateur'!C130</f>
        <v>0</v>
      </c>
      <c r="D216" s="589" t="n">
        <f aca="false">C216*B216/1000</f>
        <v>0</v>
      </c>
      <c r="E216" s="1163" t="n">
        <v>24</v>
      </c>
      <c r="F216" s="1211" t="n">
        <f aca="false">D216*E216</f>
        <v>0</v>
      </c>
      <c r="G216" s="646"/>
      <c r="H216" s="646"/>
      <c r="I216" s="646"/>
      <c r="J216" s="646"/>
      <c r="K216" s="646"/>
      <c r="L216" s="646"/>
      <c r="M216" s="646"/>
      <c r="N216" s="646"/>
      <c r="O216" s="646"/>
    </row>
    <row r="217" ht="14.25" customHeight="1">
      <c r="A217" s="1210" t="s">
        <v>1071</v>
      </c>
      <c r="B217" s="1178" t="n">
        <f aca="false">'Saisie et Calculateur'!B131</f>
        <v>0</v>
      </c>
      <c r="C217" s="1178" t="n">
        <f aca="false">'Saisie et Calculateur'!C131</f>
        <v>0</v>
      </c>
      <c r="D217" s="589" t="n">
        <f aca="false">C217*B217/1000</f>
        <v>0</v>
      </c>
      <c r="E217" s="1163" t="n">
        <v>24</v>
      </c>
      <c r="F217" s="1211" t="n">
        <f aca="false">D217*E217</f>
        <v>0</v>
      </c>
      <c r="G217" s="646"/>
      <c r="H217" s="646"/>
      <c r="I217" s="646"/>
      <c r="J217" s="646"/>
      <c r="K217" s="646"/>
      <c r="L217" s="646"/>
      <c r="M217" s="646"/>
      <c r="N217" s="646"/>
      <c r="O217" s="646"/>
    </row>
    <row r="218" ht="14.25" customHeight="1">
      <c r="A218" s="1210" t="s">
        <v>938</v>
      </c>
      <c r="B218" s="1178" t="n">
        <f aca="false">'Saisie et Calculateur'!B133</f>
        <v>0</v>
      </c>
      <c r="C218" s="1178" t="n">
        <f aca="false">'Saisie et Calculateur'!C133</f>
        <v>0</v>
      </c>
      <c r="D218" s="589" t="n">
        <f aca="false">C218*B218/1000</f>
        <v>0</v>
      </c>
      <c r="E218" s="1163" t="n">
        <v>19.2</v>
      </c>
      <c r="F218" s="1211" t="n">
        <f aca="false">D218*E218</f>
        <v>0</v>
      </c>
      <c r="G218" s="646"/>
      <c r="H218" s="646"/>
      <c r="I218" s="646"/>
      <c r="J218" s="646"/>
      <c r="K218" s="646"/>
      <c r="L218" s="646"/>
      <c r="M218" s="646"/>
      <c r="N218" s="646"/>
      <c r="O218" s="646"/>
    </row>
    <row r="219" ht="14.25" customHeight="1">
      <c r="A219" s="1210" t="s">
        <v>1072</v>
      </c>
      <c r="B219" s="1178" t="n">
        <f aca="false">'Saisie et Calculateur'!B134</f>
        <v>0</v>
      </c>
      <c r="C219" s="1178" t="n">
        <f aca="false">'Saisie et Calculateur'!C134</f>
        <v>0</v>
      </c>
      <c r="D219" s="589" t="n">
        <f aca="false">C219*B219/1000</f>
        <v>0</v>
      </c>
      <c r="E219" s="1163" t="n">
        <v>22.4</v>
      </c>
      <c r="F219" s="1211" t="n">
        <f aca="false">D219*E219</f>
        <v>0</v>
      </c>
      <c r="G219" s="646"/>
      <c r="H219" s="646"/>
      <c r="I219" s="646"/>
      <c r="J219" s="646"/>
      <c r="K219" s="646"/>
      <c r="L219" s="646"/>
      <c r="M219" s="646"/>
      <c r="N219" s="646"/>
      <c r="O219" s="646"/>
    </row>
    <row r="220" ht="14.25" customHeight="1">
      <c r="A220" s="1210" t="s">
        <v>1073</v>
      </c>
      <c r="B220" s="1178" t="n">
        <f aca="false">'Saisie et Calculateur'!B135</f>
        <v>0</v>
      </c>
      <c r="C220" s="1178" t="n">
        <f aca="false">'Saisie et Calculateur'!C135</f>
        <v>0</v>
      </c>
      <c r="D220" s="589" t="n">
        <f aca="false">C220*B220/1000</f>
        <v>0</v>
      </c>
      <c r="E220" s="1163" t="n">
        <v>32</v>
      </c>
      <c r="F220" s="1211" t="n">
        <f aca="false">D220*E220</f>
        <v>0</v>
      </c>
      <c r="G220" s="646"/>
      <c r="H220" s="646"/>
      <c r="I220" s="646"/>
      <c r="J220" s="646"/>
      <c r="K220" s="646"/>
      <c r="L220" s="646"/>
      <c r="M220" s="646"/>
      <c r="N220" s="646"/>
      <c r="O220" s="646"/>
    </row>
    <row r="221" ht="14.25" customHeight="1">
      <c r="A221" s="1210" t="s">
        <v>1074</v>
      </c>
      <c r="B221" s="1178" t="n">
        <f aca="false">'Saisie et Calculateur'!B136</f>
        <v>0</v>
      </c>
      <c r="C221" s="1178" t="n">
        <f aca="false">'Saisie et Calculateur'!C136</f>
        <v>0</v>
      </c>
      <c r="D221" s="589" t="n">
        <f aca="false">C221*B221/1000</f>
        <v>0</v>
      </c>
      <c r="E221" s="1163" t="n">
        <v>20.7</v>
      </c>
      <c r="F221" s="1211" t="n">
        <f aca="false">D221*E221</f>
        <v>0</v>
      </c>
      <c r="G221" s="646"/>
      <c r="H221" s="646"/>
      <c r="I221" s="646"/>
      <c r="J221" s="646"/>
      <c r="K221" s="646"/>
      <c r="L221" s="646"/>
      <c r="M221" s="646"/>
      <c r="N221" s="646"/>
      <c r="O221" s="646"/>
    </row>
    <row r="222" ht="14.25" customHeight="1">
      <c r="A222" s="1210" t="s">
        <v>1075</v>
      </c>
      <c r="B222" s="1178" t="n">
        <f aca="false">'Saisie et Calculateur'!B137</f>
        <v>0</v>
      </c>
      <c r="C222" s="1178" t="n">
        <f aca="false">'Saisie et Calculateur'!C137</f>
        <v>0</v>
      </c>
      <c r="D222" s="589" t="n">
        <f aca="false">C222*B222/1000</f>
        <v>0</v>
      </c>
      <c r="E222" s="1163" t="n">
        <v>37.6</v>
      </c>
      <c r="F222" s="1211" t="n">
        <f aca="false">D222*E222</f>
        <v>0</v>
      </c>
      <c r="G222" s="646"/>
      <c r="H222" s="646"/>
      <c r="I222" s="646"/>
      <c r="J222" s="646"/>
      <c r="K222" s="646"/>
      <c r="L222" s="646"/>
      <c r="M222" s="646"/>
      <c r="N222" s="646"/>
      <c r="O222" s="646"/>
    </row>
    <row r="223" ht="14.25" customHeight="1">
      <c r="A223" s="1210" t="s">
        <v>1076</v>
      </c>
      <c r="B223" s="1178" t="n">
        <f aca="false">'Saisie et Calculateur'!B138</f>
        <v>0</v>
      </c>
      <c r="C223" s="1178" t="n">
        <f aca="false">'Saisie et Calculateur'!C138</f>
        <v>0</v>
      </c>
      <c r="D223" s="589" t="n">
        <f aca="false">C223*B223/1000</f>
        <v>0</v>
      </c>
      <c r="E223" s="1163" t="n">
        <v>18.9</v>
      </c>
      <c r="F223" s="1211" t="n">
        <f aca="false">D223*E223</f>
        <v>0</v>
      </c>
      <c r="G223" s="646"/>
      <c r="H223" s="646"/>
      <c r="I223" s="646"/>
      <c r="J223" s="646"/>
      <c r="K223" s="646"/>
      <c r="L223" s="646"/>
      <c r="M223" s="646"/>
      <c r="N223" s="646"/>
      <c r="O223" s="646"/>
    </row>
    <row r="224" ht="14.25" customHeight="1">
      <c r="A224" s="1210" t="s">
        <v>1077</v>
      </c>
      <c r="B224" s="1178" t="n">
        <f aca="false">'Saisie et Calculateur'!B139</f>
        <v>0</v>
      </c>
      <c r="C224" s="1178" t="n">
        <f aca="false">'Saisie et Calculateur'!C139</f>
        <v>0</v>
      </c>
      <c r="D224" s="589" t="n">
        <f aca="false">C224*B224/1000</f>
        <v>0</v>
      </c>
      <c r="E224" s="1163" t="n">
        <v>30.5</v>
      </c>
      <c r="F224" s="1211" t="n">
        <f aca="false">D224*E224</f>
        <v>0</v>
      </c>
      <c r="G224" s="646"/>
      <c r="H224" s="646"/>
      <c r="I224" s="646"/>
      <c r="J224" s="646"/>
      <c r="K224" s="646"/>
      <c r="L224" s="646"/>
      <c r="M224" s="646"/>
      <c r="N224" s="646"/>
      <c r="O224" s="646"/>
    </row>
    <row r="225" ht="14.25" customHeight="1">
      <c r="A225" s="1210" t="s">
        <v>1078</v>
      </c>
      <c r="B225" s="1178" t="n">
        <f aca="false">'Saisie et Calculateur'!B140</f>
        <v>0</v>
      </c>
      <c r="C225" s="1178" t="n">
        <f aca="false">'Saisie et Calculateur'!C140</f>
        <v>0</v>
      </c>
      <c r="D225" s="589" t="n">
        <f aca="false">C225*B225/1000</f>
        <v>0</v>
      </c>
      <c r="E225" s="1163" t="n">
        <v>20</v>
      </c>
      <c r="F225" s="1211" t="n">
        <f aca="false">D225*E225</f>
        <v>0</v>
      </c>
      <c r="G225" s="646"/>
      <c r="H225" s="646"/>
      <c r="I225" s="646"/>
      <c r="J225" s="646"/>
      <c r="K225" s="646"/>
      <c r="L225" s="646"/>
      <c r="M225" s="646"/>
      <c r="N225" s="646"/>
      <c r="O225" s="646"/>
    </row>
    <row r="226" ht="14.25" customHeight="1">
      <c r="A226" s="1210" t="s">
        <v>1079</v>
      </c>
      <c r="B226" s="1178" t="n">
        <f aca="false">'Saisie et Calculateur'!B141</f>
        <v>0</v>
      </c>
      <c r="C226" s="1178" t="n">
        <f aca="false">'Saisie et Calculateur'!C141</f>
        <v>0</v>
      </c>
      <c r="D226" s="589" t="n">
        <f aca="false">C226*B226/1000</f>
        <v>0</v>
      </c>
      <c r="E226" s="1163" t="n">
        <v>37.6</v>
      </c>
      <c r="F226" s="1211" t="n">
        <f aca="false">D226*E226</f>
        <v>0</v>
      </c>
      <c r="G226" s="646"/>
      <c r="H226" s="646"/>
      <c r="I226" s="646"/>
      <c r="J226" s="646"/>
      <c r="K226" s="646"/>
      <c r="L226" s="646"/>
      <c r="M226" s="646"/>
      <c r="N226" s="646"/>
      <c r="O226" s="646"/>
    </row>
    <row r="227" ht="14.25" customHeight="1">
      <c r="A227" s="1210" t="s">
        <v>1080</v>
      </c>
      <c r="B227" s="1178" t="n">
        <f aca="false">'Saisie et Calculateur'!B142</f>
        <v>6000</v>
      </c>
      <c r="C227" s="1178" t="n">
        <f aca="false">'Saisie et Calculateur'!C142</f>
        <v>6</v>
      </c>
      <c r="D227" s="589" t="n">
        <f aca="false">C227*B227/1000</f>
        <v>36</v>
      </c>
      <c r="E227" s="1163" t="n">
        <v>35.6</v>
      </c>
      <c r="F227" s="1211" t="n">
        <f aca="false">D227*E227</f>
        <v>1281.6</v>
      </c>
      <c r="G227" s="646"/>
      <c r="H227" s="646"/>
      <c r="I227" s="646"/>
      <c r="J227" s="646"/>
      <c r="K227" s="646"/>
      <c r="L227" s="646"/>
      <c r="M227" s="646"/>
      <c r="N227" s="646"/>
      <c r="O227" s="646"/>
      <c r="V227"/>
      <c r="W227"/>
      <c r="X227"/>
    </row>
    <row r="228" ht="14.25" customHeight="1">
      <c r="A228" s="1212" t="s">
        <v>1898</v>
      </c>
      <c r="B228" s="1178" t="n">
        <f aca="false">'Saisie et Calculateur'!B144</f>
        <v>0</v>
      </c>
      <c r="C228" s="1178" t="n">
        <f aca="false">'Saisie et Calculateur'!C144</f>
        <v>0</v>
      </c>
      <c r="D228" s="589" t="n">
        <f aca="false">C228*B228/1000</f>
        <v>0</v>
      </c>
      <c r="E228" s="1163" t="n">
        <v>24</v>
      </c>
      <c r="F228" s="1211" t="n">
        <f aca="false">D228*E228</f>
        <v>0</v>
      </c>
      <c r="G228" s="646"/>
      <c r="H228" s="646"/>
      <c r="I228" s="646"/>
      <c r="J228" s="1128"/>
      <c r="K228" s="646"/>
      <c r="L228" s="646"/>
      <c r="M228" s="646"/>
      <c r="N228" s="646"/>
      <c r="O228" s="646"/>
    </row>
    <row r="229" ht="14.25" customHeight="1">
      <c r="A229" s="1213" t="s">
        <v>1899</v>
      </c>
      <c r="B229" s="1178" t="n">
        <f aca="false">'Saisie et Calculateur'!B145</f>
        <v>0</v>
      </c>
      <c r="C229" s="1178" t="n">
        <f aca="false">'Saisie et Calculateur'!C145</f>
        <v>0</v>
      </c>
      <c r="D229" s="589" t="n">
        <f aca="false">C229*B229/1000</f>
        <v>0</v>
      </c>
      <c r="E229" s="1163" t="n">
        <v>24</v>
      </c>
      <c r="F229" s="1211" t="n">
        <f aca="false">D229*E229</f>
        <v>0</v>
      </c>
      <c r="G229" s="646"/>
      <c r="H229" s="646"/>
      <c r="I229" s="646"/>
      <c r="J229" s="1128"/>
      <c r="K229" s="646"/>
      <c r="L229" s="646"/>
      <c r="M229" s="646"/>
      <c r="N229" s="646"/>
      <c r="O229" s="646"/>
    </row>
    <row r="230" ht="14.25" customHeight="1">
      <c r="A230" s="1214" t="s">
        <v>1900</v>
      </c>
      <c r="B230" s="543" t="n">
        <f aca="false">'Saisie et Calculateur'!B146</f>
        <v>0</v>
      </c>
      <c r="C230" s="1178" t="n">
        <f aca="false">'Saisie et Calculateur'!C146</f>
        <v>0</v>
      </c>
      <c r="D230" s="589" t="n">
        <f aca="false">C230*B230/1000</f>
        <v>0</v>
      </c>
      <c r="E230" s="1201"/>
      <c r="F230" s="1211" t="n">
        <f aca="false">D230*E230</f>
        <v>0</v>
      </c>
      <c r="G230" s="646"/>
      <c r="H230" s="646"/>
      <c r="I230" s="646"/>
      <c r="J230" s="1128"/>
      <c r="K230" s="646"/>
      <c r="L230" s="646"/>
      <c r="M230" s="646"/>
      <c r="N230" s="646"/>
      <c r="O230" s="646"/>
    </row>
    <row r="231" ht="14.25" customHeight="1">
      <c r="A231" s="1215"/>
      <c r="B231" s="1178" t="n">
        <f aca="false">'Saisie et Calculateur'!B147</f>
        <v>0</v>
      </c>
      <c r="C231" s="1178" t="n">
        <f aca="false">'Saisie et Calculateur'!C147</f>
        <v>0</v>
      </c>
      <c r="D231" s="589" t="n">
        <f aca="false">C231*B231/1000</f>
        <v>0</v>
      </c>
      <c r="E231" s="1201"/>
      <c r="F231" s="1211" t="n">
        <f aca="false">D231*E231</f>
        <v>0</v>
      </c>
      <c r="G231" s="646"/>
      <c r="H231" s="646"/>
      <c r="I231" s="646"/>
      <c r="J231" s="1128"/>
      <c r="K231" s="646"/>
      <c r="L231" s="646"/>
      <c r="M231" s="646"/>
      <c r="N231" s="646"/>
      <c r="O231" s="646"/>
    </row>
    <row r="232" ht="15" customHeight="1">
      <c r="A232" s="298"/>
      <c r="B232" s="1062" t="n">
        <f aca="false">'Saisie et Calculateur'!B148</f>
        <v>0</v>
      </c>
      <c r="C232" s="1062" t="n">
        <f aca="false">'Saisie et Calculateur'!C148</f>
        <v>0</v>
      </c>
      <c r="D232" s="1216" t="n">
        <f aca="false">C232*B232/1000</f>
        <v>0</v>
      </c>
      <c r="E232" s="1217"/>
      <c r="F232" s="1218" t="n">
        <f aca="false">D232*E232</f>
        <v>0</v>
      </c>
      <c r="G232" s="1128"/>
      <c r="H232" s="1128"/>
      <c r="I232" s="1128"/>
      <c r="J232" s="1128"/>
      <c r="K232" s="646"/>
      <c r="L232" s="646"/>
      <c r="M232" s="646"/>
      <c r="N232" s="646"/>
      <c r="O232" s="646"/>
    </row>
    <row r="233" ht="12.75" customHeight="1">
      <c r="A233" s="1128"/>
      <c r="B233" s="1128"/>
      <c r="C233" s="1128"/>
      <c r="D233" s="1128"/>
      <c r="E233" s="1128"/>
      <c r="F233" s="1128"/>
      <c r="G233" s="1128"/>
      <c r="H233" s="1128"/>
      <c r="I233" s="1128"/>
      <c r="J233" s="1128"/>
      <c r="K233" s="1128"/>
      <c r="L233" s="646"/>
      <c r="M233" s="646"/>
      <c r="N233" s="646"/>
      <c r="O233" s="646"/>
    </row>
    <row r="234" ht="15" customHeight="1">
      <c r="A234" s="1128"/>
      <c r="B234" s="1128"/>
      <c r="C234" s="1128"/>
      <c r="D234" s="840" t="s">
        <v>1901</v>
      </c>
      <c r="E234" s="1177" t="s">
        <v>551</v>
      </c>
      <c r="F234" s="1000" t="n">
        <f aca="false">SUM(F201:F232)</f>
        <v>1281.6</v>
      </c>
      <c r="G234" s="1128"/>
      <c r="H234" s="1128"/>
      <c r="I234" s="1128"/>
      <c r="J234" s="1128"/>
      <c r="K234" s="1128"/>
      <c r="L234" s="646"/>
      <c r="M234" s="646"/>
      <c r="N234" s="646"/>
      <c r="O234" s="646"/>
    </row>
    <row r="235" ht="12.75" customHeight="1">
      <c r="A235" s="1128"/>
      <c r="B235" s="1128"/>
      <c r="C235" s="1128"/>
      <c r="D235" s="1128"/>
      <c r="E235" s="1128"/>
      <c r="F235" s="1128"/>
      <c r="G235" s="1128"/>
      <c r="H235" s="1128"/>
      <c r="I235" s="1128"/>
      <c r="J235" s="1128"/>
      <c r="K235" s="1128"/>
      <c r="L235" s="646"/>
      <c r="M235" s="646"/>
      <c r="N235" s="646"/>
      <c r="O235" s="646"/>
    </row>
    <row r="236" ht="12.75" customHeight="1">
      <c r="A236" s="1128"/>
      <c r="B236" s="1128"/>
      <c r="C236" s="1128"/>
      <c r="D236" s="1128"/>
      <c r="E236" s="1128"/>
      <c r="F236" s="1128"/>
      <c r="G236" s="1128"/>
      <c r="H236" s="1128"/>
      <c r="I236" s="1128"/>
      <c r="J236" s="1128"/>
      <c r="K236" s="1128"/>
      <c r="L236" s="646"/>
      <c r="M236" s="646"/>
      <c r="N236" s="646"/>
      <c r="O236" s="646"/>
    </row>
    <row r="237" ht="20.25" customHeight="1">
      <c r="A237" s="1156" t="s">
        <v>1902</v>
      </c>
      <c r="B237" s="1156"/>
      <c r="C237" s="1156"/>
      <c r="D237" s="1156"/>
      <c r="E237" s="1156"/>
      <c r="F237" s="1156"/>
      <c r="G237" s="1156"/>
      <c r="H237" s="1156"/>
      <c r="I237" s="1156"/>
      <c r="J237" s="1128"/>
      <c r="K237" s="1128"/>
      <c r="L237" s="646"/>
      <c r="M237" s="646"/>
      <c r="N237" s="646"/>
      <c r="O237" s="646"/>
    </row>
    <row r="238" ht="20.25" customHeight="1">
      <c r="A238" s="1157" t="s">
        <v>1903</v>
      </c>
      <c r="B238" s="1157"/>
      <c r="C238" s="1157"/>
      <c r="D238" s="1157"/>
      <c r="E238" s="1157"/>
      <c r="F238" s="1157"/>
      <c r="G238" s="1157"/>
      <c r="H238" s="1157"/>
      <c r="I238" s="1157"/>
      <c r="J238" s="1157"/>
      <c r="K238" s="1128"/>
      <c r="L238" s="646"/>
      <c r="M238" s="646"/>
      <c r="N238" s="646"/>
      <c r="O238" s="646"/>
    </row>
    <row r="239" ht="12.75" customHeight="1">
      <c r="A239" s="1128"/>
      <c r="B239" s="1128"/>
      <c r="C239" s="1128"/>
      <c r="D239" s="1128"/>
      <c r="E239" s="1128"/>
      <c r="F239" s="1128"/>
      <c r="G239" s="1128"/>
      <c r="H239" s="1128"/>
      <c r="I239" s="1128"/>
      <c r="J239" s="1128"/>
      <c r="K239" s="1128"/>
      <c r="L239" s="646"/>
      <c r="M239" s="646"/>
      <c r="N239" s="646"/>
      <c r="O239" s="646"/>
    </row>
    <row r="240" ht="25.5" customHeight="1">
      <c r="A240" s="1219" t="s">
        <v>1904</v>
      </c>
      <c r="B240" s="725" t="s">
        <v>1905</v>
      </c>
      <c r="C240" s="725" t="s">
        <v>406</v>
      </c>
      <c r="D240" s="725" t="s">
        <v>406</v>
      </c>
      <c r="E240" s="1159" t="s">
        <v>1827</v>
      </c>
      <c r="F240" s="1128"/>
      <c r="G240" s="1128"/>
      <c r="H240" s="646"/>
      <c r="I240" s="646"/>
      <c r="J240" s="646"/>
      <c r="K240" s="646"/>
      <c r="L240" s="646"/>
      <c r="M240" s="646"/>
      <c r="N240" s="646"/>
      <c r="O240" s="646"/>
    </row>
    <row r="241" ht="25.5" customHeight="1">
      <c r="A241" s="1220"/>
      <c r="B241" s="1177" t="s">
        <v>1906</v>
      </c>
      <c r="C241" s="1177" t="s">
        <v>1907</v>
      </c>
      <c r="D241" s="1177" t="s">
        <v>1223</v>
      </c>
      <c r="E241" s="1161"/>
      <c r="F241" s="1128"/>
      <c r="G241" s="1128"/>
      <c r="H241" s="646"/>
      <c r="I241" s="646"/>
      <c r="J241" s="646"/>
      <c r="K241" s="646"/>
      <c r="L241" s="646"/>
      <c r="M241" s="646"/>
      <c r="N241" s="646"/>
      <c r="O241" s="646"/>
    </row>
    <row r="242" ht="25.5" customHeight="1">
      <c r="A242" s="584" t="s">
        <v>418</v>
      </c>
      <c r="B242" s="1178" t="n">
        <f aca="false">'Saisie et Calculateur'!C336</f>
        <v>0</v>
      </c>
      <c r="C242" s="858" t="n">
        <v>5.8</v>
      </c>
      <c r="D242" s="1179" t="n">
        <f aca="false">B242*C242</f>
        <v>0</v>
      </c>
      <c r="E242" s="1164" t="n">
        <v>7</v>
      </c>
      <c r="F242" s="646"/>
      <c r="G242" s="646"/>
      <c r="H242" s="646"/>
      <c r="I242" s="646"/>
      <c r="J242" s="1128"/>
      <c r="K242" s="1128"/>
      <c r="L242" s="646"/>
      <c r="M242" s="646"/>
      <c r="N242" s="646"/>
      <c r="O242" s="646"/>
    </row>
    <row r="243" ht="12.75" customHeight="1">
      <c r="A243" s="584" t="s">
        <v>419</v>
      </c>
      <c r="B243" s="1178" t="n">
        <f aca="false">'Saisie et Calculateur'!C337</f>
        <v>0</v>
      </c>
      <c r="C243" s="858" t="n">
        <v>5</v>
      </c>
      <c r="D243" s="1179" t="n">
        <f aca="false">B243*C243</f>
        <v>0</v>
      </c>
      <c r="E243" s="1164" t="n">
        <v>7</v>
      </c>
      <c r="F243" s="646"/>
      <c r="G243" s="646"/>
      <c r="H243" s="646"/>
      <c r="I243" s="646"/>
      <c r="J243" s="646"/>
      <c r="K243" s="646"/>
      <c r="L243" s="646"/>
      <c r="M243" s="646"/>
      <c r="N243" s="646"/>
      <c r="O243" s="646"/>
    </row>
    <row r="244" ht="12.75" customHeight="1">
      <c r="A244" s="584" t="s">
        <v>420</v>
      </c>
      <c r="B244" s="1178" t="n">
        <f aca="false">'Saisie et Calculateur'!C338</f>
        <v>0</v>
      </c>
      <c r="C244" s="858" t="n">
        <v>5.1</v>
      </c>
      <c r="D244" s="1179" t="n">
        <f aca="false">B244*C244</f>
        <v>0</v>
      </c>
      <c r="E244" s="1164" t="n">
        <v>7</v>
      </c>
      <c r="F244" s="646"/>
      <c r="G244" s="646"/>
      <c r="H244" s="646"/>
      <c r="I244" s="646"/>
      <c r="J244" s="646"/>
      <c r="K244" s="646"/>
      <c r="L244" s="646"/>
      <c r="M244" s="646"/>
      <c r="N244" s="646"/>
      <c r="O244" s="646"/>
    </row>
    <row r="245" ht="12.75" customHeight="1">
      <c r="A245" s="584" t="s">
        <v>421</v>
      </c>
      <c r="B245" s="1178" t="n">
        <f aca="false">'Saisie et Calculateur'!C339</f>
        <v>0</v>
      </c>
      <c r="C245" s="858" t="n">
        <v>5.2</v>
      </c>
      <c r="D245" s="1179" t="n">
        <f aca="false">B245*C245</f>
        <v>0</v>
      </c>
      <c r="E245" s="1164" t="n">
        <v>7</v>
      </c>
      <c r="F245" s="646"/>
      <c r="G245" s="646"/>
      <c r="H245" s="1186"/>
      <c r="I245" s="646"/>
      <c r="J245" s="646"/>
      <c r="K245" s="646"/>
      <c r="L245" s="646"/>
      <c r="M245" s="646"/>
      <c r="N245" s="646"/>
      <c r="O245" s="646"/>
    </row>
    <row r="246" ht="12.75" customHeight="1">
      <c r="A246" s="584" t="s">
        <v>422</v>
      </c>
      <c r="B246" s="1178" t="n">
        <f aca="false">'Saisie et Calculateur'!C340</f>
        <v>0</v>
      </c>
      <c r="C246" s="858" t="n">
        <v>3.5</v>
      </c>
      <c r="D246" s="1179" t="n">
        <f aca="false">B246*C246</f>
        <v>0</v>
      </c>
      <c r="E246" s="1164" t="n">
        <v>7</v>
      </c>
      <c r="F246" s="646"/>
      <c r="G246" s="646"/>
      <c r="H246" s="646"/>
      <c r="I246" s="646"/>
      <c r="J246" s="646"/>
      <c r="K246" s="646"/>
      <c r="L246" s="646"/>
      <c r="M246" s="646"/>
      <c r="N246" s="646"/>
      <c r="O246" s="646"/>
    </row>
    <row r="247" ht="12.75" customHeight="1">
      <c r="A247" s="584" t="s">
        <v>423</v>
      </c>
      <c r="B247" s="1178" t="n">
        <f aca="false">'Saisie et Calculateur'!C341</f>
        <v>0</v>
      </c>
      <c r="C247" s="858" t="n">
        <v>2.7</v>
      </c>
      <c r="D247" s="1179" t="n">
        <f aca="false">B247*C247</f>
        <v>0</v>
      </c>
      <c r="E247" s="1164" t="n">
        <v>7</v>
      </c>
      <c r="F247" s="646"/>
      <c r="G247" s="646"/>
      <c r="H247" s="646"/>
      <c r="I247" s="646"/>
      <c r="J247" s="646"/>
      <c r="K247" s="646"/>
      <c r="L247" s="646"/>
      <c r="M247" s="646"/>
      <c r="N247" s="646"/>
      <c r="O247" s="646"/>
    </row>
    <row r="248" ht="12.75" customHeight="1">
      <c r="A248" s="584" t="s">
        <v>424</v>
      </c>
      <c r="B248" s="1178" t="n">
        <f aca="false">'Saisie et Calculateur'!C342</f>
        <v>0</v>
      </c>
      <c r="C248" s="858" t="n">
        <v>1.6</v>
      </c>
      <c r="D248" s="1179" t="n">
        <f aca="false">B248*C248</f>
        <v>0</v>
      </c>
      <c r="E248" s="1164" t="n">
        <v>7</v>
      </c>
      <c r="F248" s="646"/>
      <c r="G248" s="646"/>
      <c r="H248" s="646"/>
      <c r="I248" s="646"/>
      <c r="J248" s="646"/>
      <c r="K248" s="646"/>
      <c r="L248" s="646"/>
      <c r="M248" s="646"/>
      <c r="N248" s="646"/>
      <c r="O248" s="646"/>
    </row>
    <row r="249" ht="12.75" customHeight="1">
      <c r="A249" s="584" t="s">
        <v>425</v>
      </c>
      <c r="B249" s="1178" t="n">
        <f aca="false">'Saisie et Calculateur'!C343</f>
        <v>0</v>
      </c>
      <c r="C249" s="858" t="n">
        <v>3</v>
      </c>
      <c r="D249" s="1179" t="n">
        <f aca="false">B249*C249</f>
        <v>0</v>
      </c>
      <c r="E249" s="1164" t="n">
        <v>7</v>
      </c>
      <c r="F249" s="646"/>
      <c r="G249" s="646"/>
      <c r="H249" s="646"/>
      <c r="I249" s="646"/>
      <c r="J249" s="646"/>
      <c r="K249" s="646"/>
      <c r="L249" s="646"/>
      <c r="M249" s="646"/>
      <c r="N249" s="646"/>
      <c r="O249" s="646"/>
    </row>
    <row r="250" ht="25.5" customHeight="1">
      <c r="A250" s="584" t="s">
        <v>426</v>
      </c>
      <c r="B250" s="1178" t="n">
        <f aca="false">'Saisie et Calculateur'!C344</f>
        <v>0</v>
      </c>
      <c r="C250" s="858" t="n">
        <v>0.4</v>
      </c>
      <c r="D250" s="1179" t="n">
        <f aca="false">B250*C250</f>
        <v>0</v>
      </c>
      <c r="E250" s="1164" t="n">
        <v>7</v>
      </c>
      <c r="F250" s="646"/>
      <c r="G250" s="646"/>
      <c r="H250" s="646"/>
      <c r="I250" s="646"/>
      <c r="J250" s="646"/>
      <c r="K250" s="646"/>
      <c r="L250" s="646"/>
      <c r="M250" s="646"/>
      <c r="N250" s="646"/>
      <c r="O250" s="646"/>
    </row>
    <row r="251" ht="12.75" customHeight="1">
      <c r="A251" s="584" t="s">
        <v>427</v>
      </c>
      <c r="B251" s="1178" t="n">
        <f aca="false">'Saisie et Calculateur'!C345</f>
        <v>0</v>
      </c>
      <c r="C251" s="858" t="n">
        <v>6.8</v>
      </c>
      <c r="D251" s="1179" t="n">
        <f aca="false">B251*C251</f>
        <v>0</v>
      </c>
      <c r="E251" s="1164" t="n">
        <v>7</v>
      </c>
      <c r="F251" s="646"/>
      <c r="G251" s="646"/>
      <c r="H251" s="646"/>
      <c r="I251" s="646"/>
      <c r="J251" s="646"/>
      <c r="K251" s="646"/>
      <c r="L251" s="646"/>
      <c r="M251" s="646"/>
      <c r="N251" s="646"/>
      <c r="O251" s="646"/>
    </row>
    <row r="252" ht="12.75" customHeight="1">
      <c r="A252" s="584" t="s">
        <v>428</v>
      </c>
      <c r="B252" s="1178" t="n">
        <f aca="false">'Saisie et Calculateur'!C347</f>
        <v>0</v>
      </c>
      <c r="C252" s="858" t="n">
        <v>22</v>
      </c>
      <c r="D252" s="1179" t="n">
        <f aca="false">B252*C252</f>
        <v>0</v>
      </c>
      <c r="E252" s="1164" t="n">
        <v>7</v>
      </c>
      <c r="F252" s="646"/>
      <c r="G252" s="646"/>
      <c r="H252" s="646"/>
      <c r="I252" s="646"/>
      <c r="J252" s="646"/>
      <c r="K252" s="646"/>
      <c r="L252" s="646"/>
      <c r="M252" s="646"/>
      <c r="N252" s="646"/>
      <c r="O252" s="646"/>
    </row>
    <row r="253" ht="25.5" customHeight="1">
      <c r="A253" s="584" t="s">
        <v>429</v>
      </c>
      <c r="B253" s="1178" t="n">
        <f aca="false">'Saisie et Calculateur'!C348</f>
        <v>0</v>
      </c>
      <c r="C253" s="858" t="n">
        <v>40</v>
      </c>
      <c r="D253" s="1179" t="n">
        <f aca="false">B253*C253</f>
        <v>0</v>
      </c>
      <c r="E253" s="1164" t="n">
        <v>7</v>
      </c>
      <c r="F253" s="646"/>
      <c r="G253" s="646"/>
      <c r="H253" s="646"/>
      <c r="I253" s="646"/>
      <c r="J253" s="646"/>
      <c r="K253" s="646"/>
      <c r="L253" s="646"/>
      <c r="M253" s="646"/>
      <c r="N253" s="646"/>
      <c r="O253" s="646"/>
    </row>
    <row r="254" ht="25.5" customHeight="1">
      <c r="A254" s="584" t="s">
        <v>430</v>
      </c>
      <c r="B254" s="1178" t="n">
        <f aca="false">'Saisie et Calculateur'!C349</f>
        <v>0</v>
      </c>
      <c r="C254" s="858" t="n">
        <v>22</v>
      </c>
      <c r="D254" s="1179" t="n">
        <f aca="false">B254*C254</f>
        <v>0</v>
      </c>
      <c r="E254" s="1164" t="n">
        <v>7</v>
      </c>
      <c r="F254" s="646"/>
      <c r="G254" s="646"/>
      <c r="H254" s="646"/>
      <c r="I254" s="646"/>
      <c r="J254" s="646"/>
      <c r="K254" s="646"/>
      <c r="L254" s="646"/>
      <c r="M254" s="646"/>
      <c r="N254" s="646"/>
      <c r="O254" s="646"/>
    </row>
    <row r="255" ht="25.5" customHeight="1">
      <c r="A255" s="584" t="s">
        <v>431</v>
      </c>
      <c r="B255" s="1178" t="n">
        <f aca="false">'Saisie et Calculateur'!C350</f>
        <v>0</v>
      </c>
      <c r="C255" s="858" t="n">
        <v>9.6</v>
      </c>
      <c r="D255" s="1179" t="n">
        <f aca="false">B255*C255</f>
        <v>0</v>
      </c>
      <c r="E255" s="1164" t="n">
        <v>7</v>
      </c>
      <c r="F255" s="646"/>
      <c r="G255" s="646"/>
      <c r="H255" s="646"/>
      <c r="I255" s="646"/>
      <c r="J255" s="646"/>
      <c r="K255" s="646"/>
      <c r="L255" s="646"/>
      <c r="M255" s="646"/>
      <c r="N255" s="646"/>
      <c r="O255" s="646"/>
    </row>
    <row r="256" ht="25.5" customHeight="1">
      <c r="A256" s="584" t="s">
        <v>432</v>
      </c>
      <c r="B256" s="1178" t="n">
        <f aca="false">'Saisie et Calculateur'!C351</f>
        <v>0</v>
      </c>
      <c r="C256" s="858" t="n">
        <v>4.3</v>
      </c>
      <c r="D256" s="1179" t="n">
        <f aca="false">B256*C256</f>
        <v>0</v>
      </c>
      <c r="E256" s="1164" t="n">
        <v>7</v>
      </c>
      <c r="F256" s="646"/>
      <c r="G256" s="646"/>
      <c r="H256" s="646"/>
      <c r="I256" s="646"/>
      <c r="J256" s="646"/>
      <c r="K256" s="646"/>
      <c r="L256" s="646"/>
      <c r="M256" s="646"/>
      <c r="N256" s="646"/>
      <c r="O256" s="646"/>
    </row>
    <row r="257" ht="25.5" customHeight="1">
      <c r="A257" s="584" t="s">
        <v>433</v>
      </c>
      <c r="B257" s="1178" t="n">
        <f aca="false">'Saisie et Calculateur'!C352</f>
        <v>0</v>
      </c>
      <c r="C257" s="858" t="n">
        <v>7.2</v>
      </c>
      <c r="D257" s="1179" t="n">
        <f aca="false">B257*C257</f>
        <v>0</v>
      </c>
      <c r="E257" s="1164" t="n">
        <v>7</v>
      </c>
      <c r="F257" s="646"/>
      <c r="G257" s="646"/>
      <c r="H257" s="646"/>
      <c r="I257" s="646"/>
      <c r="J257" s="646"/>
      <c r="K257" s="646"/>
      <c r="L257" s="646"/>
      <c r="M257" s="646"/>
      <c r="N257" s="646"/>
      <c r="O257" s="646"/>
    </row>
    <row r="258" ht="25.5" customHeight="1">
      <c r="A258" s="584" t="s">
        <v>434</v>
      </c>
      <c r="B258" s="1178" t="n">
        <f aca="false">'Saisie et Calculateur'!C353</f>
        <v>0</v>
      </c>
      <c r="C258" s="858" t="n">
        <v>9.1</v>
      </c>
      <c r="D258" s="1179" t="n">
        <f aca="false">B258*C258</f>
        <v>0</v>
      </c>
      <c r="E258" s="1164" t="n">
        <v>7</v>
      </c>
      <c r="F258" s="646"/>
      <c r="G258" s="646"/>
      <c r="H258" s="646"/>
      <c r="I258" s="646"/>
      <c r="J258" s="646"/>
      <c r="K258" s="646"/>
      <c r="L258" s="646"/>
      <c r="M258" s="646"/>
      <c r="N258" s="646"/>
      <c r="O258" s="646"/>
    </row>
    <row r="259" ht="25.5" customHeight="1">
      <c r="A259" s="584" t="s">
        <v>437</v>
      </c>
      <c r="B259" s="1178" t="n">
        <f aca="false">'Saisie et Calculateur'!C356</f>
        <v>0</v>
      </c>
      <c r="C259" s="858" t="n">
        <v>5.5</v>
      </c>
      <c r="D259" s="1179" t="n">
        <f aca="false">B259*C259</f>
        <v>0</v>
      </c>
      <c r="E259" s="1164" t="n">
        <v>0</v>
      </c>
      <c r="F259" s="646"/>
      <c r="G259" s="646"/>
      <c r="H259" s="646"/>
      <c r="I259" s="646"/>
      <c r="J259" s="646"/>
      <c r="K259" s="646"/>
      <c r="L259" s="646"/>
      <c r="M259" s="646"/>
      <c r="N259" s="646"/>
      <c r="O259" s="646"/>
    </row>
    <row r="260" ht="25.5" customHeight="1">
      <c r="A260" s="584" t="s">
        <v>438</v>
      </c>
      <c r="B260" s="1178" t="n">
        <f aca="false">'Saisie et Calculateur'!C357</f>
        <v>0</v>
      </c>
      <c r="C260" s="858" t="n">
        <v>18</v>
      </c>
      <c r="D260" s="1179" t="n">
        <f aca="false">B260*C260</f>
        <v>0</v>
      </c>
      <c r="E260" s="1164" t="n">
        <v>0</v>
      </c>
      <c r="F260" s="646"/>
      <c r="G260" s="646"/>
      <c r="H260" s="646"/>
      <c r="I260" s="646"/>
      <c r="J260" s="646"/>
      <c r="K260" s="646"/>
      <c r="L260" s="646"/>
      <c r="M260" s="646"/>
      <c r="N260" s="646"/>
      <c r="O260" s="646"/>
    </row>
    <row r="261" ht="12.75" customHeight="1">
      <c r="A261" s="584" t="s">
        <v>439</v>
      </c>
      <c r="B261" s="1178" t="n">
        <f aca="false">'Saisie et Calculateur'!C358</f>
        <v>0</v>
      </c>
      <c r="C261" s="858" t="n">
        <v>8</v>
      </c>
      <c r="D261" s="1179" t="n">
        <f aca="false">B261*C261</f>
        <v>0</v>
      </c>
      <c r="E261" s="1164" t="n">
        <v>0</v>
      </c>
      <c r="F261" s="646"/>
      <c r="G261" s="646"/>
      <c r="H261" s="646"/>
      <c r="I261" s="646"/>
      <c r="J261" s="646"/>
      <c r="K261" s="646"/>
      <c r="L261" s="646"/>
      <c r="M261" s="646"/>
      <c r="N261" s="646"/>
      <c r="O261" s="646"/>
    </row>
    <row r="262" ht="25.5" customHeight="1">
      <c r="A262" s="584" t="s">
        <v>440</v>
      </c>
      <c r="B262" s="1178" t="n">
        <f aca="false">'Saisie et Calculateur'!C359</f>
        <v>0</v>
      </c>
      <c r="C262" s="858" t="n">
        <v>20</v>
      </c>
      <c r="D262" s="1179" t="n">
        <f aca="false">B262*C262</f>
        <v>0</v>
      </c>
      <c r="E262" s="1164" t="n">
        <v>0</v>
      </c>
      <c r="F262" s="646"/>
      <c r="G262" s="646"/>
      <c r="H262" s="646"/>
      <c r="I262" s="646"/>
      <c r="J262" s="646"/>
      <c r="K262" s="646"/>
      <c r="L262" s="646"/>
      <c r="M262" s="646"/>
      <c r="N262" s="646"/>
      <c r="O262" s="646"/>
    </row>
    <row r="263" ht="25.5" customHeight="1">
      <c r="A263" s="584" t="s">
        <v>441</v>
      </c>
      <c r="B263" s="1178" t="n">
        <f aca="false">'Saisie et Calculateur'!C360</f>
        <v>0</v>
      </c>
      <c r="C263" s="858" t="n">
        <v>15</v>
      </c>
      <c r="D263" s="1179" t="n">
        <f aca="false">B263*C263</f>
        <v>0</v>
      </c>
      <c r="E263" s="1164" t="n">
        <v>0</v>
      </c>
      <c r="F263" s="646"/>
      <c r="G263" s="646"/>
      <c r="H263" s="646"/>
      <c r="I263" s="646"/>
      <c r="J263" s="646"/>
      <c r="K263" s="646"/>
      <c r="L263" s="646"/>
      <c r="M263" s="646"/>
      <c r="N263" s="646"/>
      <c r="O263" s="646"/>
    </row>
    <row r="264" ht="25.5" customHeight="1">
      <c r="A264" s="584" t="s">
        <v>1227</v>
      </c>
      <c r="B264" s="1178" t="n">
        <f aca="false">'Saisie et Calculateur'!C361</f>
        <v>0</v>
      </c>
      <c r="C264" s="858" t="n">
        <v>10</v>
      </c>
      <c r="D264" s="1179" t="n">
        <f aca="false">B264*C264</f>
        <v>0</v>
      </c>
      <c r="E264" s="1164" t="n">
        <v>0</v>
      </c>
      <c r="F264" s="646"/>
      <c r="G264" s="646"/>
      <c r="H264" s="646"/>
      <c r="I264" s="646"/>
      <c r="J264" s="646"/>
      <c r="K264" s="646"/>
      <c r="L264" s="646"/>
      <c r="M264" s="646"/>
      <c r="N264" s="646"/>
      <c r="O264" s="646"/>
    </row>
    <row r="265" ht="25.5" customHeight="1">
      <c r="A265" s="584" t="s">
        <v>443</v>
      </c>
      <c r="B265" s="1178" t="n">
        <f aca="false">'Saisie et Calculateur'!C362</f>
        <v>0</v>
      </c>
      <c r="C265" s="858" t="n">
        <v>6.5</v>
      </c>
      <c r="D265" s="1179" t="n">
        <f aca="false">B265*C265</f>
        <v>0</v>
      </c>
      <c r="E265" s="1164" t="n">
        <v>0</v>
      </c>
      <c r="F265" s="646"/>
      <c r="G265" s="646"/>
      <c r="H265" s="646"/>
      <c r="I265" s="646"/>
      <c r="J265" s="646"/>
      <c r="K265" s="646"/>
      <c r="L265" s="1128"/>
      <c r="M265" s="646"/>
      <c r="N265" s="646"/>
      <c r="O265" s="646"/>
    </row>
    <row r="266" ht="25.5" customHeight="1">
      <c r="A266" s="584" t="s">
        <v>444</v>
      </c>
      <c r="B266" s="1178" t="n">
        <f aca="false">'Saisie et Calculateur'!C363</f>
        <v>0</v>
      </c>
      <c r="C266" s="858" t="n">
        <v>7.6</v>
      </c>
      <c r="D266" s="1179" t="n">
        <f aca="false">B266*C266</f>
        <v>0</v>
      </c>
      <c r="E266" s="1164" t="n">
        <v>5</v>
      </c>
      <c r="F266" s="646"/>
      <c r="G266" s="646"/>
      <c r="H266" s="646"/>
      <c r="I266" s="646"/>
      <c r="J266" s="646"/>
      <c r="K266" s="646"/>
      <c r="L266" s="1128"/>
      <c r="M266" s="646"/>
      <c r="N266" s="646"/>
      <c r="O266" s="646"/>
    </row>
    <row r="267" ht="25.5" customHeight="1">
      <c r="A267" s="584" t="s">
        <v>445</v>
      </c>
      <c r="B267" s="1178" t="n">
        <f aca="false">'Saisie et Calculateur'!C364</f>
        <v>0</v>
      </c>
      <c r="C267" s="858" t="n">
        <v>11</v>
      </c>
      <c r="D267" s="1179" t="n">
        <f aca="false">B267*C267</f>
        <v>0</v>
      </c>
      <c r="E267" s="1164" t="n">
        <v>5</v>
      </c>
      <c r="F267" s="646"/>
      <c r="G267" s="646"/>
      <c r="H267" s="646"/>
      <c r="I267" s="646"/>
      <c r="J267" s="646"/>
      <c r="K267" s="646"/>
      <c r="L267" s="1128"/>
      <c r="M267" s="646"/>
      <c r="N267" s="646"/>
      <c r="O267" s="646"/>
    </row>
    <row r="268" ht="12.75" customHeight="1">
      <c r="A268" s="584" t="s">
        <v>446</v>
      </c>
      <c r="B268" s="1178" t="n">
        <f aca="false">'Saisie et Calculateur'!C365</f>
        <v>0</v>
      </c>
      <c r="C268" s="858" t="n">
        <v>20</v>
      </c>
      <c r="D268" s="1179" t="n">
        <f aca="false">B268*C268</f>
        <v>0</v>
      </c>
      <c r="E268" s="1164" t="n">
        <v>0</v>
      </c>
      <c r="F268" s="646"/>
      <c r="G268" s="646"/>
      <c r="H268" s="646"/>
      <c r="I268" s="646"/>
      <c r="J268" s="646"/>
      <c r="K268" s="646"/>
      <c r="L268" s="1128"/>
      <c r="M268" s="646"/>
      <c r="N268" s="646"/>
      <c r="O268" s="646"/>
    </row>
    <row r="269" ht="38.25" customHeight="1">
      <c r="A269" s="584" t="s">
        <v>1849</v>
      </c>
      <c r="B269" s="1178" t="n">
        <f aca="false">'Saisie et Calculateur'!C366</f>
        <v>0</v>
      </c>
      <c r="C269" s="858" t="n">
        <v>15</v>
      </c>
      <c r="D269" s="1179" t="n">
        <f aca="false">B269*C269</f>
        <v>0</v>
      </c>
      <c r="E269" s="1164" t="n">
        <v>0</v>
      </c>
      <c r="F269" s="646"/>
      <c r="G269" s="646"/>
      <c r="H269" s="646"/>
      <c r="I269" s="646"/>
      <c r="J269" s="646"/>
      <c r="K269" s="646"/>
      <c r="L269" s="1128"/>
      <c r="M269" s="646"/>
      <c r="N269" s="646"/>
      <c r="O269" s="646"/>
    </row>
    <row r="270" ht="12.75" customHeight="1">
      <c r="A270" s="646" t="s">
        <v>448</v>
      </c>
      <c r="B270" s="1178" t="n">
        <f aca="false">'Saisie et Calculateur'!C367</f>
        <v>0</v>
      </c>
      <c r="C270" s="1221" t="n">
        <v>27.5</v>
      </c>
      <c r="D270" s="1179" t="n">
        <f aca="false">B270*C270</f>
        <v>0</v>
      </c>
      <c r="E270" s="1164" t="n">
        <v>6</v>
      </c>
      <c r="F270" s="646"/>
      <c r="G270" s="646"/>
      <c r="H270" s="646"/>
      <c r="I270" s="646"/>
      <c r="J270" s="646"/>
      <c r="K270" s="646"/>
      <c r="L270" s="1128"/>
      <c r="M270" s="646"/>
      <c r="N270" s="646"/>
      <c r="O270" s="646"/>
    </row>
    <row r="271" ht="12.75" customHeight="1">
      <c r="A271" s="646"/>
      <c r="B271" s="646"/>
      <c r="C271" s="646"/>
      <c r="D271" s="646"/>
      <c r="E271" s="646"/>
      <c r="F271" s="646"/>
      <c r="G271" s="646"/>
      <c r="H271" s="646"/>
      <c r="I271" s="646"/>
      <c r="J271" s="646"/>
      <c r="K271" s="646"/>
      <c r="L271" s="1128"/>
      <c r="M271" s="646"/>
      <c r="N271" s="646"/>
      <c r="O271" s="646"/>
    </row>
    <row r="272" ht="12.75" customHeight="1">
      <c r="A272" s="646"/>
      <c r="B272" s="840" t="s">
        <v>1832</v>
      </c>
      <c r="C272" s="1168" t="s">
        <v>551</v>
      </c>
      <c r="D272" s="1000" t="n">
        <f aca="false">SUM(D242:D270)</f>
        <v>0</v>
      </c>
      <c r="E272" s="646"/>
      <c r="F272" s="646"/>
      <c r="G272" s="646"/>
      <c r="H272" s="646"/>
      <c r="I272" s="646"/>
      <c r="J272" s="646"/>
      <c r="K272" s="646"/>
      <c r="L272" s="1128"/>
      <c r="M272" s="646"/>
      <c r="N272" s="646"/>
      <c r="O272" s="646"/>
    </row>
    <row r="273" ht="12.75" customHeight="1">
      <c r="A273" s="1128"/>
      <c r="B273" s="646"/>
      <c r="C273" s="646"/>
      <c r="D273" s="646"/>
      <c r="E273" s="646"/>
      <c r="F273" s="646"/>
      <c r="G273" s="646"/>
      <c r="H273" s="646"/>
      <c r="I273" s="646"/>
      <c r="J273" s="646"/>
      <c r="K273" s="646"/>
      <c r="L273" s="646"/>
      <c r="M273" s="646"/>
      <c r="N273" s="646"/>
      <c r="O273" s="646"/>
    </row>
    <row r="274" ht="12.75" customHeight="1">
      <c r="A274" s="646"/>
      <c r="B274" s="646"/>
      <c r="C274" s="646"/>
      <c r="D274" s="646"/>
      <c r="E274" s="646"/>
      <c r="F274" s="646"/>
      <c r="G274" s="646"/>
      <c r="H274" s="646"/>
      <c r="I274" s="646"/>
      <c r="J274" s="646"/>
      <c r="K274" s="646"/>
      <c r="L274" s="646"/>
      <c r="M274" s="646"/>
      <c r="N274" s="646"/>
      <c r="O274" s="646"/>
    </row>
    <row r="275" ht="12.75" customHeight="1">
      <c r="A275" s="1128"/>
      <c r="B275" s="1128"/>
      <c r="C275" s="1128"/>
      <c r="D275" s="1128"/>
      <c r="E275" s="1128"/>
      <c r="F275" s="1128"/>
      <c r="G275" s="1128"/>
      <c r="H275" s="1128"/>
      <c r="I275" s="1128"/>
      <c r="J275" s="1128"/>
      <c r="K275" s="1128"/>
      <c r="L275" s="1128"/>
      <c r="M275" s="646"/>
      <c r="N275" s="646"/>
      <c r="O275" s="646"/>
    </row>
    <row r="276" ht="20.25" customHeight="1">
      <c r="A276" s="1156" t="s">
        <v>1908</v>
      </c>
      <c r="B276" s="1156"/>
      <c r="C276" s="1156"/>
      <c r="D276" s="1156"/>
      <c r="E276" s="1156"/>
      <c r="F276" s="1156"/>
      <c r="G276" s="1156"/>
      <c r="H276" s="1156"/>
      <c r="I276" s="1156"/>
      <c r="J276" s="1128"/>
      <c r="K276" s="1128"/>
      <c r="L276" s="1128"/>
      <c r="M276" s="646"/>
      <c r="N276" s="646"/>
      <c r="O276" s="646"/>
    </row>
    <row r="277" ht="12.75" customHeight="1">
      <c r="A277" s="1128"/>
      <c r="B277" s="1128"/>
      <c r="C277" s="1128"/>
      <c r="D277" s="1128"/>
      <c r="E277" s="1128"/>
      <c r="F277" s="1128"/>
      <c r="G277" s="1128"/>
      <c r="H277" s="1128"/>
      <c r="I277" s="1128"/>
      <c r="J277" s="1128"/>
      <c r="K277" s="1128"/>
      <c r="L277" s="1128"/>
      <c r="M277" s="646"/>
      <c r="N277" s="646"/>
      <c r="O277" s="646"/>
    </row>
    <row r="278" ht="12.75" customHeight="1">
      <c r="A278" s="1222"/>
      <c r="B278" s="1223"/>
      <c r="C278" s="1223"/>
      <c r="D278" s="1223"/>
      <c r="E278" s="1224"/>
      <c r="F278" s="1223"/>
      <c r="G278" s="1223"/>
      <c r="H278" s="646"/>
      <c r="I278" s="646"/>
      <c r="J278" s="646"/>
      <c r="K278" s="646"/>
      <c r="L278" s="1128"/>
      <c r="M278" s="646"/>
      <c r="N278" s="646"/>
      <c r="O278" s="646"/>
    </row>
    <row r="279" ht="25.5" customHeight="1">
      <c r="A279" s="725" t="s">
        <v>1909</v>
      </c>
      <c r="B279" s="725" t="s">
        <v>414</v>
      </c>
      <c r="C279" s="840" t="s">
        <v>406</v>
      </c>
      <c r="D279" s="725" t="s">
        <v>406</v>
      </c>
      <c r="E279" s="1159" t="s">
        <v>1827</v>
      </c>
      <c r="F279" s="1128"/>
      <c r="G279" s="646"/>
      <c r="H279" s="646"/>
      <c r="I279" s="646"/>
      <c r="J279" s="646"/>
      <c r="K279" s="646"/>
      <c r="L279" s="646"/>
      <c r="M279" s="646"/>
      <c r="N279" s="646"/>
      <c r="O279" s="646"/>
    </row>
    <row r="280" ht="25.5" customHeight="1">
      <c r="A280" s="725"/>
      <c r="B280" s="1168" t="s">
        <v>1910</v>
      </c>
      <c r="C280" s="1177" t="s">
        <v>1888</v>
      </c>
      <c r="D280" s="1177" t="s">
        <v>1223</v>
      </c>
      <c r="E280" s="1161"/>
      <c r="F280" s="1128"/>
      <c r="G280" s="646"/>
      <c r="H280" s="1186"/>
      <c r="I280" s="646"/>
      <c r="J280" s="646"/>
      <c r="K280" s="646"/>
      <c r="L280" s="646"/>
      <c r="M280" s="646"/>
      <c r="N280" s="646"/>
      <c r="O280" s="646"/>
    </row>
    <row r="281" ht="14.25" customHeight="1">
      <c r="A281" s="1225" t="s">
        <v>342</v>
      </c>
      <c r="B281" s="1226" t="n">
        <f aca="false">'Saisie et Calculateur'!J265</f>
        <v>0</v>
      </c>
      <c r="C281" s="1227" t="n">
        <v>15.7</v>
      </c>
      <c r="D281" s="1228" t="n">
        <f aca="false">B281*C281</f>
        <v>0</v>
      </c>
      <c r="E281" s="1164" t="n">
        <v>0</v>
      </c>
      <c r="F281" s="1128"/>
      <c r="G281" s="646"/>
      <c r="H281" s="646"/>
      <c r="I281" s="646"/>
      <c r="J281" s="646"/>
      <c r="K281" s="646"/>
      <c r="L281" s="646"/>
      <c r="M281" s="646"/>
      <c r="N281" s="646"/>
      <c r="O281" s="646"/>
    </row>
    <row r="282" ht="14.25" customHeight="1">
      <c r="A282" s="1225" t="s">
        <v>343</v>
      </c>
      <c r="B282" s="1226" t="n">
        <f aca="false">'Saisie et Calculateur'!J266</f>
        <v>0</v>
      </c>
      <c r="C282" s="1227" t="n">
        <v>15.5</v>
      </c>
      <c r="D282" s="1228" t="n">
        <f aca="false">B282*C282</f>
        <v>0</v>
      </c>
      <c r="E282" s="1164" t="n">
        <v>0</v>
      </c>
      <c r="F282" s="1128"/>
      <c r="G282" s="646"/>
      <c r="H282" s="646"/>
      <c r="I282" s="646"/>
      <c r="J282" s="646"/>
      <c r="K282" s="646"/>
      <c r="L282" s="646"/>
      <c r="M282" s="646"/>
      <c r="N282" s="646"/>
      <c r="O282" s="646"/>
    </row>
    <row r="283" ht="14.25" customHeight="1">
      <c r="A283" s="1225" t="s">
        <v>344</v>
      </c>
      <c r="B283" s="1226" t="n">
        <f aca="false">'Saisie et Calculateur'!J267</f>
        <v>105</v>
      </c>
      <c r="C283" s="1227" t="n">
        <v>21.9</v>
      </c>
      <c r="D283" s="1228" t="n">
        <f aca="false">B283*C283</f>
        <v>2299.5</v>
      </c>
      <c r="E283" s="1164" t="n">
        <v>0</v>
      </c>
      <c r="F283" s="1128"/>
      <c r="G283" s="646"/>
      <c r="H283" s="646"/>
      <c r="I283" s="646"/>
      <c r="J283" s="646"/>
      <c r="K283" s="646"/>
      <c r="L283" s="646"/>
      <c r="M283" s="646"/>
      <c r="N283" s="646"/>
      <c r="O283" s="646"/>
    </row>
    <row r="284" ht="14.25" customHeight="1">
      <c r="A284" s="1225" t="s">
        <v>345</v>
      </c>
      <c r="B284" s="1226" t="n">
        <f aca="false">'Saisie et Calculateur'!J268</f>
        <v>57</v>
      </c>
      <c r="C284" s="1227" t="n">
        <v>33.3</v>
      </c>
      <c r="D284" s="1228" t="n">
        <f aca="false">B284*C284</f>
        <v>1898.1</v>
      </c>
      <c r="E284" s="1161" t="n">
        <v>4</v>
      </c>
      <c r="F284" s="1128"/>
      <c r="G284" s="646"/>
      <c r="H284" s="646"/>
      <c r="I284" s="646"/>
      <c r="J284" s="646"/>
      <c r="K284" s="646"/>
      <c r="L284" s="646"/>
      <c r="M284" s="646"/>
      <c r="N284" s="646"/>
      <c r="O284" s="646"/>
    </row>
    <row r="285" ht="14.25" customHeight="1">
      <c r="A285" s="1225" t="s">
        <v>346</v>
      </c>
      <c r="B285" s="1226" t="n">
        <f aca="false">'Saisie et Calculateur'!J269</f>
        <v>75</v>
      </c>
      <c r="C285" s="1227" t="n">
        <v>13</v>
      </c>
      <c r="D285" s="1228" t="n">
        <f aca="false">B285*C285</f>
        <v>975</v>
      </c>
      <c r="E285" s="1164" t="n">
        <v>0</v>
      </c>
      <c r="F285" s="646"/>
      <c r="G285" s="646"/>
      <c r="H285" s="646"/>
      <c r="I285" s="646"/>
      <c r="J285" s="646"/>
      <c r="K285" s="646"/>
      <c r="L285" s="646"/>
      <c r="M285" s="646"/>
      <c r="N285" s="646"/>
      <c r="O285" s="646"/>
    </row>
    <row r="286" ht="14.25" customHeight="1">
      <c r="A286" s="1225" t="s">
        <v>347</v>
      </c>
      <c r="B286" s="1226" t="n">
        <f aca="false">'Saisie et Calculateur'!J270</f>
        <v>0</v>
      </c>
      <c r="C286" s="1227" t="n">
        <v>13</v>
      </c>
      <c r="D286" s="1228" t="n">
        <f aca="false">B286*C286</f>
        <v>0</v>
      </c>
      <c r="E286" s="1164" t="n">
        <v>0</v>
      </c>
      <c r="F286" s="646"/>
      <c r="G286" s="646"/>
      <c r="H286" s="646"/>
      <c r="I286" s="646"/>
      <c r="J286" s="646"/>
      <c r="K286" s="646"/>
      <c r="L286" s="646"/>
      <c r="M286" s="646"/>
      <c r="N286" s="646"/>
      <c r="O286" s="646"/>
    </row>
    <row r="287" ht="14.25" customHeight="1">
      <c r="A287" s="1225" t="s">
        <v>348</v>
      </c>
      <c r="B287" s="1226" t="n">
        <f aca="false">'Saisie et Calculateur'!J271</f>
        <v>0</v>
      </c>
      <c r="C287" s="1227" t="n">
        <v>16.6</v>
      </c>
      <c r="D287" s="1228" t="n">
        <f aca="false">B287*C287</f>
        <v>0</v>
      </c>
      <c r="E287" s="1164" t="n">
        <v>0</v>
      </c>
      <c r="F287" s="646"/>
      <c r="G287" s="646"/>
      <c r="H287" s="646"/>
      <c r="I287" s="646"/>
      <c r="J287" s="646"/>
      <c r="K287" s="646"/>
      <c r="L287" s="646"/>
      <c r="M287" s="646"/>
      <c r="N287" s="646"/>
      <c r="O287" s="646"/>
    </row>
    <row r="288" ht="14.25" customHeight="1">
      <c r="A288" s="1225" t="s">
        <v>349</v>
      </c>
      <c r="B288" s="1226" t="n">
        <f aca="false">'Saisie et Calculateur'!J272</f>
        <v>0</v>
      </c>
      <c r="C288" s="1227" t="n">
        <v>15.7</v>
      </c>
      <c r="D288" s="1228" t="n">
        <f aca="false">B288*C288</f>
        <v>0</v>
      </c>
      <c r="E288" s="1164" t="n">
        <v>0</v>
      </c>
      <c r="F288" s="646"/>
      <c r="G288" s="646"/>
      <c r="H288" s="646"/>
      <c r="I288" s="646"/>
      <c r="J288" s="646"/>
      <c r="K288" s="646"/>
      <c r="L288" s="646"/>
      <c r="M288" s="646"/>
      <c r="N288" s="646"/>
      <c r="O288" s="646"/>
    </row>
    <row r="289" ht="14.25" customHeight="1">
      <c r="A289" s="1225" t="s">
        <v>350</v>
      </c>
      <c r="B289" s="1226" t="n">
        <f aca="false">'Saisie et Calculateur'!J273</f>
        <v>14.4</v>
      </c>
      <c r="C289" s="1227" t="n">
        <v>34.5</v>
      </c>
      <c r="D289" s="1228" t="n">
        <f aca="false">B289*C289</f>
        <v>496.8</v>
      </c>
      <c r="E289" s="1164" t="n">
        <v>0</v>
      </c>
      <c r="F289" s="646"/>
      <c r="G289" s="646"/>
      <c r="H289" s="646"/>
      <c r="I289" s="646"/>
      <c r="J289" s="646"/>
      <c r="K289" s="646"/>
      <c r="L289" s="646"/>
      <c r="M289" s="646"/>
      <c r="N289" s="646"/>
      <c r="O289" s="646"/>
    </row>
    <row r="290" ht="14.25" customHeight="1">
      <c r="A290" s="1225" t="s">
        <v>351</v>
      </c>
      <c r="B290" s="1226" t="n">
        <f aca="false">'Saisie et Calculateur'!J274</f>
        <v>0</v>
      </c>
      <c r="C290" s="1227" t="n">
        <v>16.5</v>
      </c>
      <c r="D290" s="1228" t="n">
        <f aca="false">B290*C290</f>
        <v>0</v>
      </c>
      <c r="E290" s="1164" t="n">
        <v>0</v>
      </c>
      <c r="F290" s="646"/>
      <c r="G290" s="646"/>
      <c r="H290" s="646"/>
      <c r="I290" s="646"/>
      <c r="J290" s="646"/>
      <c r="K290" s="646"/>
      <c r="L290" s="646"/>
      <c r="M290" s="646"/>
      <c r="N290" s="646"/>
      <c r="O290" s="748"/>
    </row>
    <row r="291" ht="14.25" customHeight="1">
      <c r="A291" s="1225" t="s">
        <v>352</v>
      </c>
      <c r="B291" s="1226" t="n">
        <f aca="false">'Saisie et Calculateur'!J275</f>
        <v>0</v>
      </c>
      <c r="C291" s="1227" t="n">
        <v>3.1</v>
      </c>
      <c r="D291" s="1228" t="n">
        <f aca="false">B291*C291</f>
        <v>0</v>
      </c>
      <c r="E291" s="1164" t="n">
        <v>0</v>
      </c>
      <c r="F291" s="646"/>
      <c r="G291" s="646"/>
      <c r="H291" s="646"/>
      <c r="I291" s="646"/>
      <c r="J291" s="646"/>
      <c r="K291" s="646"/>
      <c r="L291" s="646"/>
      <c r="M291" s="646"/>
      <c r="N291" s="646"/>
      <c r="O291" s="646"/>
    </row>
    <row r="292" ht="14.25" customHeight="1">
      <c r="A292" s="1225" t="s">
        <v>1911</v>
      </c>
      <c r="B292" s="1226" t="n">
        <f aca="false">'Saisie et Calculateur'!J276</f>
        <v>99</v>
      </c>
      <c r="C292" s="1229" t="n">
        <v>13</v>
      </c>
      <c r="D292" s="1228" t="n">
        <f aca="false">B292*C292</f>
        <v>1287</v>
      </c>
      <c r="E292" s="1164"/>
      <c r="F292" s="646"/>
      <c r="G292" s="646"/>
      <c r="H292" s="646"/>
      <c r="I292" s="646"/>
      <c r="J292" s="646"/>
      <c r="K292" s="646"/>
      <c r="L292" s="646"/>
      <c r="M292" s="646"/>
      <c r="N292" s="646"/>
      <c r="O292" s="646"/>
    </row>
    <row r="293" ht="14.25" customHeight="1">
      <c r="A293" s="1225" t="s">
        <v>1173</v>
      </c>
      <c r="B293" s="1226" t="n">
        <f aca="false">'Saisie et Calculateur'!J277</f>
        <v>0</v>
      </c>
      <c r="C293" s="1229"/>
      <c r="D293" s="1228" t="n">
        <f aca="false">B293*C293</f>
        <v>0</v>
      </c>
      <c r="E293" s="1164"/>
      <c r="F293" s="646"/>
      <c r="G293" s="646"/>
      <c r="H293" s="646"/>
      <c r="I293" s="646"/>
      <c r="J293" s="646"/>
      <c r="K293" s="646"/>
      <c r="L293" s="646"/>
      <c r="M293" s="646"/>
      <c r="N293" s="646"/>
      <c r="O293" s="646"/>
    </row>
    <row r="294" ht="14.25" customHeight="1">
      <c r="A294" s="1225" t="s">
        <v>1174</v>
      </c>
      <c r="B294" s="1226" t="n">
        <f aca="false">'Saisie et Calculateur'!J278</f>
        <v>0</v>
      </c>
      <c r="C294" s="1229"/>
      <c r="D294" s="1228" t="n">
        <f aca="false">B294*C294</f>
        <v>0</v>
      </c>
      <c r="E294" s="1164"/>
      <c r="F294" s="646"/>
      <c r="G294" s="646"/>
      <c r="H294" s="646"/>
      <c r="I294" s="646"/>
      <c r="J294" s="646"/>
      <c r="K294" s="646"/>
      <c r="L294" s="646"/>
      <c r="M294" s="646"/>
      <c r="N294" s="646"/>
      <c r="O294" s="646"/>
    </row>
    <row r="295" ht="14.25" customHeight="1">
      <c r="A295" s="1225" t="s">
        <v>1175</v>
      </c>
      <c r="B295" s="1226" t="n">
        <f aca="false">'Saisie et Calculateur'!J279</f>
        <v>0</v>
      </c>
      <c r="C295" s="1229"/>
      <c r="D295" s="1228" t="n">
        <f aca="false">B295*C295</f>
        <v>0</v>
      </c>
      <c r="E295" s="1164" t="n">
        <v>0</v>
      </c>
      <c r="F295" s="646"/>
      <c r="G295" s="646"/>
      <c r="H295" s="646"/>
      <c r="I295" s="646"/>
      <c r="J295" s="646"/>
      <c r="K295" s="646"/>
      <c r="L295" s="646"/>
      <c r="M295" s="646"/>
      <c r="N295" s="646"/>
      <c r="O295" s="646"/>
    </row>
    <row r="296" ht="14.25" customHeight="1">
      <c r="A296" s="1225" t="s">
        <v>1176</v>
      </c>
      <c r="B296" s="1226" t="n">
        <f aca="false">'Saisie et Calculateur'!J280</f>
        <v>0</v>
      </c>
      <c r="C296" s="1229"/>
      <c r="D296" s="1228" t="n">
        <f aca="false">B296*C296</f>
        <v>0</v>
      </c>
      <c r="E296" s="1164" t="n">
        <v>0</v>
      </c>
      <c r="F296" s="646"/>
      <c r="G296" s="646"/>
      <c r="H296" s="646"/>
      <c r="I296" s="646"/>
      <c r="J296" s="646"/>
      <c r="K296" s="646"/>
      <c r="L296" s="646"/>
      <c r="M296" s="646"/>
      <c r="N296" s="646"/>
      <c r="O296" s="646"/>
    </row>
    <row r="297" ht="14.25" customHeight="1">
      <c r="A297" s="1225" t="s">
        <v>356</v>
      </c>
      <c r="B297" s="1226" t="n">
        <f aca="false">'Saisie et Calculateur'!J282</f>
        <v>0</v>
      </c>
      <c r="C297" s="1227" t="n">
        <v>32.9</v>
      </c>
      <c r="D297" s="1228" t="n">
        <f aca="false">B297*C297</f>
        <v>0</v>
      </c>
      <c r="E297" s="1164" t="n">
        <v>0</v>
      </c>
      <c r="F297" s="646"/>
      <c r="G297" s="646"/>
      <c r="H297" s="646"/>
      <c r="I297" s="646"/>
      <c r="J297" s="646"/>
      <c r="K297" s="646"/>
      <c r="L297" s="646"/>
      <c r="M297" s="646"/>
      <c r="N297" s="646"/>
      <c r="O297" s="646"/>
    </row>
    <row r="298" ht="14.25" customHeight="1">
      <c r="A298" s="1225" t="s">
        <v>357</v>
      </c>
      <c r="B298" s="1226" t="n">
        <f aca="false">'Saisie et Calculateur'!J283</f>
        <v>0</v>
      </c>
      <c r="C298" s="1227" t="n">
        <v>35.5</v>
      </c>
      <c r="D298" s="1228" t="n">
        <f aca="false">B298*C298</f>
        <v>0</v>
      </c>
      <c r="E298" s="1164" t="n">
        <v>0</v>
      </c>
      <c r="F298" s="646"/>
      <c r="G298" s="646"/>
      <c r="H298" s="646"/>
      <c r="I298" s="646"/>
      <c r="J298" s="646"/>
      <c r="K298" s="646"/>
      <c r="L298" s="646"/>
      <c r="M298" s="646"/>
      <c r="N298" s="646"/>
      <c r="O298" s="646"/>
      <c r="Q298" s="646"/>
      <c r="R298" s="646"/>
      <c r="S298" s="646"/>
    </row>
    <row r="299" ht="14.25" customHeight="1">
      <c r="A299" s="1225" t="s">
        <v>358</v>
      </c>
      <c r="B299" s="1226" t="n">
        <f aca="false">'Saisie et Calculateur'!J284</f>
        <v>0</v>
      </c>
      <c r="C299" s="1227" t="n">
        <v>55.5</v>
      </c>
      <c r="D299" s="1228" t="n">
        <f aca="false">B299*C299</f>
        <v>0</v>
      </c>
      <c r="E299" s="1164" t="n">
        <v>0</v>
      </c>
      <c r="F299" s="646"/>
      <c r="G299" s="646"/>
      <c r="H299" s="646"/>
      <c r="I299" s="646"/>
      <c r="J299" s="646"/>
      <c r="K299" s="646"/>
      <c r="L299" s="646"/>
      <c r="M299" s="646"/>
      <c r="N299" s="646"/>
      <c r="O299" s="646"/>
    </row>
    <row r="300" ht="14.25" customHeight="1">
      <c r="A300" s="1225" t="s">
        <v>359</v>
      </c>
      <c r="B300" s="1226" t="n">
        <f aca="false">'Saisie et Calculateur'!J285</f>
        <v>0</v>
      </c>
      <c r="C300" s="1227" t="n">
        <v>32.5</v>
      </c>
      <c r="D300" s="1228" t="n">
        <f aca="false">B300*C300</f>
        <v>0</v>
      </c>
      <c r="E300" s="1164" t="n">
        <v>0</v>
      </c>
      <c r="F300" s="646"/>
      <c r="G300" s="646"/>
      <c r="H300" s="646"/>
      <c r="I300" s="646"/>
      <c r="J300" s="646"/>
      <c r="K300" s="646"/>
      <c r="L300" s="646"/>
      <c r="M300" s="646"/>
      <c r="N300" s="646"/>
      <c r="O300" s="646"/>
    </row>
    <row r="301" ht="14.25" customHeight="1">
      <c r="A301" s="1225" t="s">
        <v>360</v>
      </c>
      <c r="B301" s="1226" t="n">
        <f aca="false">'Saisie et Calculateur'!J286</f>
        <v>0</v>
      </c>
      <c r="C301" s="1227" t="n">
        <v>56.5</v>
      </c>
      <c r="D301" s="1228" t="n">
        <f aca="false">B301*C301</f>
        <v>0</v>
      </c>
      <c r="E301" s="1164" t="n">
        <v>0</v>
      </c>
      <c r="F301" s="646"/>
      <c r="G301" s="646"/>
      <c r="H301" s="646"/>
      <c r="I301" s="646"/>
      <c r="J301" s="646"/>
      <c r="K301" s="646"/>
      <c r="L301" s="646"/>
      <c r="M301" s="646"/>
      <c r="N301" s="646"/>
      <c r="O301" s="646"/>
    </row>
    <row r="302" ht="14.25" customHeight="1">
      <c r="A302" s="1225" t="s">
        <v>1136</v>
      </c>
      <c r="B302" s="1226" t="n">
        <f aca="false">'Saisie et Calculateur'!J287</f>
        <v>0</v>
      </c>
      <c r="C302" s="1229"/>
      <c r="D302" s="1228" t="n">
        <f aca="false">B302*C302</f>
        <v>0</v>
      </c>
      <c r="E302" s="1164"/>
      <c r="F302" s="646"/>
      <c r="G302" s="646"/>
      <c r="H302" s="646"/>
      <c r="I302" s="646"/>
      <c r="J302" s="646"/>
      <c r="K302" s="646"/>
      <c r="L302" s="646"/>
      <c r="M302" s="646"/>
      <c r="N302" s="646"/>
      <c r="O302" s="646"/>
    </row>
    <row r="303" ht="14.25" customHeight="1">
      <c r="A303" s="1225"/>
      <c r="B303" s="1168" t="s">
        <v>1912</v>
      </c>
      <c r="C303" s="1168" t="s">
        <v>1891</v>
      </c>
      <c r="D303" s="1168" t="s">
        <v>551</v>
      </c>
      <c r="E303" s="1164"/>
      <c r="F303" s="646"/>
      <c r="G303" s="646"/>
      <c r="H303" s="646"/>
      <c r="I303" s="646"/>
      <c r="J303" s="646"/>
      <c r="K303" s="646"/>
      <c r="L303" s="646"/>
      <c r="M303" s="646"/>
      <c r="N303" s="646"/>
      <c r="O303" s="646"/>
    </row>
    <row r="304" ht="14.25" customHeight="1">
      <c r="A304" s="1225" t="s">
        <v>1913</v>
      </c>
      <c r="B304" s="1226" t="n">
        <f aca="false">'Saisie et Calculateur'!J216</f>
        <v>0</v>
      </c>
      <c r="C304" s="1227" t="n">
        <v>12.5</v>
      </c>
      <c r="D304" s="1228" t="n">
        <f aca="false">B304*C304</f>
        <v>0</v>
      </c>
      <c r="E304" s="1164" t="n">
        <v>0</v>
      </c>
      <c r="F304" s="646"/>
      <c r="G304" s="646"/>
      <c r="H304" s="646"/>
      <c r="I304" s="646"/>
      <c r="J304" s="646"/>
      <c r="K304" s="646"/>
      <c r="L304" s="646"/>
      <c r="M304" s="646"/>
      <c r="N304" s="646"/>
      <c r="O304" s="646"/>
    </row>
    <row r="305" ht="14.25" customHeight="1">
      <c r="A305" s="1225" t="s">
        <v>202</v>
      </c>
      <c r="B305" s="1226" t="n">
        <f aca="false">'Saisie et Calculateur'!J217</f>
        <v>0</v>
      </c>
      <c r="C305" s="1227" t="n">
        <v>15</v>
      </c>
      <c r="D305" s="1228" t="n">
        <f aca="false">B305*C305</f>
        <v>0</v>
      </c>
      <c r="E305" s="1164" t="n">
        <v>0</v>
      </c>
      <c r="F305" s="646"/>
      <c r="G305" s="646"/>
      <c r="H305" s="646"/>
      <c r="I305" s="646"/>
      <c r="J305" s="646"/>
      <c r="K305" s="646"/>
      <c r="L305" s="646"/>
      <c r="M305" s="646"/>
      <c r="N305" s="646"/>
      <c r="O305" s="646"/>
    </row>
    <row r="306" ht="14.25" customHeight="1">
      <c r="A306" s="1225" t="s">
        <v>206</v>
      </c>
      <c r="B306" s="1226" t="n">
        <f aca="false">'Saisie et Calculateur'!J218</f>
        <v>0</v>
      </c>
      <c r="C306" s="1227" t="n">
        <v>16</v>
      </c>
      <c r="D306" s="1228" t="n">
        <f aca="false">B306*C306</f>
        <v>0</v>
      </c>
      <c r="E306" s="1164" t="n">
        <v>0</v>
      </c>
      <c r="F306" s="646"/>
      <c r="G306" s="646"/>
      <c r="H306" s="646"/>
      <c r="I306" s="646"/>
      <c r="J306" s="646"/>
      <c r="K306" s="646"/>
      <c r="L306" s="646"/>
      <c r="M306" s="646"/>
      <c r="N306" s="646"/>
      <c r="O306" s="646"/>
    </row>
    <row r="307" ht="14.25" customHeight="1">
      <c r="A307" s="1225" t="s">
        <v>310</v>
      </c>
      <c r="B307" s="1226" t="n">
        <f aca="false">'Saisie et Calculateur'!J219</f>
        <v>0</v>
      </c>
      <c r="C307" s="1227" t="n">
        <v>25</v>
      </c>
      <c r="D307" s="1228" t="n">
        <f aca="false">B307*C307</f>
        <v>0</v>
      </c>
      <c r="E307" s="1164" t="n">
        <v>0</v>
      </c>
      <c r="F307" s="646"/>
      <c r="G307" s="646"/>
      <c r="H307" s="646"/>
      <c r="I307" s="646"/>
      <c r="J307" s="646"/>
      <c r="K307" s="646"/>
      <c r="L307" s="646"/>
      <c r="M307" s="646"/>
      <c r="N307" s="646"/>
      <c r="O307" s="646"/>
    </row>
    <row r="308" ht="14.25" customHeight="1">
      <c r="A308" s="1225" t="s">
        <v>204</v>
      </c>
      <c r="B308" s="1226" t="n">
        <f aca="false">'Saisie et Calculateur'!J220</f>
        <v>0</v>
      </c>
      <c r="C308" s="1227" t="n">
        <v>35</v>
      </c>
      <c r="D308" s="1228" t="n">
        <f aca="false">B308*C308</f>
        <v>0</v>
      </c>
      <c r="E308" s="1161" t="n">
        <v>3</v>
      </c>
      <c r="F308" s="646"/>
      <c r="G308" s="646"/>
      <c r="H308" s="646"/>
      <c r="I308" s="646"/>
      <c r="J308" s="646"/>
      <c r="K308" s="646"/>
      <c r="L308" s="646"/>
      <c r="M308" s="646"/>
      <c r="N308" s="646"/>
      <c r="O308" s="646"/>
      <c r="P308"/>
      <c r="Q308"/>
      <c r="R308"/>
      <c r="S308"/>
    </row>
    <row r="309" ht="14.25" customHeight="1">
      <c r="A309" s="1225" t="s">
        <v>1914</v>
      </c>
      <c r="B309" s="1226" t="n">
        <f aca="false">'Saisie et Calculateur'!J238</f>
        <v>0</v>
      </c>
      <c r="C309" s="1227" t="n">
        <v>26</v>
      </c>
      <c r="D309" s="1228" t="n">
        <f aca="false">B309*C309</f>
        <v>0</v>
      </c>
      <c r="E309" s="1161"/>
      <c r="F309" s="646"/>
      <c r="G309" s="646"/>
      <c r="H309" s="646"/>
      <c r="I309" s="646"/>
      <c r="J309" s="646"/>
      <c r="K309" s="646"/>
      <c r="L309" s="646"/>
      <c r="M309" s="646"/>
      <c r="N309" s="646"/>
      <c r="O309" s="646"/>
      <c r="P309"/>
      <c r="Q309"/>
      <c r="R309"/>
      <c r="S309"/>
    </row>
    <row r="310" ht="14.25" customHeight="1">
      <c r="A310" s="1225" t="s">
        <v>196</v>
      </c>
      <c r="B310" s="1226" t="n">
        <f aca="false">'Saisie et Calculateur'!J251</f>
        <v>0</v>
      </c>
      <c r="C310" s="1227" t="n">
        <v>15</v>
      </c>
      <c r="D310" s="1228" t="n">
        <f aca="false">B310*C310</f>
        <v>0</v>
      </c>
      <c r="E310" s="1161"/>
      <c r="F310" s="646"/>
      <c r="G310" s="646"/>
      <c r="H310" s="646"/>
      <c r="I310" s="646"/>
      <c r="J310" s="646"/>
      <c r="K310" s="646"/>
      <c r="L310" s="646"/>
      <c r="M310" s="646"/>
      <c r="N310" s="646"/>
      <c r="O310" s="646"/>
      <c r="P310"/>
      <c r="Q310"/>
      <c r="R310"/>
      <c r="S310"/>
    </row>
    <row r="311" ht="14.25" customHeight="1">
      <c r="A311" s="1225" t="s">
        <v>198</v>
      </c>
      <c r="B311" s="1226" t="n">
        <f aca="false">'Saisie et Calculateur'!J252</f>
        <v>0</v>
      </c>
      <c r="C311" s="1227" t="n">
        <v>28</v>
      </c>
      <c r="D311" s="1228" t="n">
        <f aca="false">B311*C311</f>
        <v>0</v>
      </c>
      <c r="E311" s="1164"/>
      <c r="F311" s="646"/>
      <c r="G311" s="646"/>
      <c r="H311" s="646"/>
      <c r="I311" s="646"/>
      <c r="J311" s="646"/>
      <c r="K311" s="646"/>
      <c r="L311" s="646"/>
      <c r="M311" s="646"/>
      <c r="N311" s="646"/>
      <c r="O311" s="646"/>
    </row>
    <row r="312" ht="14.25" customHeight="1">
      <c r="A312" s="1225" t="s">
        <v>316</v>
      </c>
      <c r="B312" s="1226" t="n">
        <f aca="false">'Saisie et Calculateur'!J229</f>
        <v>0</v>
      </c>
      <c r="C312" s="1227" t="n">
        <v>16</v>
      </c>
      <c r="D312" s="1228" t="n">
        <f aca="false">B312*C312</f>
        <v>0</v>
      </c>
      <c r="E312" s="1164"/>
      <c r="F312" s="646"/>
      <c r="G312" s="646"/>
      <c r="H312" s="646"/>
      <c r="I312" s="646"/>
      <c r="J312" s="646"/>
      <c r="K312" s="646"/>
      <c r="L312" s="646"/>
      <c r="M312" s="646"/>
      <c r="N312" s="646"/>
      <c r="O312" s="646"/>
    </row>
    <row r="313" ht="14.25" customHeight="1">
      <c r="A313" s="1225" t="s">
        <v>315</v>
      </c>
      <c r="B313" s="1226" t="n">
        <f aca="false">'Saisie et Calculateur'!J228</f>
        <v>0</v>
      </c>
      <c r="C313" s="1227" t="n">
        <v>6</v>
      </c>
      <c r="D313" s="1228" t="n">
        <f aca="false">B313*C313</f>
        <v>0</v>
      </c>
      <c r="E313" s="1223"/>
      <c r="F313" s="646"/>
      <c r="G313" s="646"/>
      <c r="H313" s="646"/>
      <c r="I313" s="646"/>
      <c r="J313" s="646"/>
      <c r="K313" s="646"/>
      <c r="L313" s="646"/>
      <c r="M313" s="646"/>
      <c r="N313" s="646"/>
      <c r="O313" s="646"/>
    </row>
    <row r="314" ht="12.75" customHeight="1">
      <c r="A314" s="1128"/>
      <c r="B314" s="1128"/>
      <c r="C314" s="1128"/>
      <c r="D314" s="646"/>
      <c r="E314" s="646"/>
      <c r="F314" s="646"/>
      <c r="G314" s="1128"/>
      <c r="H314" s="1128"/>
      <c r="I314" s="1128"/>
      <c r="J314" s="1128"/>
      <c r="K314" s="1128"/>
      <c r="L314" s="646"/>
      <c r="M314" s="646"/>
      <c r="N314" s="646"/>
      <c r="O314" s="646"/>
    </row>
    <row r="315" ht="12.75" customHeight="1">
      <c r="A315" s="1128"/>
      <c r="B315" s="840" t="s">
        <v>1244</v>
      </c>
      <c r="C315" s="1168" t="s">
        <v>551</v>
      </c>
      <c r="D315" s="1000" t="n">
        <f aca="false">SUM(D304:D313,D281:D301)</f>
        <v>6956.4</v>
      </c>
      <c r="E315" s="1128"/>
      <c r="F315" s="1128"/>
      <c r="G315" s="1128"/>
      <c r="H315" s="1128"/>
      <c r="I315" s="1128"/>
      <c r="J315" s="1128"/>
      <c r="K315" s="1128"/>
      <c r="L315" s="646"/>
      <c r="M315" s="646"/>
      <c r="N315" s="646"/>
      <c r="O315" s="646"/>
    </row>
    <row r="316" ht="12.75" customHeight="1">
      <c r="A316" s="1128"/>
      <c r="B316" s="1128"/>
      <c r="C316" s="1128"/>
      <c r="D316" s="1128"/>
      <c r="E316" s="1128"/>
      <c r="F316" s="1128"/>
      <c r="G316" s="1128"/>
      <c r="H316" s="1128"/>
      <c r="I316" s="1128"/>
      <c r="J316" s="1128"/>
      <c r="K316" s="1128"/>
      <c r="L316" s="646"/>
      <c r="M316" s="646"/>
      <c r="N316" s="646"/>
      <c r="O316" s="646"/>
    </row>
    <row r="317" ht="12.75" customHeight="1">
      <c r="A317" s="1128"/>
      <c r="B317" s="1128"/>
      <c r="C317" s="1128"/>
      <c r="D317" s="1128"/>
      <c r="E317" s="1128"/>
      <c r="F317" s="1128"/>
      <c r="G317" s="1128"/>
      <c r="H317" s="1128"/>
      <c r="I317" s="1128"/>
      <c r="J317" s="1128"/>
      <c r="K317" s="1128"/>
      <c r="L317" s="646"/>
      <c r="M317" s="646"/>
      <c r="N317" s="646"/>
      <c r="O317" s="646"/>
    </row>
    <row r="318" ht="12.75" customHeight="1">
      <c r="A318" s="1128"/>
      <c r="B318" s="1128"/>
      <c r="C318" s="1128"/>
      <c r="D318" s="1128"/>
      <c r="E318" s="1128"/>
      <c r="F318" s="1128"/>
      <c r="G318" s="1128"/>
      <c r="H318" s="1128"/>
      <c r="I318" s="1128"/>
      <c r="J318" s="1128"/>
      <c r="K318" s="1128"/>
      <c r="L318" s="646"/>
      <c r="M318" s="646"/>
      <c r="N318" s="646"/>
      <c r="O318" s="646"/>
    </row>
    <row r="319" ht="20.25" customHeight="1">
      <c r="A319" s="1156" t="s">
        <v>1915</v>
      </c>
      <c r="B319" s="1156"/>
      <c r="C319" s="1156"/>
      <c r="D319" s="1156"/>
      <c r="E319" s="1156"/>
      <c r="F319" s="1156"/>
      <c r="G319" s="1156"/>
      <c r="H319" s="1156"/>
      <c r="I319" s="1156"/>
      <c r="J319" s="1128"/>
      <c r="K319" s="1128"/>
      <c r="L319" s="646"/>
      <c r="M319" s="646"/>
      <c r="N319" s="646"/>
      <c r="O319" s="646"/>
    </row>
    <row r="320" ht="12.75" customHeight="1">
      <c r="A320" s="1128"/>
      <c r="B320" s="1128"/>
      <c r="C320" s="1128"/>
      <c r="D320" s="1128"/>
      <c r="E320" s="1128"/>
      <c r="F320" s="1128"/>
      <c r="G320" s="1128"/>
      <c r="H320" s="1128"/>
      <c r="I320" s="1128"/>
      <c r="J320" s="1128"/>
      <c r="K320" s="1128"/>
      <c r="L320" s="646"/>
      <c r="M320" s="646"/>
      <c r="N320" s="646"/>
      <c r="O320" s="646"/>
    </row>
    <row r="321" ht="12.75" customHeight="1">
      <c r="A321" s="1230"/>
      <c r="B321" s="1220"/>
      <c r="C321" s="1231"/>
      <c r="D321" s="1231"/>
      <c r="E321" s="1128"/>
      <c r="F321" s="1128"/>
      <c r="G321" s="1128"/>
      <c r="H321" s="1128"/>
      <c r="I321" s="1128"/>
      <c r="J321" s="1128"/>
      <c r="K321" s="1128"/>
      <c r="L321" s="646"/>
      <c r="M321" s="646"/>
      <c r="N321" s="646"/>
      <c r="O321" s="646"/>
    </row>
    <row r="322" ht="25.5" customHeight="1">
      <c r="A322" s="1173" t="s">
        <v>1916</v>
      </c>
      <c r="B322" s="1173" t="s">
        <v>1917</v>
      </c>
      <c r="C322" s="840" t="s">
        <v>406</v>
      </c>
      <c r="D322" s="840" t="s">
        <v>406</v>
      </c>
      <c r="E322" s="1159" t="s">
        <v>1827</v>
      </c>
      <c r="F322" s="1128"/>
      <c r="G322" s="1128"/>
      <c r="H322" s="646"/>
      <c r="I322" s="646"/>
      <c r="J322" s="646"/>
      <c r="K322" s="646"/>
      <c r="L322" s="646"/>
      <c r="M322" s="646"/>
      <c r="N322" s="646"/>
      <c r="O322" s="646"/>
    </row>
    <row r="323" ht="54" customHeight="1">
      <c r="A323" s="1232"/>
      <c r="B323" s="1177" t="s">
        <v>1918</v>
      </c>
      <c r="C323" s="1233" t="s">
        <v>1919</v>
      </c>
      <c r="D323" s="1168" t="s">
        <v>1862</v>
      </c>
      <c r="E323" s="1161"/>
      <c r="F323" s="1128"/>
      <c r="G323" s="1128"/>
      <c r="H323" s="646"/>
      <c r="I323" s="646"/>
      <c r="J323" s="646"/>
      <c r="K323" s="646"/>
      <c r="L323" s="646"/>
      <c r="M323" s="646"/>
      <c r="N323" s="646"/>
      <c r="O323" s="646"/>
    </row>
    <row r="324" ht="12.75" customHeight="1">
      <c r="A324" s="584" t="s">
        <v>1920</v>
      </c>
      <c r="B324" s="510"/>
      <c r="C324" s="1234" t="n">
        <v>4.5</v>
      </c>
      <c r="D324" s="1235" t="n">
        <f aca="false">$B324*C324</f>
        <v>0</v>
      </c>
      <c r="E324" s="1164" t="n">
        <v>0</v>
      </c>
      <c r="F324" s="646"/>
      <c r="G324" s="646"/>
      <c r="H324" s="1186"/>
      <c r="I324" s="646"/>
      <c r="J324" s="646"/>
      <c r="K324" s="646"/>
      <c r="L324" s="646"/>
      <c r="M324" s="646"/>
      <c r="N324" s="646"/>
      <c r="O324" s="646"/>
    </row>
    <row r="325" ht="15.75" customHeight="1">
      <c r="A325" s="584" t="s">
        <v>1921</v>
      </c>
      <c r="B325" s="510"/>
      <c r="C325" s="1234" t="n">
        <v>0.800000011920929</v>
      </c>
      <c r="D325" s="1235" t="n">
        <f aca="false">$B325*C325</f>
        <v>0</v>
      </c>
      <c r="E325" s="1164" t="n">
        <v>0</v>
      </c>
      <c r="F325" s="646"/>
      <c r="G325" s="646"/>
      <c r="H325" s="646"/>
      <c r="I325" s="646"/>
      <c r="J325" s="646"/>
      <c r="K325" s="646"/>
      <c r="L325" s="646"/>
      <c r="M325" s="646"/>
      <c r="N325" s="646"/>
      <c r="O325" s="646"/>
    </row>
    <row r="326" ht="12.75" customHeight="1">
      <c r="A326" s="584" t="s">
        <v>1922</v>
      </c>
      <c r="B326" s="510"/>
      <c r="C326" s="1234" t="n">
        <v>5</v>
      </c>
      <c r="D326" s="1235" t="n">
        <f aca="false">$B326*C326</f>
        <v>0</v>
      </c>
      <c r="E326" s="1164" t="n">
        <v>0</v>
      </c>
      <c r="F326" s="646"/>
      <c r="G326" s="646"/>
      <c r="H326" s="646"/>
      <c r="I326" s="646"/>
      <c r="J326" s="646"/>
      <c r="K326" s="646"/>
      <c r="L326" s="646"/>
      <c r="M326" s="646"/>
      <c r="N326" s="646"/>
      <c r="O326" s="646"/>
    </row>
    <row r="327" ht="12.75" customHeight="1">
      <c r="A327" s="584" t="s">
        <v>1923</v>
      </c>
      <c r="B327" s="510"/>
      <c r="C327" s="1234" t="n">
        <v>6.09999990463257</v>
      </c>
      <c r="D327" s="1235" t="n">
        <f aca="false">$B327*C327</f>
        <v>0</v>
      </c>
      <c r="E327" s="1164" t="n">
        <v>0</v>
      </c>
      <c r="F327" s="646"/>
      <c r="G327" s="646"/>
      <c r="H327" s="646"/>
      <c r="I327" s="646"/>
      <c r="J327" s="646"/>
      <c r="K327" s="646"/>
      <c r="L327" s="646"/>
      <c r="M327" s="646"/>
      <c r="N327" s="646"/>
      <c r="O327" s="646"/>
    </row>
    <row r="328" ht="12.75" customHeight="1">
      <c r="A328" s="584" t="s">
        <v>1924</v>
      </c>
      <c r="B328" s="510"/>
      <c r="C328" s="1234" t="n">
        <v>1.6</v>
      </c>
      <c r="D328" s="1235" t="n">
        <f aca="false">$B328*C328</f>
        <v>0</v>
      </c>
      <c r="E328" s="1164" t="n">
        <v>0</v>
      </c>
      <c r="F328" s="646"/>
      <c r="G328" s="646"/>
      <c r="H328" s="646"/>
      <c r="I328" s="646"/>
      <c r="J328" s="646"/>
      <c r="K328" s="646"/>
      <c r="L328" s="646"/>
      <c r="M328" s="646"/>
      <c r="N328" s="646"/>
      <c r="O328" s="646"/>
    </row>
    <row r="329" ht="12.75" customHeight="1">
      <c r="A329" s="584" t="s">
        <v>1925</v>
      </c>
      <c r="B329" s="510"/>
      <c r="C329" s="1234" t="n">
        <v>1.7</v>
      </c>
      <c r="D329" s="1235" t="n">
        <f aca="false">$B329*C329</f>
        <v>0</v>
      </c>
      <c r="E329" s="1164" t="n">
        <v>0</v>
      </c>
      <c r="F329" s="646"/>
      <c r="G329" s="646"/>
      <c r="H329" s="646"/>
      <c r="I329" s="646"/>
      <c r="J329" s="646"/>
      <c r="K329" s="646"/>
      <c r="L329" s="646"/>
      <c r="M329" s="646"/>
      <c r="N329" s="646"/>
      <c r="O329" s="646"/>
    </row>
    <row r="330" ht="12.75" customHeight="1">
      <c r="A330" s="584" t="s">
        <v>1926</v>
      </c>
      <c r="B330" s="510"/>
      <c r="C330" s="1234" t="n">
        <v>1.1</v>
      </c>
      <c r="D330" s="1235" t="n">
        <f aca="false">$B330*C330</f>
        <v>0</v>
      </c>
      <c r="E330" s="1164" t="n">
        <v>0</v>
      </c>
      <c r="F330" s="646"/>
      <c r="G330" s="646"/>
      <c r="H330" s="646"/>
      <c r="I330" s="646"/>
      <c r="J330" s="646"/>
      <c r="K330" s="646"/>
      <c r="L330" s="646"/>
      <c r="M330" s="646"/>
      <c r="N330" s="646"/>
      <c r="O330" s="646"/>
      <c r="P330" s="646"/>
      <c r="Q330" s="646"/>
      <c r="R330" s="646"/>
    </row>
    <row r="331" ht="12.75" customHeight="1">
      <c r="A331" s="584" t="s">
        <v>1927</v>
      </c>
      <c r="B331" s="510"/>
      <c r="C331" s="1234" t="n">
        <v>1.20000004768372</v>
      </c>
      <c r="D331" s="1235" t="n">
        <f aca="false">$B331*C331</f>
        <v>0</v>
      </c>
      <c r="E331" s="1164" t="n">
        <v>0</v>
      </c>
      <c r="F331" s="646"/>
      <c r="G331" s="646"/>
      <c r="H331" s="646"/>
      <c r="I331" s="646"/>
      <c r="J331" s="646"/>
      <c r="K331" s="646"/>
      <c r="L331" s="646"/>
      <c r="M331" s="646"/>
      <c r="N331" s="646"/>
      <c r="O331" s="646"/>
    </row>
    <row r="332" ht="12.75" customHeight="1">
      <c r="A332" s="584" t="s">
        <v>1928</v>
      </c>
      <c r="B332" s="510"/>
      <c r="C332" s="1234" t="n">
        <v>1.79999995231628</v>
      </c>
      <c r="D332" s="1235" t="n">
        <f aca="false">$B332*C332</f>
        <v>0</v>
      </c>
      <c r="E332" s="1164" t="n">
        <v>0</v>
      </c>
      <c r="F332" s="646"/>
      <c r="G332" s="646"/>
      <c r="H332" s="1128"/>
      <c r="I332" s="646"/>
      <c r="J332" s="646"/>
      <c r="K332" s="646"/>
      <c r="L332" s="646"/>
      <c r="M332" s="646"/>
      <c r="N332" s="646"/>
      <c r="O332" s="646"/>
    </row>
    <row r="333" ht="25.5" customHeight="1">
      <c r="A333" s="584" t="s">
        <v>1929</v>
      </c>
      <c r="B333" s="510"/>
      <c r="C333" s="1234" t="n">
        <v>2.6</v>
      </c>
      <c r="D333" s="1235" t="n">
        <f aca="false">$B333*C333</f>
        <v>0</v>
      </c>
      <c r="E333" s="1164" t="n">
        <v>0</v>
      </c>
      <c r="F333" s="646"/>
      <c r="G333" s="646"/>
      <c r="H333" s="1128"/>
      <c r="I333" s="646"/>
      <c r="J333" s="646"/>
      <c r="K333" s="646"/>
      <c r="L333" s="646"/>
      <c r="M333" s="646"/>
      <c r="N333" s="646"/>
      <c r="O333" s="646"/>
    </row>
    <row r="334" ht="28.5" customHeight="1">
      <c r="A334" s="584" t="s">
        <v>1930</v>
      </c>
      <c r="B334" s="510"/>
      <c r="C334" s="1234" t="n">
        <v>11.1</v>
      </c>
      <c r="D334" s="1235" t="n">
        <f aca="false">$B334*C334</f>
        <v>0</v>
      </c>
      <c r="E334" s="1164" t="n">
        <v>0</v>
      </c>
      <c r="F334" s="646"/>
      <c r="G334" s="646"/>
      <c r="H334" s="1128"/>
      <c r="I334" s="646"/>
      <c r="J334" s="646"/>
      <c r="K334" s="646"/>
      <c r="L334" s="646"/>
      <c r="M334" s="646"/>
      <c r="N334" s="646"/>
      <c r="O334" s="646"/>
    </row>
    <row r="335" ht="28.5" customHeight="1">
      <c r="A335" s="584" t="s">
        <v>1931</v>
      </c>
      <c r="B335" s="510"/>
      <c r="C335" s="1234" t="n">
        <v>5.9</v>
      </c>
      <c r="D335" s="1235" t="n">
        <f aca="false">$B335*C335</f>
        <v>0</v>
      </c>
      <c r="E335" s="1164" t="n">
        <v>0</v>
      </c>
      <c r="F335" s="646"/>
      <c r="G335" s="646"/>
      <c r="H335" s="1128"/>
      <c r="I335" s="646"/>
      <c r="J335" s="646"/>
      <c r="K335" s="646"/>
      <c r="L335" s="646"/>
      <c r="M335" s="646"/>
      <c r="N335" s="646"/>
      <c r="O335" s="646"/>
    </row>
    <row r="336" ht="12.75" customHeight="1">
      <c r="A336" s="584" t="s">
        <v>1932</v>
      </c>
      <c r="B336" s="510"/>
      <c r="C336" s="1234" t="n">
        <v>2.6</v>
      </c>
      <c r="D336" s="1235" t="n">
        <f aca="false">$B336*C336</f>
        <v>0</v>
      </c>
      <c r="E336" s="1164" t="n">
        <v>0</v>
      </c>
      <c r="F336" s="646"/>
      <c r="G336" s="646"/>
      <c r="H336" s="1128"/>
      <c r="I336" s="646"/>
      <c r="J336" s="646"/>
      <c r="K336" s="646"/>
      <c r="L336" s="646"/>
      <c r="M336" s="646"/>
      <c r="N336" s="646"/>
      <c r="O336" s="646"/>
    </row>
    <row r="337" ht="12.75" customHeight="1">
      <c r="A337" s="584" t="s">
        <v>1933</v>
      </c>
      <c r="B337" s="510"/>
      <c r="C337" s="1234" t="n">
        <v>2.1</v>
      </c>
      <c r="D337" s="1235" t="n">
        <f aca="false">$B337*C337</f>
        <v>0</v>
      </c>
      <c r="E337" s="1164" t="n">
        <v>0</v>
      </c>
      <c r="F337" s="646"/>
      <c r="G337" s="646"/>
      <c r="H337" s="1128"/>
      <c r="I337" s="646"/>
      <c r="J337" s="646"/>
      <c r="K337" s="646"/>
      <c r="L337" s="646"/>
      <c r="M337" s="646"/>
      <c r="N337" s="646"/>
      <c r="O337" s="646"/>
    </row>
    <row r="338" ht="15" customHeight="1">
      <c r="A338" s="584" t="s">
        <v>1934</v>
      </c>
      <c r="B338" s="510"/>
      <c r="C338" s="1234" t="n">
        <v>2.29999995231628</v>
      </c>
      <c r="D338" s="1235" t="n">
        <f aca="false">$B338*C338</f>
        <v>0</v>
      </c>
      <c r="E338" s="1164" t="n">
        <v>0</v>
      </c>
      <c r="F338" s="646"/>
      <c r="G338" s="646"/>
      <c r="J338" s="646"/>
      <c r="K338" s="646"/>
      <c r="L338" s="646"/>
      <c r="M338" s="646"/>
      <c r="N338" s="646"/>
      <c r="O338" s="646"/>
    </row>
    <row r="339" ht="15" customHeight="1">
      <c r="A339" s="584" t="s">
        <v>1935</v>
      </c>
      <c r="B339" s="510"/>
      <c r="C339" s="1234" t="n">
        <v>1.83469626844343</v>
      </c>
      <c r="D339" s="1235" t="n">
        <f aca="false">$B339*C339</f>
        <v>0</v>
      </c>
      <c r="E339" s="1164" t="n">
        <v>0</v>
      </c>
      <c r="F339" s="646"/>
      <c r="G339" s="646"/>
      <c r="J339" s="646"/>
      <c r="K339" s="646"/>
      <c r="L339" s="646"/>
      <c r="M339" s="646"/>
      <c r="N339" s="646"/>
      <c r="O339" s="646"/>
    </row>
    <row r="340" ht="15" customHeight="1">
      <c r="A340" s="584" t="s">
        <v>1936</v>
      </c>
      <c r="B340" s="510"/>
      <c r="C340" s="1234" t="n">
        <v>1.24118055555556</v>
      </c>
      <c r="D340" s="1235" t="n">
        <f aca="false">$B340*C340</f>
        <v>0</v>
      </c>
      <c r="E340" s="1164" t="n">
        <v>0</v>
      </c>
      <c r="F340" s="646"/>
      <c r="G340" s="646"/>
      <c r="J340" s="646"/>
      <c r="K340" s="646"/>
      <c r="L340" s="646"/>
      <c r="M340" s="646"/>
      <c r="N340" s="646"/>
      <c r="O340" s="646"/>
    </row>
    <row r="341" ht="12.75" customHeight="1">
      <c r="A341" s="584" t="s">
        <v>1937</v>
      </c>
      <c r="B341" s="510"/>
      <c r="C341" s="1234" t="n">
        <v>3.59999990463257</v>
      </c>
      <c r="D341" s="1235" t="n">
        <f aca="false">$B341*C341</f>
        <v>0</v>
      </c>
      <c r="E341" s="1164" t="n">
        <v>0</v>
      </c>
      <c r="F341" s="646"/>
      <c r="G341" s="646"/>
      <c r="H341" s="1128"/>
      <c r="I341" s="646"/>
      <c r="J341" s="646"/>
      <c r="K341" s="646"/>
      <c r="L341" s="646"/>
      <c r="M341" s="646"/>
      <c r="N341" s="646"/>
      <c r="O341" s="646"/>
    </row>
    <row r="342" ht="12.75" customHeight="1">
      <c r="A342" s="584" t="s">
        <v>1938</v>
      </c>
      <c r="B342" s="510"/>
      <c r="C342" s="1234" t="n">
        <v>3.59999990463257</v>
      </c>
      <c r="D342" s="1235" t="n">
        <f aca="false">$B342*C342</f>
        <v>0</v>
      </c>
      <c r="E342" s="1164" t="n">
        <v>0</v>
      </c>
      <c r="F342" s="646"/>
      <c r="G342" s="646"/>
      <c r="H342" s="1128"/>
      <c r="I342" s="646"/>
      <c r="J342" s="646"/>
      <c r="K342" s="646"/>
      <c r="L342" s="646"/>
      <c r="M342" s="646"/>
      <c r="N342" s="646"/>
      <c r="O342" s="646"/>
    </row>
    <row r="343" ht="12.75" customHeight="1">
      <c r="A343" s="584" t="s">
        <v>1939</v>
      </c>
      <c r="B343" s="510"/>
      <c r="C343" s="1234" t="n">
        <v>10.8000001907349</v>
      </c>
      <c r="D343" s="1235" t="n">
        <f aca="false">$B343*C343</f>
        <v>0</v>
      </c>
      <c r="E343" s="1164" t="n">
        <v>0</v>
      </c>
      <c r="F343" s="646"/>
      <c r="G343" s="646"/>
      <c r="H343" s="1128"/>
      <c r="I343" s="646"/>
      <c r="J343" s="646"/>
      <c r="K343" s="646"/>
      <c r="L343" s="646"/>
      <c r="M343" s="646"/>
      <c r="N343" s="646"/>
      <c r="O343" s="646"/>
      <c r="P343" s="646"/>
      <c r="Q343" s="646"/>
      <c r="R343" s="646"/>
    </row>
    <row r="344" ht="25.5" customHeight="1">
      <c r="A344" s="584" t="s">
        <v>1940</v>
      </c>
      <c r="B344" s="510"/>
      <c r="C344" s="1234" t="n">
        <v>1.29999995231628</v>
      </c>
      <c r="D344" s="1235" t="n">
        <f aca="false">$B344*C344</f>
        <v>0</v>
      </c>
      <c r="E344" s="1164" t="n">
        <v>0</v>
      </c>
      <c r="F344" s="646"/>
      <c r="G344" s="646"/>
      <c r="H344" s="1128"/>
      <c r="I344" s="646"/>
      <c r="J344" s="646"/>
      <c r="K344" s="646"/>
      <c r="L344" s="646"/>
      <c r="M344" s="646"/>
      <c r="N344" s="646"/>
      <c r="O344" s="646"/>
    </row>
    <row r="345" ht="12.75" customHeight="1">
      <c r="A345" s="584" t="s">
        <v>1182</v>
      </c>
      <c r="B345" s="510"/>
      <c r="C345" s="1234" t="n">
        <v>2.9</v>
      </c>
      <c r="D345" s="1235" t="n">
        <f aca="false">$B345*C345</f>
        <v>0</v>
      </c>
      <c r="E345" s="1164" t="n">
        <v>0</v>
      </c>
      <c r="F345" s="646"/>
      <c r="G345" s="646"/>
      <c r="H345" s="1128"/>
      <c r="I345" s="646"/>
      <c r="J345" s="646"/>
      <c r="K345" s="646"/>
      <c r="L345" s="646"/>
      <c r="M345" s="646"/>
      <c r="N345" s="646"/>
      <c r="O345" s="646"/>
    </row>
    <row r="346" ht="12.75" customHeight="1">
      <c r="A346" s="584" t="s">
        <v>1941</v>
      </c>
      <c r="B346" s="510"/>
      <c r="C346" s="1234" t="n">
        <v>3</v>
      </c>
      <c r="D346" s="1235" t="n">
        <f aca="false">$B346*C346</f>
        <v>0</v>
      </c>
      <c r="E346" s="1164" t="n">
        <v>0</v>
      </c>
      <c r="F346" s="646"/>
      <c r="G346" s="646"/>
      <c r="H346" s="1128"/>
      <c r="I346" s="646"/>
      <c r="J346" s="646"/>
      <c r="K346" s="646"/>
      <c r="L346" s="646"/>
      <c r="M346" s="646"/>
      <c r="N346" s="646"/>
      <c r="O346" s="646"/>
    </row>
    <row r="347" ht="12.75" customHeight="1">
      <c r="A347" s="584" t="s">
        <v>1942</v>
      </c>
      <c r="B347" s="510"/>
      <c r="C347" s="1234" t="n">
        <v>33</v>
      </c>
      <c r="D347" s="1235" t="n">
        <f aca="false">$B347*C347</f>
        <v>0</v>
      </c>
      <c r="E347" s="1164" t="n">
        <v>0</v>
      </c>
      <c r="F347" s="646"/>
      <c r="G347" s="646"/>
      <c r="H347" s="1128"/>
      <c r="I347" s="646"/>
      <c r="J347" s="646"/>
      <c r="K347" s="646"/>
      <c r="L347" s="646"/>
      <c r="M347" s="646"/>
      <c r="N347" s="646"/>
      <c r="O347" s="646"/>
    </row>
    <row r="348" ht="15.75" customHeight="1">
      <c r="A348" s="584" t="s">
        <v>1943</v>
      </c>
      <c r="B348" s="510"/>
      <c r="C348" s="1234" t="n">
        <v>2</v>
      </c>
      <c r="D348" s="1235" t="n">
        <f aca="false">$B348*C348</f>
        <v>0</v>
      </c>
      <c r="E348" s="1164" t="n">
        <v>0</v>
      </c>
      <c r="F348" s="646"/>
      <c r="G348" s="646"/>
      <c r="H348" s="1128"/>
      <c r="I348" s="646"/>
      <c r="J348" s="646"/>
      <c r="K348" s="646"/>
      <c r="L348" s="646"/>
      <c r="M348" s="646"/>
      <c r="N348" s="646"/>
      <c r="O348" s="646"/>
    </row>
    <row r="349" ht="12.75" customHeight="1">
      <c r="A349" s="584" t="s">
        <v>1944</v>
      </c>
      <c r="B349" s="510"/>
      <c r="C349" s="1234" t="n">
        <v>2.79999995231628</v>
      </c>
      <c r="D349" s="1235" t="n">
        <f aca="false">$B349*C349</f>
        <v>0</v>
      </c>
      <c r="E349" s="1164" t="n">
        <v>0</v>
      </c>
      <c r="F349" s="646"/>
      <c r="G349" s="646"/>
      <c r="H349" s="646"/>
      <c r="I349" s="646"/>
      <c r="J349" s="646"/>
      <c r="K349" s="646"/>
      <c r="L349" s="646"/>
      <c r="M349" s="646"/>
      <c r="N349" s="646"/>
      <c r="O349" s="646"/>
    </row>
    <row r="350" ht="12.75" customHeight="1">
      <c r="A350" s="584" t="s">
        <v>1945</v>
      </c>
      <c r="B350" s="510"/>
      <c r="C350" s="1234" t="n">
        <v>2.6</v>
      </c>
      <c r="D350" s="1235" t="n">
        <f aca="false">$B350*C350</f>
        <v>0</v>
      </c>
      <c r="E350" s="1164" t="n">
        <v>0</v>
      </c>
      <c r="F350" s="646"/>
      <c r="G350" s="646"/>
      <c r="H350" s="646"/>
      <c r="I350" s="646"/>
      <c r="J350" s="646"/>
      <c r="K350" s="646"/>
      <c r="L350" s="646"/>
      <c r="M350" s="646"/>
      <c r="N350" s="646"/>
      <c r="O350" s="646"/>
    </row>
    <row r="351" ht="12.75" customHeight="1">
      <c r="A351" s="584" t="s">
        <v>1946</v>
      </c>
      <c r="B351" s="510"/>
      <c r="C351" s="1234" t="n">
        <v>2.29999995231628</v>
      </c>
      <c r="D351" s="1235" t="n">
        <f aca="false">$B351*C351</f>
        <v>0</v>
      </c>
      <c r="E351" s="1164" t="n">
        <v>0</v>
      </c>
      <c r="F351" s="646"/>
      <c r="G351" s="646"/>
      <c r="H351" s="646"/>
      <c r="I351" s="646"/>
      <c r="J351" s="646"/>
      <c r="K351" s="646"/>
      <c r="L351" s="646"/>
      <c r="M351" s="646"/>
      <c r="N351" s="646"/>
      <c r="O351" s="646"/>
    </row>
    <row r="352" ht="12.75" customHeight="1">
      <c r="A352" s="584" t="s">
        <v>1947</v>
      </c>
      <c r="B352" s="510"/>
      <c r="C352" s="1234" t="n">
        <v>3.29999995231628</v>
      </c>
      <c r="D352" s="1235" t="n">
        <f aca="false">$B352*C352</f>
        <v>0</v>
      </c>
      <c r="E352" s="1164" t="n">
        <v>0</v>
      </c>
      <c r="F352" s="646"/>
      <c r="G352" s="646"/>
      <c r="H352" s="646"/>
      <c r="I352" s="646"/>
      <c r="J352" s="646"/>
      <c r="K352" s="646"/>
      <c r="L352" s="646"/>
      <c r="M352" s="646"/>
      <c r="N352" s="646"/>
      <c r="O352" s="646"/>
    </row>
    <row r="353" ht="12.75" customHeight="1">
      <c r="A353" s="584" t="s">
        <v>1948</v>
      </c>
      <c r="B353" s="510"/>
      <c r="C353" s="1234" t="n">
        <v>10.7</v>
      </c>
      <c r="D353" s="1235" t="n">
        <f aca="false">$B353*C353</f>
        <v>0</v>
      </c>
      <c r="E353" s="1164" t="n">
        <v>0</v>
      </c>
      <c r="F353" s="646"/>
      <c r="G353" s="646"/>
      <c r="H353" s="646"/>
      <c r="I353" s="646"/>
      <c r="J353" s="646"/>
      <c r="K353" s="646"/>
      <c r="L353" s="646"/>
      <c r="M353" s="646"/>
      <c r="N353" s="646"/>
      <c r="O353" s="646"/>
      <c r="P353" s="646"/>
      <c r="Q353" s="646"/>
      <c r="R353" s="646"/>
      <c r="S353" s="646"/>
      <c r="T353" s="646"/>
      <c r="U353" s="646"/>
    </row>
    <row r="354" ht="25.5" customHeight="1">
      <c r="A354" s="584" t="s">
        <v>1949</v>
      </c>
      <c r="B354" s="510"/>
      <c r="C354" s="1234" t="n">
        <v>3.2</v>
      </c>
      <c r="D354" s="1235" t="n">
        <f aca="false">$B354*C354</f>
        <v>0</v>
      </c>
      <c r="E354" s="1164" t="n">
        <v>0</v>
      </c>
      <c r="F354" s="646"/>
      <c r="G354" s="646"/>
      <c r="H354" s="646"/>
      <c r="I354" s="646"/>
      <c r="J354" s="646"/>
      <c r="K354" s="646"/>
      <c r="L354" s="646"/>
      <c r="M354" s="646"/>
      <c r="N354" s="646"/>
      <c r="O354" s="646"/>
    </row>
    <row r="355" ht="12.75" customHeight="1">
      <c r="A355" s="584" t="s">
        <v>1950</v>
      </c>
      <c r="B355" s="510"/>
      <c r="C355" s="1234" t="n">
        <v>3.2</v>
      </c>
      <c r="D355" s="1235" t="n">
        <f aca="false">$B355*C355</f>
        <v>0</v>
      </c>
      <c r="E355" s="1164" t="n">
        <v>0</v>
      </c>
      <c r="F355" s="646"/>
      <c r="G355" s="646"/>
      <c r="H355" s="1128"/>
      <c r="I355" s="646"/>
      <c r="J355" s="646"/>
      <c r="K355" s="646"/>
      <c r="L355" s="646"/>
      <c r="M355" s="646"/>
      <c r="N355" s="646"/>
      <c r="O355" s="646"/>
    </row>
    <row r="356" ht="14.65" customHeight="1">
      <c r="A356" s="584" t="s">
        <v>1951</v>
      </c>
      <c r="B356" s="510"/>
      <c r="C356" s="1234" t="n">
        <v>1.8</v>
      </c>
      <c r="D356" s="1235" t="n">
        <f aca="false">$B356*C356</f>
        <v>0</v>
      </c>
      <c r="E356" s="1164" t="n">
        <v>0</v>
      </c>
      <c r="F356" s="646"/>
      <c r="G356" s="646"/>
      <c r="H356" s="1128"/>
      <c r="I356" s="646"/>
      <c r="J356" s="646"/>
      <c r="K356" s="646"/>
      <c r="L356" s="646"/>
      <c r="M356" s="646"/>
      <c r="N356" s="646"/>
      <c r="O356" s="646"/>
    </row>
    <row r="357" ht="25.35" customHeight="1">
      <c r="A357" s="584" t="s">
        <v>1952</v>
      </c>
      <c r="B357" s="510"/>
      <c r="C357" s="1234" t="n">
        <v>1.6</v>
      </c>
      <c r="D357" s="1235" t="n">
        <f aca="false">$B357*C357</f>
        <v>0</v>
      </c>
      <c r="E357" s="1161" t="n">
        <v>2</v>
      </c>
      <c r="F357" s="646" t="s">
        <v>1953</v>
      </c>
      <c r="G357" s="646"/>
      <c r="H357" s="646"/>
      <c r="I357" s="646"/>
      <c r="J357" s="646"/>
      <c r="K357" s="646"/>
      <c r="L357" s="646"/>
      <c r="M357" s="646"/>
      <c r="N357" s="646"/>
      <c r="O357" s="646"/>
    </row>
    <row r="358" ht="38.25" customHeight="1">
      <c r="A358" s="584" t="s">
        <v>1954</v>
      </c>
      <c r="B358" s="510"/>
      <c r="C358" s="510"/>
      <c r="D358" s="1235" t="n">
        <f aca="false">$B358*C358</f>
        <v>0</v>
      </c>
      <c r="E358" s="1161"/>
      <c r="F358" s="646" t="s">
        <v>1955</v>
      </c>
      <c r="G358" s="646"/>
      <c r="H358" s="646"/>
      <c r="I358" s="646"/>
      <c r="J358" s="646"/>
      <c r="K358" s="646"/>
      <c r="L358" s="646"/>
      <c r="M358" s="1236" t="s">
        <v>1956</v>
      </c>
      <c r="N358" s="646"/>
      <c r="O358" s="646"/>
    </row>
    <row r="359" ht="38.25" customHeight="1">
      <c r="A359" s="584" t="s">
        <v>1957</v>
      </c>
      <c r="B359" s="510"/>
      <c r="C359" s="510"/>
      <c r="D359" s="1235" t="n">
        <f aca="false">$B359*C359</f>
        <v>0</v>
      </c>
      <c r="E359" s="1161"/>
      <c r="F359" s="646" t="s">
        <v>1958</v>
      </c>
      <c r="G359" s="646"/>
      <c r="H359" s="646"/>
      <c r="I359" s="646"/>
      <c r="J359" s="646"/>
      <c r="K359" s="646"/>
      <c r="L359" s="646"/>
      <c r="M359" s="1236" t="s">
        <v>1956</v>
      </c>
      <c r="N359" s="646"/>
      <c r="O359" s="646"/>
    </row>
    <row r="360" ht="15.6" customHeight="1">
      <c r="A360" s="584" t="s">
        <v>1959</v>
      </c>
      <c r="B360" s="510"/>
      <c r="C360" s="1234" t="n">
        <v>0.7</v>
      </c>
      <c r="D360" s="1235" t="n">
        <f aca="false">$B360*C360</f>
        <v>0</v>
      </c>
      <c r="E360" s="1164" t="n">
        <v>0</v>
      </c>
      <c r="F360" s="646"/>
      <c r="G360" s="646"/>
      <c r="H360" s="1128"/>
      <c r="I360" s="646"/>
      <c r="J360" s="646"/>
      <c r="K360" s="646"/>
      <c r="L360" s="646"/>
      <c r="M360" s="646"/>
      <c r="N360" s="646"/>
      <c r="O360" s="646"/>
    </row>
    <row r="361" ht="12.75" customHeight="1">
      <c r="A361" s="584" t="s">
        <v>1877</v>
      </c>
      <c r="B361" s="510"/>
      <c r="C361" s="1234" t="n">
        <v>71</v>
      </c>
      <c r="D361" s="1235" t="n">
        <f aca="false">$B361*C361</f>
        <v>0</v>
      </c>
      <c r="E361" s="1164" t="n">
        <v>0</v>
      </c>
      <c r="F361" s="646"/>
      <c r="G361" s="646"/>
      <c r="H361" s="1128"/>
      <c r="I361" s="646"/>
      <c r="J361" s="646"/>
      <c r="K361" s="646"/>
      <c r="L361" s="646"/>
      <c r="M361" s="646"/>
      <c r="N361" s="646"/>
      <c r="O361" s="646"/>
    </row>
    <row r="362" ht="12.75" customHeight="1">
      <c r="A362" s="584" t="s">
        <v>1960</v>
      </c>
      <c r="B362" s="510"/>
      <c r="C362" s="1234" t="n">
        <v>23</v>
      </c>
      <c r="D362" s="1235" t="n">
        <f aca="false">$B362*C362</f>
        <v>0</v>
      </c>
      <c r="E362" s="1164" t="n">
        <v>0</v>
      </c>
      <c r="F362" s="646"/>
      <c r="G362" s="646"/>
      <c r="H362" s="1128"/>
      <c r="I362" s="646"/>
      <c r="J362" s="646"/>
      <c r="K362" s="646"/>
      <c r="L362" s="646"/>
      <c r="M362" s="646"/>
      <c r="N362" s="646"/>
      <c r="O362" s="646"/>
    </row>
    <row r="363" ht="12.75" customHeight="1">
      <c r="A363" s="584" t="s">
        <v>364</v>
      </c>
      <c r="B363" s="510"/>
      <c r="C363" s="510"/>
      <c r="D363" s="1235" t="n">
        <f aca="false">$B363*C363</f>
        <v>0</v>
      </c>
      <c r="E363" s="1164"/>
      <c r="F363" s="646"/>
      <c r="G363" s="646"/>
      <c r="H363" s="1128"/>
      <c r="I363" s="646"/>
      <c r="J363" s="646"/>
      <c r="K363" s="646"/>
      <c r="L363" s="646"/>
      <c r="M363" s="646"/>
      <c r="N363" s="646"/>
      <c r="O363" s="646"/>
    </row>
    <row r="364" ht="14.65" customHeight="1">
      <c r="A364" s="584" t="s">
        <v>365</v>
      </c>
      <c r="B364" s="510"/>
      <c r="C364" s="510"/>
      <c r="D364" s="1235" t="n">
        <f aca="false">$B364*C364</f>
        <v>0</v>
      </c>
      <c r="E364" s="1164"/>
      <c r="F364" s="646"/>
      <c r="G364" s="646"/>
      <c r="H364" s="1128"/>
      <c r="I364" s="646"/>
      <c r="J364" s="646"/>
      <c r="K364" s="646"/>
      <c r="L364" s="646"/>
      <c r="M364" s="646"/>
      <c r="N364" s="646"/>
      <c r="O364" s="646"/>
    </row>
    <row r="365" ht="12.75" customHeight="1">
      <c r="A365" s="584" t="s">
        <v>366</v>
      </c>
      <c r="B365" s="510"/>
      <c r="C365" s="510"/>
      <c r="D365" s="1235" t="n">
        <f aca="false">$B365*C365</f>
        <v>0</v>
      </c>
      <c r="E365" s="1164"/>
      <c r="F365" s="646"/>
      <c r="G365" s="646"/>
      <c r="H365" s="1128"/>
      <c r="I365" s="646"/>
      <c r="J365" s="646"/>
      <c r="K365" s="646"/>
      <c r="L365" s="646"/>
      <c r="M365" s="646"/>
      <c r="N365" s="646"/>
      <c r="O365" s="646"/>
    </row>
    <row r="366" ht="14.65" customHeight="1">
      <c r="A366" s="584" t="s">
        <v>1961</v>
      </c>
      <c r="B366" s="510"/>
      <c r="C366" s="510"/>
      <c r="D366" s="1235" t="n">
        <f aca="false">$B366*C366</f>
        <v>0</v>
      </c>
      <c r="E366" s="1164"/>
      <c r="F366" s="646" t="s">
        <v>1962</v>
      </c>
      <c r="G366" s="646"/>
      <c r="H366" s="1236" t="s">
        <v>1956</v>
      </c>
      <c r="I366" s="646" t="s">
        <v>1963</v>
      </c>
      <c r="J366" s="646"/>
      <c r="K366" s="646"/>
      <c r="L366" s="646"/>
      <c r="M366" s="646"/>
      <c r="N366" s="646"/>
      <c r="O366" s="646"/>
    </row>
    <row r="367" ht="25.5" customHeight="1">
      <c r="A367" s="584" t="s">
        <v>1964</v>
      </c>
      <c r="B367" s="510"/>
      <c r="C367" s="510"/>
      <c r="D367" s="1235" t="n">
        <f aca="false">$B367*C367</f>
        <v>0</v>
      </c>
      <c r="E367" s="1164"/>
      <c r="F367" s="646" t="s">
        <v>1962</v>
      </c>
      <c r="G367" s="646"/>
      <c r="H367" s="1236" t="s">
        <v>1956</v>
      </c>
      <c r="I367" s="646" t="s">
        <v>1963</v>
      </c>
      <c r="J367" s="646"/>
      <c r="K367" s="646"/>
      <c r="L367" s="646"/>
      <c r="M367" s="646"/>
      <c r="N367" s="646"/>
      <c r="O367" s="646"/>
    </row>
    <row r="368" ht="12.75" customHeight="1">
      <c r="A368" s="584" t="s">
        <v>1136</v>
      </c>
      <c r="B368" s="510"/>
      <c r="C368" s="510"/>
      <c r="D368" s="1235" t="n">
        <f aca="false">$B368*C368</f>
        <v>0</v>
      </c>
      <c r="E368" s="1164" t="s">
        <v>697</v>
      </c>
      <c r="F368" s="646"/>
      <c r="G368" s="646"/>
      <c r="H368" s="1128"/>
      <c r="I368" s="646"/>
      <c r="J368" s="646"/>
      <c r="K368" s="646"/>
      <c r="L368" s="646"/>
      <c r="M368" s="646"/>
      <c r="N368" s="646"/>
      <c r="O368" s="646"/>
      <c r="P368"/>
      <c r="Q368"/>
      <c r="R368"/>
      <c r="S368"/>
      <c r="T368"/>
      <c r="U368"/>
    </row>
    <row r="369" ht="12.75" customHeight="1">
      <c r="A369" s="584" t="s">
        <v>1136</v>
      </c>
      <c r="B369" s="510"/>
      <c r="C369" s="510"/>
      <c r="D369" s="1235" t="n">
        <f aca="false">$B369*C369</f>
        <v>0</v>
      </c>
      <c r="E369" s="1164" t="s">
        <v>697</v>
      </c>
      <c r="F369" s="646"/>
      <c r="G369" s="646"/>
      <c r="H369" s="646"/>
      <c r="I369" s="646"/>
      <c r="J369" s="646"/>
      <c r="K369" s="646"/>
      <c r="L369" s="646"/>
      <c r="M369" s="646"/>
      <c r="N369" s="646"/>
      <c r="O369" s="646"/>
    </row>
    <row r="370" ht="12.75" customHeight="1">
      <c r="A370" s="1220"/>
      <c r="B370" s="1223"/>
      <c r="C370" s="1128"/>
      <c r="D370" s="646"/>
      <c r="E370" s="646"/>
      <c r="F370" s="646"/>
      <c r="G370" s="1128"/>
      <c r="H370" s="1128"/>
      <c r="I370" s="1128"/>
      <c r="J370" s="646"/>
      <c r="K370" s="646"/>
      <c r="L370" s="646"/>
      <c r="M370" s="646"/>
      <c r="N370" s="646"/>
      <c r="O370" s="646"/>
    </row>
    <row r="371" ht="12.75" customHeight="1">
      <c r="A371" s="1128"/>
      <c r="B371" s="840" t="s">
        <v>1244</v>
      </c>
      <c r="C371" s="1168" t="s">
        <v>551</v>
      </c>
      <c r="D371" s="1000" t="n">
        <f aca="false">SUM(D324:D369)</f>
        <v>0</v>
      </c>
      <c r="E371" s="1128"/>
      <c r="F371" s="1128"/>
      <c r="G371" s="1128"/>
      <c r="H371" s="1128"/>
      <c r="I371" s="1128"/>
      <c r="J371" s="1128"/>
      <c r="K371" s="1128"/>
      <c r="L371" s="646"/>
      <c r="M371" s="646"/>
      <c r="N371" s="646"/>
      <c r="O371" s="646"/>
    </row>
    <row r="372" ht="12.75" customHeight="1">
      <c r="A372" s="1128"/>
      <c r="B372" s="1169"/>
      <c r="C372" s="1169"/>
      <c r="D372" s="1237"/>
      <c r="E372" s="1128"/>
      <c r="F372" s="1128"/>
      <c r="G372" s="1128"/>
      <c r="H372" s="1128"/>
      <c r="I372" s="1128"/>
      <c r="J372" s="1128"/>
      <c r="K372" s="1128"/>
      <c r="L372" s="646"/>
      <c r="M372" s="646"/>
      <c r="N372" s="646"/>
      <c r="O372" s="646"/>
    </row>
    <row r="373" ht="12.75" customHeight="1">
      <c r="A373" s="1128"/>
      <c r="B373" s="1128"/>
      <c r="C373" s="1128"/>
      <c r="D373" s="1128"/>
      <c r="E373" s="1128"/>
      <c r="F373" s="1128"/>
      <c r="G373" s="1128"/>
      <c r="H373" s="1128"/>
      <c r="I373" s="1128"/>
      <c r="J373" s="1128"/>
      <c r="K373" s="1128"/>
      <c r="L373" s="646"/>
      <c r="M373" s="646"/>
      <c r="N373" s="646"/>
      <c r="O373" s="646"/>
    </row>
    <row r="374" ht="20.25" customHeight="1">
      <c r="A374" s="1156" t="s">
        <v>1965</v>
      </c>
      <c r="B374" s="1156"/>
      <c r="C374" s="1156"/>
      <c r="D374" s="1156"/>
      <c r="E374" s="1156"/>
      <c r="F374" s="1156"/>
      <c r="G374" s="1156"/>
      <c r="H374" s="1156"/>
      <c r="I374" s="1156"/>
      <c r="J374" s="1238"/>
      <c r="K374" s="1238"/>
    </row>
    <row r="375" ht="12.75" customHeight="1">
      <c r="A375" s="1158"/>
      <c r="B375" s="1128"/>
      <c r="C375" s="1128"/>
      <c r="D375" s="1128"/>
      <c r="E375" s="1128"/>
      <c r="F375" s="1128"/>
      <c r="G375" s="1128"/>
      <c r="H375" s="1128"/>
      <c r="I375" s="1128"/>
      <c r="J375" s="1128"/>
      <c r="K375" s="1128"/>
      <c r="L375" s="646"/>
      <c r="M375" s="646"/>
      <c r="N375" s="646"/>
      <c r="O375" s="646"/>
    </row>
    <row r="376" ht="12.75" customHeight="1">
      <c r="A376" s="1128"/>
      <c r="B376" s="1128"/>
      <c r="C376" s="1128"/>
      <c r="D376" s="1128"/>
      <c r="E376" s="1128"/>
      <c r="F376" s="1128"/>
      <c r="G376" s="1128"/>
      <c r="H376" s="1128"/>
      <c r="I376" s="1128"/>
      <c r="J376" s="1128"/>
      <c r="K376" s="1128"/>
      <c r="L376" s="646"/>
      <c r="M376" s="646"/>
      <c r="N376" s="646"/>
      <c r="O376" s="646"/>
    </row>
    <row r="377" ht="25.5" customHeight="1">
      <c r="A377" s="1026" t="s">
        <v>1966</v>
      </c>
      <c r="B377" s="725" t="s">
        <v>1967</v>
      </c>
      <c r="C377" s="840" t="s">
        <v>1968</v>
      </c>
      <c r="D377" s="840" t="s">
        <v>406</v>
      </c>
      <c r="E377" s="840" t="s">
        <v>406</v>
      </c>
      <c r="F377" s="1159" t="s">
        <v>1827</v>
      </c>
      <c r="G377" s="1128"/>
      <c r="H377" s="646"/>
      <c r="I377" s="646"/>
      <c r="J377" s="646"/>
      <c r="K377" s="646"/>
      <c r="L377" s="646"/>
      <c r="M377" s="646"/>
      <c r="N377" s="646"/>
      <c r="O377" s="646"/>
    </row>
    <row r="378" ht="12.75" customHeight="1">
      <c r="A378" s="1026"/>
      <c r="B378" s="1239" t="s">
        <v>1969</v>
      </c>
      <c r="C378" s="1239" t="s">
        <v>1970</v>
      </c>
      <c r="D378" s="1168" t="s">
        <v>1971</v>
      </c>
      <c r="E378" s="1168" t="s">
        <v>1862</v>
      </c>
      <c r="F378" s="1161"/>
      <c r="G378" s="1128"/>
      <c r="H378" s="646"/>
      <c r="I378" s="646"/>
      <c r="J378" s="646"/>
      <c r="K378" s="646"/>
      <c r="L378" s="646"/>
      <c r="M378" s="646"/>
      <c r="N378" s="646"/>
      <c r="O378" s="646"/>
    </row>
    <row r="379" ht="12.75" customHeight="1">
      <c r="A379" s="1220" t="s">
        <v>1972</v>
      </c>
      <c r="B379" s="1226" t="n">
        <f aca="false">'Saisie et Calculateur'!C105</f>
        <v>0</v>
      </c>
      <c r="C379" s="1226" t="n">
        <f aca="false">'Saisie et Calculateur'!F105</f>
        <v>0</v>
      </c>
      <c r="D379" s="1240" t="n">
        <f aca="false">C379/6.06</f>
        <v>0</v>
      </c>
      <c r="E379" s="1179" t="n">
        <f aca="false">D379*$B379/1000</f>
        <v>0</v>
      </c>
      <c r="F379" s="1164" t="n">
        <v>0</v>
      </c>
      <c r="G379" s="1128"/>
      <c r="H379" s="646"/>
      <c r="I379" s="646"/>
      <c r="J379" s="646"/>
      <c r="K379" s="646"/>
      <c r="L379" s="646"/>
      <c r="M379" s="646"/>
      <c r="N379" s="646"/>
      <c r="O379" s="646"/>
    </row>
    <row r="380" ht="12.75" customHeight="1">
      <c r="A380" s="1220" t="s">
        <v>1973</v>
      </c>
      <c r="B380" s="1226" t="n">
        <f aca="false">'Saisie et Calculateur'!C107</f>
        <v>0</v>
      </c>
      <c r="C380" s="1226" t="n">
        <f aca="false">'Saisie et Calculateur'!F107</f>
        <v>0</v>
      </c>
      <c r="D380" s="1240" t="n">
        <f aca="false">C380/6.06</f>
        <v>0</v>
      </c>
      <c r="E380" s="1179" t="n">
        <f aca="false">D380*$B380/1000</f>
        <v>0</v>
      </c>
      <c r="F380" s="1164" t="n">
        <v>0</v>
      </c>
      <c r="G380" s="1128"/>
      <c r="H380" s="646"/>
      <c r="I380" s="646"/>
      <c r="J380" s="646"/>
      <c r="K380" s="646"/>
      <c r="L380" s="646"/>
      <c r="M380" s="646"/>
      <c r="N380" s="646"/>
      <c r="O380" s="646"/>
    </row>
    <row r="381" ht="12.75" customHeight="1">
      <c r="A381" s="1220" t="s">
        <v>1974</v>
      </c>
      <c r="B381" s="1226" t="n">
        <f aca="false">'Saisie et Calculateur'!C106</f>
        <v>0</v>
      </c>
      <c r="C381" s="1226" t="n">
        <f aca="false">'Saisie et Calculateur'!F106</f>
        <v>0</v>
      </c>
      <c r="D381" s="1240" t="n">
        <f aca="false">C381/5.74</f>
        <v>0</v>
      </c>
      <c r="E381" s="1179" t="n">
        <f aca="false">D381*$B381/1000</f>
        <v>0</v>
      </c>
      <c r="F381" s="1164" t="n">
        <v>0</v>
      </c>
      <c r="G381" s="1128"/>
      <c r="K381" s="646"/>
      <c r="L381" s="646"/>
      <c r="M381" s="646"/>
      <c r="N381" s="646"/>
      <c r="O381" s="646"/>
    </row>
    <row r="382" ht="12.75" customHeight="1">
      <c r="A382" s="1220"/>
      <c r="B382" s="1231"/>
      <c r="C382" s="1231"/>
      <c r="D382" s="1241"/>
      <c r="E382" s="1242"/>
      <c r="F382" s="646"/>
      <c r="G382" s="1128"/>
      <c r="H382" s="646"/>
      <c r="I382" s="646"/>
      <c r="J382" s="646"/>
      <c r="K382" s="646"/>
      <c r="L382" s="646"/>
      <c r="M382" s="646"/>
      <c r="N382" s="646"/>
      <c r="O382" s="646"/>
    </row>
    <row r="383" ht="12.75" customHeight="1">
      <c r="A383" s="1220" t="s">
        <v>1136</v>
      </c>
      <c r="B383" s="1226" t="n">
        <f aca="false">'Saisie et Calculateur'!C108</f>
        <v>0</v>
      </c>
      <c r="C383" s="1226" t="n">
        <f aca="false">'Saisie et Calculateur'!F108</f>
        <v>0</v>
      </c>
      <c r="D383" s="1240" t="n">
        <f aca="false">C383/5.74</f>
        <v>0</v>
      </c>
      <c r="E383" s="1179" t="n">
        <f aca="false">D383*$B383/1000</f>
        <v>0</v>
      </c>
      <c r="F383" s="1164" t="s">
        <v>697</v>
      </c>
      <c r="G383" s="1128"/>
      <c r="H383" s="646"/>
      <c r="I383" s="646"/>
      <c r="J383" s="646"/>
      <c r="K383" s="646"/>
      <c r="L383" s="646"/>
      <c r="M383" s="646"/>
      <c r="N383" s="646"/>
      <c r="O383" s="646"/>
    </row>
    <row r="384" ht="12.75" customHeight="1">
      <c r="A384" s="1128"/>
      <c r="B384" s="1128"/>
      <c r="C384" s="840" t="s">
        <v>1244</v>
      </c>
      <c r="D384" s="424" t="s">
        <v>551</v>
      </c>
      <c r="E384" s="1000" t="n">
        <f aca="false">SUM(E379:E383)</f>
        <v>0</v>
      </c>
      <c r="F384" s="646"/>
      <c r="G384" s="646"/>
      <c r="H384" s="1128"/>
      <c r="I384" s="1128"/>
      <c r="J384" s="646"/>
      <c r="K384" s="646"/>
      <c r="L384" s="646"/>
      <c r="M384" s="646"/>
      <c r="N384" s="646"/>
      <c r="O384" s="646"/>
    </row>
    <row r="385" ht="12.75" customHeight="1">
      <c r="A385" s="1243"/>
      <c r="B385" s="1243"/>
      <c r="C385" s="1128"/>
      <c r="D385" s="1128"/>
      <c r="E385" s="1128"/>
      <c r="F385" s="1128"/>
      <c r="G385" s="1128"/>
      <c r="H385" s="1128"/>
      <c r="I385" s="1128"/>
      <c r="J385" s="1128"/>
      <c r="K385" s="1128"/>
      <c r="L385" s="646"/>
      <c r="M385" s="646"/>
      <c r="N385" s="646"/>
      <c r="O385" s="646"/>
    </row>
    <row r="386" ht="25.5" customHeight="1">
      <c r="A386" s="1026" t="s">
        <v>1975</v>
      </c>
      <c r="B386" s="725" t="s">
        <v>1976</v>
      </c>
      <c r="C386" s="725" t="s">
        <v>1977</v>
      </c>
      <c r="D386" s="840" t="s">
        <v>406</v>
      </c>
      <c r="E386" s="840" t="s">
        <v>406</v>
      </c>
      <c r="F386" s="1159" t="s">
        <v>1827</v>
      </c>
      <c r="G386" s="1128"/>
      <c r="H386" s="646"/>
      <c r="I386" s="646"/>
      <c r="J386" s="646"/>
      <c r="K386" s="646"/>
      <c r="L386" s="646"/>
      <c r="M386" s="646"/>
      <c r="N386" s="646"/>
      <c r="O386" s="646"/>
    </row>
    <row r="387" ht="25.5" customHeight="1">
      <c r="A387" s="1026"/>
      <c r="B387" s="1168" t="s">
        <v>1978</v>
      </c>
      <c r="C387" s="1177" t="s">
        <v>551</v>
      </c>
      <c r="D387" s="1177" t="s">
        <v>1979</v>
      </c>
      <c r="E387" s="1168" t="s">
        <v>1862</v>
      </c>
      <c r="F387" s="1161"/>
      <c r="G387" s="1128"/>
      <c r="H387" s="646"/>
      <c r="I387" s="646"/>
      <c r="J387" s="646"/>
      <c r="K387" s="646"/>
      <c r="L387" s="646"/>
      <c r="M387" s="646"/>
      <c r="N387" s="646"/>
      <c r="O387" s="646"/>
    </row>
    <row r="388" ht="12.75" customHeight="1">
      <c r="A388" s="646" t="s">
        <v>1980</v>
      </c>
      <c r="B388" s="867"/>
      <c r="C388" s="1244" t="n">
        <v>0.0750000029802322</v>
      </c>
      <c r="D388" s="1245" t="n">
        <v>21.2999992370605</v>
      </c>
      <c r="E388" s="1235" t="n">
        <f aca="false">($B388*$C388)/1000*D388</f>
        <v>0</v>
      </c>
      <c r="F388" s="1164" t="n">
        <v>0</v>
      </c>
      <c r="G388" s="646"/>
      <c r="H388" s="1186"/>
      <c r="I388" s="646"/>
      <c r="J388" s="646"/>
      <c r="K388" s="646"/>
      <c r="L388" s="646"/>
      <c r="M388" s="646"/>
      <c r="N388" s="646"/>
      <c r="O388" s="646"/>
    </row>
    <row r="389" ht="12.75" customHeight="1">
      <c r="A389" s="646" t="s">
        <v>1981</v>
      </c>
      <c r="B389" s="867"/>
      <c r="C389" s="1244" t="n">
        <v>0.0750000029802322</v>
      </c>
      <c r="D389" s="1245" t="n">
        <v>21</v>
      </c>
      <c r="E389" s="1235" t="n">
        <f aca="false">($B389*$C389)/1000*D389</f>
        <v>0</v>
      </c>
      <c r="F389" s="1164" t="n">
        <v>0</v>
      </c>
      <c r="G389" s="646"/>
      <c r="H389" s="646"/>
      <c r="I389" s="646"/>
      <c r="J389" s="646"/>
      <c r="K389" s="646"/>
      <c r="L389" s="646"/>
      <c r="M389" s="646"/>
      <c r="N389" s="646"/>
      <c r="O389" s="646"/>
    </row>
    <row r="390" ht="12.75" customHeight="1">
      <c r="A390" s="646" t="s">
        <v>1982</v>
      </c>
      <c r="B390" s="867"/>
      <c r="C390" s="1244" t="n">
        <v>0.0599999986588955</v>
      </c>
      <c r="D390" s="1245" t="n">
        <v>19.2000007629395</v>
      </c>
      <c r="E390" s="1235" t="n">
        <f aca="false">($B390*$C390)/1000*D390</f>
        <v>0</v>
      </c>
      <c r="F390" s="1164" t="n">
        <v>0</v>
      </c>
      <c r="G390" s="646"/>
      <c r="H390" s="646"/>
      <c r="I390" s="646"/>
      <c r="J390" s="646"/>
      <c r="K390" s="646"/>
      <c r="L390" s="646"/>
      <c r="M390" s="646"/>
      <c r="N390" s="646"/>
      <c r="O390" s="646"/>
    </row>
    <row r="391" ht="12.75" customHeight="1">
      <c r="A391" s="646" t="s">
        <v>1983</v>
      </c>
      <c r="B391" s="867"/>
      <c r="C391" s="1244" t="n">
        <v>0.100000001490116</v>
      </c>
      <c r="D391" s="1245" t="n">
        <v>22.2000007629395</v>
      </c>
      <c r="E391" s="1235" t="n">
        <f aca="false">($B391*$C391)/1000*D391</f>
        <v>0</v>
      </c>
      <c r="F391" s="1164" t="n">
        <v>0</v>
      </c>
      <c r="G391" s="646"/>
      <c r="H391" s="646"/>
      <c r="I391" s="646"/>
      <c r="J391" s="646"/>
      <c r="K391" s="646"/>
      <c r="L391" s="646"/>
      <c r="M391" s="646"/>
      <c r="N391" s="646"/>
      <c r="O391" s="646"/>
    </row>
    <row r="392" ht="12.75" customHeight="1">
      <c r="A392" s="646" t="s">
        <v>1136</v>
      </c>
      <c r="B392" s="867"/>
      <c r="C392" s="867"/>
      <c r="D392" s="867"/>
      <c r="E392" s="1235" t="n">
        <f aca="false">($B392*$C392)/1000*D392</f>
        <v>0</v>
      </c>
      <c r="F392" s="1164" t="s">
        <v>697</v>
      </c>
      <c r="G392" s="646"/>
      <c r="H392" s="646"/>
      <c r="I392" s="646"/>
      <c r="J392" s="646"/>
      <c r="K392" s="646"/>
      <c r="L392" s="646"/>
      <c r="M392" s="646"/>
      <c r="N392" s="646"/>
      <c r="O392" s="646"/>
    </row>
    <row r="393" ht="13.5" customHeight="1">
      <c r="A393" s="646" t="s">
        <v>1136</v>
      </c>
      <c r="B393" s="867"/>
      <c r="C393" s="867"/>
      <c r="D393" s="867"/>
      <c r="E393" s="1235" t="n">
        <f aca="false">($B393*$C393)/1000*D393</f>
        <v>0</v>
      </c>
      <c r="F393" s="1164" t="s">
        <v>697</v>
      </c>
      <c r="G393" s="646"/>
      <c r="H393" s="646"/>
      <c r="I393" s="646"/>
      <c r="J393" s="646"/>
      <c r="K393" s="646"/>
      <c r="L393" s="646"/>
      <c r="M393" s="646"/>
      <c r="N393" s="646"/>
      <c r="O393" s="646"/>
    </row>
    <row r="394" ht="13.5" customHeight="1">
      <c r="A394" s="1243"/>
      <c r="B394" s="1246" t="n">
        <f aca="false">'Saisie et Calculateur'!H133</f>
        <v>0</v>
      </c>
      <c r="C394" s="840" t="s">
        <v>1244</v>
      </c>
      <c r="D394" s="1168" t="s">
        <v>551</v>
      </c>
      <c r="E394" s="1000" t="n">
        <f aca="false">SUM(E388:E393)</f>
        <v>0</v>
      </c>
      <c r="F394" s="646"/>
      <c r="G394" s="646"/>
      <c r="H394" s="1128"/>
      <c r="I394" s="1128"/>
      <c r="J394" s="646"/>
      <c r="K394" s="646"/>
      <c r="L394" s="646"/>
      <c r="M394" s="646"/>
      <c r="N394" s="646"/>
      <c r="O394" s="646"/>
    </row>
    <row r="395" ht="12.75" customHeight="1">
      <c r="A395" s="1243"/>
      <c r="B395" s="1243"/>
      <c r="C395" s="1128"/>
      <c r="D395" s="1150"/>
      <c r="E395" s="1128"/>
      <c r="F395" s="1128"/>
      <c r="G395" s="1128"/>
      <c r="H395" s="1128"/>
      <c r="I395" s="1128"/>
      <c r="J395" s="1128"/>
      <c r="K395" s="1128"/>
      <c r="L395" s="646"/>
      <c r="M395" s="646"/>
      <c r="N395" s="646"/>
      <c r="O395" s="646"/>
    </row>
    <row r="396" ht="12.75" customHeight="1">
      <c r="A396" s="1243"/>
      <c r="B396" s="1195" t="s">
        <v>1984</v>
      </c>
      <c r="C396" s="1195"/>
      <c r="D396" s="1168" t="s">
        <v>551</v>
      </c>
      <c r="E396" s="1000" t="n">
        <f aca="false">E384+E394</f>
        <v>0</v>
      </c>
      <c r="F396" s="646"/>
      <c r="G396" s="646"/>
      <c r="H396" s="1128"/>
      <c r="I396" s="1128"/>
      <c r="J396" s="646"/>
      <c r="K396" s="646"/>
      <c r="L396" s="646"/>
      <c r="M396" s="646"/>
      <c r="N396" s="646"/>
      <c r="O396" s="646"/>
    </row>
    <row r="397" ht="12.75" customHeight="1">
      <c r="A397" s="1243"/>
      <c r="B397" s="1243"/>
      <c r="C397" s="1128"/>
      <c r="D397" s="1128"/>
      <c r="E397" s="1128"/>
      <c r="F397" s="1128"/>
      <c r="G397" s="1128"/>
      <c r="H397" s="1128"/>
      <c r="I397" s="1128"/>
      <c r="J397" s="1128"/>
      <c r="K397" s="1128"/>
      <c r="L397" s="646"/>
      <c r="M397" s="646"/>
      <c r="N397" s="646"/>
      <c r="O397" s="646"/>
    </row>
    <row r="398" ht="12.75" customHeight="1">
      <c r="A398" s="1128"/>
      <c r="B398" s="1128"/>
      <c r="C398" s="1128"/>
      <c r="D398" s="1128"/>
      <c r="E398" s="1128"/>
      <c r="F398" s="1128"/>
      <c r="G398" s="1128"/>
      <c r="H398" s="1128"/>
      <c r="I398" s="1128"/>
      <c r="J398" s="1128"/>
      <c r="K398" s="1128"/>
      <c r="L398" s="646"/>
      <c r="M398" s="646"/>
      <c r="N398" s="646"/>
      <c r="O398" s="646"/>
    </row>
    <row r="399" ht="20.25" customHeight="1">
      <c r="A399" s="1156" t="s">
        <v>1985</v>
      </c>
      <c r="B399" s="1156"/>
      <c r="C399" s="1156"/>
      <c r="D399" s="1156"/>
      <c r="E399" s="1156"/>
      <c r="F399" s="1156"/>
      <c r="G399" s="1156"/>
      <c r="H399" s="1156"/>
      <c r="I399" s="1156"/>
      <c r="J399" s="1128" t="s">
        <v>1986</v>
      </c>
      <c r="K399" s="1128"/>
      <c r="L399" s="646"/>
      <c r="M399" s="646"/>
      <c r="N399" s="646"/>
      <c r="O399" s="646"/>
    </row>
    <row r="400" ht="13.5" customHeight="1">
      <c r="A400" s="1128"/>
      <c r="B400" s="1128"/>
      <c r="C400" s="1128"/>
      <c r="D400" s="1128"/>
      <c r="E400" s="1128"/>
      <c r="F400" s="1128"/>
      <c r="G400" s="1128"/>
      <c r="H400" s="1128"/>
      <c r="I400" s="1128"/>
      <c r="J400" s="1128"/>
      <c r="K400" s="1128"/>
      <c r="L400" s="646"/>
      <c r="M400" s="646"/>
      <c r="N400" s="646"/>
      <c r="O400" s="646"/>
    </row>
    <row r="401" ht="45" customHeight="1">
      <c r="A401" s="1247" t="s">
        <v>1987</v>
      </c>
      <c r="B401" s="725" t="s">
        <v>1988</v>
      </c>
      <c r="C401" s="725" t="s">
        <v>1895</v>
      </c>
      <c r="D401" s="725" t="s">
        <v>1989</v>
      </c>
      <c r="E401" s="840" t="s">
        <v>406</v>
      </c>
      <c r="F401" s="1206" t="s">
        <v>406</v>
      </c>
      <c r="G401" s="646"/>
      <c r="H401" s="646"/>
      <c r="I401" s="646"/>
      <c r="J401" s="646"/>
      <c r="K401" s="646"/>
      <c r="L401" s="646"/>
      <c r="M401" s="646"/>
      <c r="N401" s="646"/>
      <c r="O401" s="646"/>
    </row>
    <row r="402" ht="25.5" customHeight="1">
      <c r="A402" s="1207"/>
      <c r="B402" s="1177"/>
      <c r="C402" s="1208" t="s">
        <v>1896</v>
      </c>
      <c r="D402" s="1177" t="s">
        <v>1053</v>
      </c>
      <c r="E402" s="1177" t="s">
        <v>1897</v>
      </c>
      <c r="F402" s="1209" t="s">
        <v>1862</v>
      </c>
      <c r="G402" s="646"/>
      <c r="H402" s="646"/>
      <c r="I402" s="646"/>
      <c r="J402" s="646"/>
      <c r="K402" s="646"/>
      <c r="L402" s="646"/>
      <c r="M402" s="646"/>
      <c r="N402" s="646"/>
      <c r="O402" s="646"/>
    </row>
    <row r="403" ht="12.75" customHeight="1">
      <c r="A403" s="1248" t="s">
        <v>1055</v>
      </c>
      <c r="B403" s="1178" t="n">
        <f aca="false">'Saisie et Calculateur'!H113</f>
        <v>0</v>
      </c>
      <c r="C403" s="1178" t="n">
        <f aca="false">'Saisie et Calculateur'!I113</f>
        <v>0</v>
      </c>
      <c r="D403" s="589" t="n">
        <f aca="false">C403*B403/1000</f>
        <v>0</v>
      </c>
      <c r="E403" s="1163" t="n">
        <v>24</v>
      </c>
      <c r="F403" s="1211" t="n">
        <f aca="false">D403*E403</f>
        <v>0</v>
      </c>
      <c r="G403" s="646"/>
      <c r="H403" s="646"/>
      <c r="I403" s="646"/>
      <c r="J403" s="646"/>
      <c r="K403" s="646"/>
      <c r="L403" s="646"/>
      <c r="M403" s="646"/>
      <c r="N403" s="646"/>
      <c r="O403" s="646"/>
    </row>
    <row r="404" ht="12.75" customHeight="1">
      <c r="A404" s="1248" t="s">
        <v>1056</v>
      </c>
      <c r="B404" s="1178" t="n">
        <f aca="false">'Saisie et Calculateur'!H114</f>
        <v>0</v>
      </c>
      <c r="C404" s="1178" t="n">
        <f aca="false">'Saisie et Calculateur'!I114</f>
        <v>0</v>
      </c>
      <c r="D404" s="589" t="n">
        <f aca="false">C404*B404/1000</f>
        <v>0</v>
      </c>
      <c r="E404" s="1163" t="n">
        <v>24</v>
      </c>
      <c r="F404" s="1211" t="n">
        <f aca="false">D404*E404</f>
        <v>0</v>
      </c>
      <c r="G404" s="646"/>
      <c r="H404" s="646"/>
      <c r="I404" s="1186"/>
      <c r="J404" s="646"/>
      <c r="K404" s="646"/>
      <c r="L404" s="646"/>
      <c r="M404" s="646"/>
      <c r="N404" s="646"/>
      <c r="O404" s="646"/>
    </row>
    <row r="405" ht="12.75" customHeight="1">
      <c r="A405" s="1248" t="s">
        <v>1057</v>
      </c>
      <c r="B405" s="1178" t="n">
        <f aca="false">'Saisie et Calculateur'!H115</f>
        <v>0</v>
      </c>
      <c r="C405" s="1178" t="n">
        <f aca="false">'Saisie et Calculateur'!I115</f>
        <v>0</v>
      </c>
      <c r="D405" s="589" t="n">
        <f aca="false">C405*B405/1000</f>
        <v>0</v>
      </c>
      <c r="E405" s="1163" t="n">
        <v>24</v>
      </c>
      <c r="F405" s="1211" t="n">
        <f aca="false">D405*E405</f>
        <v>0</v>
      </c>
      <c r="G405" s="646"/>
      <c r="H405" s="646"/>
      <c r="I405" s="646"/>
      <c r="J405" s="646"/>
      <c r="K405" s="646"/>
      <c r="L405" s="646"/>
      <c r="M405" s="646"/>
      <c r="N405" s="646"/>
      <c r="O405" s="646"/>
    </row>
    <row r="406" ht="12.75" customHeight="1">
      <c r="A406" s="1248" t="s">
        <v>1058</v>
      </c>
      <c r="B406" s="1178" t="n">
        <f aca="false">'Saisie et Calculateur'!H116</f>
        <v>0</v>
      </c>
      <c r="C406" s="1178" t="n">
        <f aca="false">'Saisie et Calculateur'!I116</f>
        <v>0</v>
      </c>
      <c r="D406" s="589" t="n">
        <f aca="false">C406*B406/1000</f>
        <v>0</v>
      </c>
      <c r="E406" s="1163" t="n">
        <v>24</v>
      </c>
      <c r="F406" s="1211" t="n">
        <f aca="false">D406*E406</f>
        <v>0</v>
      </c>
      <c r="G406" s="646"/>
      <c r="H406" s="646"/>
      <c r="I406" s="646"/>
      <c r="J406" s="646"/>
      <c r="K406" s="646"/>
      <c r="L406" s="646"/>
      <c r="M406" s="646"/>
      <c r="N406" s="646"/>
      <c r="O406" s="646"/>
    </row>
    <row r="407" ht="12.75" customHeight="1">
      <c r="A407" s="1248" t="s">
        <v>1059</v>
      </c>
      <c r="B407" s="1178" t="n">
        <f aca="false">'Saisie et Calculateur'!H117</f>
        <v>0</v>
      </c>
      <c r="C407" s="1178" t="n">
        <f aca="false">'Saisie et Calculateur'!I117</f>
        <v>0</v>
      </c>
      <c r="D407" s="589" t="n">
        <f aca="false">C407*B407/1000</f>
        <v>0</v>
      </c>
      <c r="E407" s="1163" t="n">
        <v>24</v>
      </c>
      <c r="F407" s="1211" t="n">
        <f aca="false">D407*E407</f>
        <v>0</v>
      </c>
      <c r="G407" s="646"/>
      <c r="H407" s="646"/>
      <c r="I407" s="646"/>
      <c r="J407" s="646"/>
      <c r="K407" s="646"/>
      <c r="L407" s="646"/>
      <c r="M407" s="646"/>
      <c r="N407" s="646"/>
      <c r="O407" s="646"/>
    </row>
    <row r="408" ht="12.75" customHeight="1">
      <c r="A408" s="1248" t="s">
        <v>1060</v>
      </c>
      <c r="B408" s="1178" t="n">
        <f aca="false">'Saisie et Calculateur'!H118</f>
        <v>0</v>
      </c>
      <c r="C408" s="1178" t="n">
        <f aca="false">'Saisie et Calculateur'!I118</f>
        <v>0</v>
      </c>
      <c r="D408" s="589" t="n">
        <f aca="false">C408*B408/1000</f>
        <v>0</v>
      </c>
      <c r="E408" s="1163" t="n">
        <v>24</v>
      </c>
      <c r="F408" s="1211" t="n">
        <f aca="false">D408*E408</f>
        <v>0</v>
      </c>
      <c r="G408" s="646"/>
      <c r="H408" s="646"/>
      <c r="I408" s="646"/>
      <c r="J408" s="646"/>
      <c r="K408" s="646"/>
      <c r="L408" s="646"/>
      <c r="M408" s="646"/>
      <c r="N408" s="646"/>
      <c r="O408" s="646"/>
    </row>
    <row r="409" ht="12.75" customHeight="1">
      <c r="A409" s="1248" t="s">
        <v>1061</v>
      </c>
      <c r="B409" s="1178" t="n">
        <f aca="false">'Saisie et Calculateur'!H119</f>
        <v>0</v>
      </c>
      <c r="C409" s="1178" t="n">
        <f aca="false">'Saisie et Calculateur'!I119</f>
        <v>0</v>
      </c>
      <c r="D409" s="589" t="n">
        <f aca="false">C409*B409/1000</f>
        <v>0</v>
      </c>
      <c r="E409" s="1163" t="n">
        <v>24</v>
      </c>
      <c r="F409" s="1211" t="n">
        <f aca="false">D409*E409</f>
        <v>0</v>
      </c>
      <c r="G409" s="646"/>
      <c r="H409" s="646"/>
      <c r="I409" s="646"/>
      <c r="J409" s="646"/>
      <c r="K409" s="646"/>
      <c r="L409" s="646"/>
      <c r="M409" s="646"/>
      <c r="N409" s="646"/>
      <c r="O409" s="646"/>
    </row>
    <row r="410" ht="12.75" customHeight="1">
      <c r="A410" s="1248" t="s">
        <v>1062</v>
      </c>
      <c r="B410" s="1178" t="n">
        <f aca="false">'Saisie et Calculateur'!H120</f>
        <v>0</v>
      </c>
      <c r="C410" s="1178" t="n">
        <f aca="false">'Saisie et Calculateur'!I120</f>
        <v>0</v>
      </c>
      <c r="D410" s="589" t="n">
        <f aca="false">C410*B410/1000</f>
        <v>0</v>
      </c>
      <c r="E410" s="1163" t="n">
        <v>24</v>
      </c>
      <c r="F410" s="1211" t="n">
        <f aca="false">D410*E410</f>
        <v>0</v>
      </c>
      <c r="G410" s="646"/>
      <c r="H410" s="646"/>
      <c r="I410" s="646"/>
      <c r="J410" s="646"/>
      <c r="K410" s="646"/>
      <c r="L410" s="646"/>
      <c r="M410" s="646"/>
      <c r="N410" s="646"/>
      <c r="O410" s="646"/>
    </row>
    <row r="411" ht="12.75" customHeight="1">
      <c r="A411" s="1248" t="s">
        <v>1064</v>
      </c>
      <c r="B411" s="1178" t="n">
        <f aca="false">'Saisie et Calculateur'!H122</f>
        <v>0</v>
      </c>
      <c r="C411" s="1178" t="n">
        <f aca="false">'Saisie et Calculateur'!I122</f>
        <v>0</v>
      </c>
      <c r="D411" s="589" t="n">
        <f aca="false">C411*B411/1000</f>
        <v>0</v>
      </c>
      <c r="E411" s="1163" t="n">
        <v>24</v>
      </c>
      <c r="F411" s="1211" t="n">
        <f aca="false">D411*E411</f>
        <v>0</v>
      </c>
      <c r="G411" s="646"/>
      <c r="H411" s="646"/>
      <c r="I411" s="646"/>
      <c r="J411" s="646"/>
      <c r="K411" s="646"/>
      <c r="L411" s="646"/>
      <c r="M411" s="646"/>
      <c r="N411" s="646"/>
      <c r="O411" s="646"/>
    </row>
    <row r="412" ht="12.75" customHeight="1">
      <c r="A412" s="1248" t="s">
        <v>1065</v>
      </c>
      <c r="B412" s="1178" t="n">
        <f aca="false">'Saisie et Calculateur'!H123</f>
        <v>0</v>
      </c>
      <c r="C412" s="1178" t="n">
        <f aca="false">'Saisie et Calculateur'!I123</f>
        <v>0</v>
      </c>
      <c r="D412" s="589" t="n">
        <f aca="false">C412*B412/1000</f>
        <v>0</v>
      </c>
      <c r="E412" s="1163" t="n">
        <v>24</v>
      </c>
      <c r="F412" s="1211" t="n">
        <f aca="false">D412*E412</f>
        <v>0</v>
      </c>
      <c r="G412" s="646"/>
      <c r="H412" s="646"/>
      <c r="I412" s="646"/>
      <c r="J412" s="646"/>
      <c r="K412" s="646"/>
      <c r="L412" s="646"/>
      <c r="M412" s="646"/>
      <c r="N412" s="646"/>
      <c r="O412" s="646"/>
    </row>
    <row r="413" ht="12.75" customHeight="1">
      <c r="A413" s="1248" t="s">
        <v>1066</v>
      </c>
      <c r="B413" s="1178" t="n">
        <f aca="false">'Saisie et Calculateur'!H124</f>
        <v>0</v>
      </c>
      <c r="C413" s="1178" t="n">
        <f aca="false">'Saisie et Calculateur'!I124</f>
        <v>0</v>
      </c>
      <c r="D413" s="589" t="n">
        <f aca="false">C413*B413/1000</f>
        <v>0</v>
      </c>
      <c r="E413" s="1163" t="n">
        <v>24</v>
      </c>
      <c r="F413" s="1211" t="n">
        <f aca="false">D413*E413</f>
        <v>0</v>
      </c>
      <c r="G413" s="646"/>
      <c r="H413" s="646"/>
      <c r="I413" s="646"/>
      <c r="J413" s="646"/>
      <c r="K413" s="646"/>
      <c r="L413" s="646"/>
      <c r="M413" s="646"/>
      <c r="N413" s="646"/>
      <c r="O413" s="646"/>
    </row>
    <row r="414" ht="12.75" customHeight="1">
      <c r="A414" s="1248" t="s">
        <v>1067</v>
      </c>
      <c r="B414" s="1178" t="n">
        <f aca="false">'Saisie et Calculateur'!H125</f>
        <v>0</v>
      </c>
      <c r="C414" s="1178" t="n">
        <f aca="false">'Saisie et Calculateur'!I125</f>
        <v>0</v>
      </c>
      <c r="D414" s="589" t="n">
        <f aca="false">C414*B414/1000</f>
        <v>0</v>
      </c>
      <c r="E414" s="1163" t="n">
        <v>24</v>
      </c>
      <c r="F414" s="1211" t="n">
        <f aca="false">D414*E414</f>
        <v>0</v>
      </c>
      <c r="G414" s="646"/>
      <c r="H414" s="646"/>
      <c r="I414" s="646"/>
      <c r="J414" s="646"/>
      <c r="K414" s="646"/>
      <c r="L414" s="646"/>
      <c r="M414" s="646"/>
      <c r="N414" s="646"/>
      <c r="O414" s="646"/>
    </row>
    <row r="415" ht="12.75" customHeight="1">
      <c r="A415" s="1248" t="s">
        <v>142</v>
      </c>
      <c r="B415" s="1178" t="n">
        <f aca="false">'Saisie et Calculateur'!H127</f>
        <v>0</v>
      </c>
      <c r="C415" s="1178" t="n">
        <f aca="false">'Saisie et Calculateur'!I127</f>
        <v>0</v>
      </c>
      <c r="D415" s="589" t="n">
        <f aca="false">C415*B415/1000</f>
        <v>0</v>
      </c>
      <c r="E415" s="1163" t="n">
        <v>24</v>
      </c>
      <c r="F415" s="1211" t="n">
        <f aca="false">D415*E415</f>
        <v>0</v>
      </c>
      <c r="G415" s="646"/>
      <c r="H415" s="646"/>
      <c r="I415" s="646"/>
      <c r="J415" s="646"/>
      <c r="K415" s="646"/>
      <c r="L415" s="646"/>
      <c r="M415" s="646"/>
      <c r="N415" s="646"/>
      <c r="O415" s="646"/>
    </row>
    <row r="416" ht="12.75" customHeight="1">
      <c r="A416" s="1248" t="s">
        <v>1069</v>
      </c>
      <c r="B416" s="1178" t="n">
        <f aca="false">'Saisie et Calculateur'!H128</f>
        <v>0</v>
      </c>
      <c r="C416" s="1178" t="n">
        <f aca="false">'Saisie et Calculateur'!I128</f>
        <v>0</v>
      </c>
      <c r="D416" s="589" t="n">
        <f aca="false">C416*B416/1000</f>
        <v>0</v>
      </c>
      <c r="E416" s="1163" t="n">
        <v>24</v>
      </c>
      <c r="F416" s="1211" t="n">
        <f aca="false">D416*E416</f>
        <v>0</v>
      </c>
      <c r="G416" s="646"/>
      <c r="H416" s="646"/>
      <c r="I416" s="646"/>
      <c r="J416" s="646"/>
      <c r="K416" s="646"/>
      <c r="L416" s="646"/>
      <c r="M416" s="646"/>
      <c r="N416" s="646"/>
      <c r="O416" s="646"/>
    </row>
    <row r="417" ht="12.75" customHeight="1">
      <c r="A417" s="1248" t="s">
        <v>144</v>
      </c>
      <c r="B417" s="1178" t="n">
        <f aca="false">'Saisie et Calculateur'!H129</f>
        <v>0</v>
      </c>
      <c r="C417" s="1178" t="n">
        <f aca="false">'Saisie et Calculateur'!I129</f>
        <v>0</v>
      </c>
      <c r="D417" s="589" t="n">
        <f aca="false">C417*B417/1000</f>
        <v>0</v>
      </c>
      <c r="E417" s="1163" t="n">
        <v>24</v>
      </c>
      <c r="F417" s="1211" t="n">
        <f aca="false">D417*E417</f>
        <v>0</v>
      </c>
      <c r="G417" s="646"/>
      <c r="H417" s="646"/>
      <c r="I417" s="646"/>
      <c r="J417" s="646"/>
      <c r="K417" s="646"/>
      <c r="L417" s="646"/>
      <c r="M417" s="646"/>
      <c r="N417" s="646"/>
      <c r="O417" s="646"/>
    </row>
    <row r="418" ht="12.75" customHeight="1">
      <c r="A418" s="1248" t="s">
        <v>1070</v>
      </c>
      <c r="B418" s="1178" t="n">
        <f aca="false">'Saisie et Calculateur'!H130</f>
        <v>0</v>
      </c>
      <c r="C418" s="1178" t="n">
        <f aca="false">'Saisie et Calculateur'!I130</f>
        <v>0</v>
      </c>
      <c r="D418" s="589" t="n">
        <f aca="false">C418*B418/1000</f>
        <v>0</v>
      </c>
      <c r="E418" s="1163" t="n">
        <v>24</v>
      </c>
      <c r="F418" s="1211" t="n">
        <f aca="false">D418*E418</f>
        <v>0</v>
      </c>
      <c r="G418" s="646"/>
      <c r="H418" s="646"/>
      <c r="I418" s="646"/>
      <c r="J418" s="646"/>
      <c r="K418" s="646"/>
      <c r="L418" s="646"/>
      <c r="M418" s="646"/>
      <c r="N418" s="646"/>
      <c r="O418" s="646"/>
    </row>
    <row r="419" ht="12.75" customHeight="1">
      <c r="A419" s="1248" t="s">
        <v>1071</v>
      </c>
      <c r="B419" s="1178" t="n">
        <f aca="false">'Saisie et Calculateur'!H131</f>
        <v>0</v>
      </c>
      <c r="C419" s="1178" t="n">
        <f aca="false">'Saisie et Calculateur'!I131</f>
        <v>0</v>
      </c>
      <c r="D419" s="589" t="n">
        <f aca="false">C419*B419/1000</f>
        <v>0</v>
      </c>
      <c r="E419" s="1163" t="n">
        <v>24</v>
      </c>
      <c r="F419" s="1211" t="n">
        <f aca="false">D419*E419</f>
        <v>0</v>
      </c>
      <c r="G419" s="646"/>
      <c r="H419" s="646"/>
      <c r="I419" s="646"/>
      <c r="J419" s="646"/>
      <c r="K419" s="646"/>
      <c r="L419" s="646"/>
      <c r="M419" s="646"/>
      <c r="N419" s="646"/>
      <c r="O419" s="646"/>
    </row>
    <row r="420" ht="12.75" customHeight="1">
      <c r="A420" s="1248" t="s">
        <v>1072</v>
      </c>
      <c r="B420" s="1178" t="n">
        <f aca="false">'Saisie et Calculateur'!H134</f>
        <v>0</v>
      </c>
      <c r="C420" s="1178" t="n">
        <f aca="false">'Saisie et Calculateur'!I134</f>
        <v>0</v>
      </c>
      <c r="D420" s="589" t="n">
        <f aca="false">C420*B420/1000</f>
        <v>0</v>
      </c>
      <c r="E420" s="1163" t="n">
        <v>22.4</v>
      </c>
      <c r="F420" s="1211" t="n">
        <f aca="false">D420*E420</f>
        <v>0</v>
      </c>
      <c r="G420" s="646"/>
      <c r="H420" s="646"/>
      <c r="I420" s="646"/>
      <c r="J420" s="646"/>
      <c r="K420" s="646"/>
      <c r="L420" s="646"/>
      <c r="M420" s="646"/>
      <c r="N420" s="646"/>
      <c r="O420" s="646"/>
    </row>
    <row r="421" ht="12.75" customHeight="1">
      <c r="A421" s="1248" t="s">
        <v>1073</v>
      </c>
      <c r="B421" s="1178" t="n">
        <f aca="false">'Saisie et Calculateur'!H135</f>
        <v>0</v>
      </c>
      <c r="C421" s="1178" t="n">
        <f aca="false">'Saisie et Calculateur'!I135</f>
        <v>0</v>
      </c>
      <c r="D421" s="589" t="n">
        <f aca="false">C421*B421/1000</f>
        <v>0</v>
      </c>
      <c r="E421" s="1163" t="n">
        <v>32</v>
      </c>
      <c r="F421" s="1211" t="n">
        <f aca="false">D421*E421</f>
        <v>0</v>
      </c>
      <c r="G421" s="646"/>
      <c r="H421" s="646"/>
      <c r="I421" s="646"/>
      <c r="J421" s="646"/>
      <c r="K421" s="646"/>
      <c r="L421" s="646"/>
      <c r="M421" s="646"/>
      <c r="N421" s="646"/>
      <c r="O421" s="646"/>
    </row>
    <row r="422" ht="12.75" customHeight="1">
      <c r="A422" s="1248" t="s">
        <v>1074</v>
      </c>
      <c r="B422" s="1178" t="n">
        <f aca="false">'Saisie et Calculateur'!H136</f>
        <v>0</v>
      </c>
      <c r="C422" s="1178" t="n">
        <f aca="false">'Saisie et Calculateur'!I136</f>
        <v>0</v>
      </c>
      <c r="D422" s="589" t="n">
        <f aca="false">C422*B422/1000</f>
        <v>0</v>
      </c>
      <c r="E422" s="1163" t="n">
        <v>20.7</v>
      </c>
      <c r="F422" s="1211" t="n">
        <f aca="false">D422*E422</f>
        <v>0</v>
      </c>
      <c r="G422" s="646"/>
      <c r="H422" s="646"/>
      <c r="I422" s="646"/>
      <c r="J422" s="646"/>
      <c r="K422" s="646"/>
      <c r="L422" s="646"/>
      <c r="M422" s="646"/>
      <c r="N422" s="646"/>
      <c r="O422" s="646"/>
    </row>
    <row r="423" ht="12.75" customHeight="1">
      <c r="A423" s="1248" t="s">
        <v>1075</v>
      </c>
      <c r="B423" s="1178" t="n">
        <f aca="false">'Saisie et Calculateur'!H137</f>
        <v>0</v>
      </c>
      <c r="C423" s="1178" t="n">
        <f aca="false">'Saisie et Calculateur'!I137</f>
        <v>0</v>
      </c>
      <c r="D423" s="589" t="n">
        <f aca="false">C423*B423/1000</f>
        <v>0</v>
      </c>
      <c r="E423" s="1163" t="n">
        <v>37.6</v>
      </c>
      <c r="F423" s="1211" t="n">
        <f aca="false">D423*E423</f>
        <v>0</v>
      </c>
      <c r="G423" s="646"/>
      <c r="H423" s="646"/>
      <c r="I423" s="646"/>
      <c r="J423" s="646"/>
      <c r="K423" s="646"/>
      <c r="L423" s="646"/>
      <c r="M423" s="646"/>
      <c r="N423" s="646"/>
      <c r="O423" s="646"/>
    </row>
    <row r="424" ht="12.75" customHeight="1">
      <c r="A424" s="1248" t="s">
        <v>1076</v>
      </c>
      <c r="B424" s="1178" t="n">
        <f aca="false">'Saisie et Calculateur'!H138</f>
        <v>0</v>
      </c>
      <c r="C424" s="1178" t="n">
        <f aca="false">'Saisie et Calculateur'!I138</f>
        <v>0</v>
      </c>
      <c r="D424" s="589" t="n">
        <f aca="false">C424*B424/1000</f>
        <v>0</v>
      </c>
      <c r="E424" s="1163" t="n">
        <v>18.9</v>
      </c>
      <c r="F424" s="1211" t="n">
        <f aca="false">D424*E424</f>
        <v>0</v>
      </c>
      <c r="G424" s="646"/>
      <c r="H424" s="646"/>
      <c r="I424" s="646"/>
      <c r="J424" s="646"/>
      <c r="K424" s="646"/>
      <c r="L424" s="646"/>
      <c r="M424" s="646"/>
      <c r="N424" s="646"/>
      <c r="O424" s="646"/>
    </row>
    <row r="425" ht="12.75" customHeight="1">
      <c r="A425" s="1248" t="s">
        <v>1077</v>
      </c>
      <c r="B425" s="1178" t="n">
        <f aca="false">'Saisie et Calculateur'!H139</f>
        <v>0</v>
      </c>
      <c r="C425" s="1178" t="n">
        <f aca="false">'Saisie et Calculateur'!I139</f>
        <v>0</v>
      </c>
      <c r="D425" s="589" t="n">
        <f aca="false">C425*B425/1000</f>
        <v>0</v>
      </c>
      <c r="E425" s="1163" t="n">
        <v>30.5</v>
      </c>
      <c r="F425" s="1211" t="n">
        <f aca="false">D425*E425</f>
        <v>0</v>
      </c>
      <c r="G425" s="646"/>
      <c r="H425" s="646"/>
      <c r="I425" s="646"/>
      <c r="J425" s="646"/>
      <c r="K425" s="646"/>
      <c r="L425" s="646"/>
      <c r="M425" s="646"/>
      <c r="N425" s="646"/>
      <c r="O425" s="646"/>
    </row>
    <row r="426" ht="12.75" customHeight="1">
      <c r="A426" s="1248" t="s">
        <v>1078</v>
      </c>
      <c r="B426" s="1178" t="n">
        <f aca="false">'Saisie et Calculateur'!H140</f>
        <v>0</v>
      </c>
      <c r="C426" s="1178" t="n">
        <f aca="false">'Saisie et Calculateur'!I140</f>
        <v>0</v>
      </c>
      <c r="D426" s="589" t="n">
        <f aca="false">C426*B426/1000</f>
        <v>0</v>
      </c>
      <c r="E426" s="1163" t="n">
        <v>20</v>
      </c>
      <c r="F426" s="1211" t="n">
        <f aca="false">D426*E426</f>
        <v>0</v>
      </c>
      <c r="G426" s="646"/>
      <c r="H426" s="646"/>
      <c r="I426" s="646"/>
      <c r="J426" s="646"/>
      <c r="K426" s="646"/>
      <c r="L426" s="646"/>
      <c r="M426" s="646"/>
      <c r="N426" s="646"/>
      <c r="O426" s="646"/>
    </row>
    <row r="427" ht="12.75" customHeight="1">
      <c r="A427" s="1248" t="s">
        <v>1079</v>
      </c>
      <c r="B427" s="1178" t="n">
        <f aca="false">'Saisie et Calculateur'!H141</f>
        <v>0</v>
      </c>
      <c r="C427" s="1178" t="n">
        <f aca="false">'Saisie et Calculateur'!I141</f>
        <v>0</v>
      </c>
      <c r="D427" s="589" t="n">
        <f aca="false">C427*B427/1000</f>
        <v>0</v>
      </c>
      <c r="E427" s="1163" t="n">
        <v>37.6</v>
      </c>
      <c r="F427" s="1211" t="n">
        <f aca="false">D427*E427</f>
        <v>0</v>
      </c>
      <c r="G427" s="646"/>
      <c r="H427" s="646"/>
      <c r="I427" s="646"/>
      <c r="J427" s="646"/>
      <c r="K427" s="646"/>
      <c r="L427" s="646"/>
      <c r="M427" s="646"/>
      <c r="N427" s="646"/>
      <c r="O427" s="646"/>
    </row>
    <row r="428" ht="12.75" customHeight="1">
      <c r="A428" s="1248" t="s">
        <v>1080</v>
      </c>
      <c r="B428" s="1178" t="n">
        <f aca="false">'Saisie et Calculateur'!H142</f>
        <v>6000</v>
      </c>
      <c r="C428" s="1178" t="n">
        <f aca="false">'Saisie et Calculateur'!I142</f>
        <v>9.5</v>
      </c>
      <c r="D428" s="589" t="n">
        <f aca="false">C428*B428/1000</f>
        <v>57</v>
      </c>
      <c r="E428" s="1163" t="n">
        <v>35.6</v>
      </c>
      <c r="F428" s="1211" t="n">
        <f aca="false">D428*E428</f>
        <v>2029.2</v>
      </c>
      <c r="G428" s="646"/>
      <c r="H428" s="646"/>
      <c r="I428" s="646"/>
      <c r="J428" s="646"/>
      <c r="K428" s="646"/>
      <c r="L428" s="646"/>
      <c r="M428" s="646"/>
      <c r="N428" s="646"/>
      <c r="O428" s="646"/>
    </row>
    <row r="429" ht="12.75" customHeight="1">
      <c r="A429" s="1249" t="s">
        <v>1990</v>
      </c>
      <c r="B429" s="1178" t="n">
        <f aca="false">'Saisie et Calculateur'!H144</f>
        <v>0</v>
      </c>
      <c r="C429" s="1178" t="n">
        <f aca="false">'Saisie et Calculateur'!I144</f>
        <v>0</v>
      </c>
      <c r="D429" s="589" t="n">
        <f aca="false">C429*B429/1000</f>
        <v>0</v>
      </c>
      <c r="E429" s="1163" t="n">
        <v>24</v>
      </c>
      <c r="F429" s="1211" t="n">
        <f aca="false">D429*E429</f>
        <v>0</v>
      </c>
      <c r="G429" s="646"/>
      <c r="H429" s="646"/>
      <c r="I429" s="646"/>
      <c r="J429" s="646"/>
      <c r="K429" s="646"/>
      <c r="L429" s="646"/>
      <c r="M429" s="646"/>
      <c r="N429" s="646"/>
      <c r="O429" s="646"/>
    </row>
    <row r="430" ht="12.6" customHeight="1">
      <c r="A430" s="1248" t="s">
        <v>1991</v>
      </c>
      <c r="B430" s="1178" t="n">
        <f aca="false">'Saisie et Calculateur'!H145</f>
        <v>0</v>
      </c>
      <c r="C430" s="1178" t="n">
        <f aca="false">'Saisie et Calculateur'!I145</f>
        <v>0</v>
      </c>
      <c r="D430" s="589" t="n">
        <f aca="false">C430*B430/1000</f>
        <v>0</v>
      </c>
      <c r="E430" s="1163" t="n">
        <v>24</v>
      </c>
      <c r="F430" s="1211" t="n">
        <f aca="false">D430*E430</f>
        <v>0</v>
      </c>
      <c r="G430" s="646"/>
      <c r="H430" s="646"/>
      <c r="I430" s="646"/>
      <c r="J430" s="646"/>
      <c r="K430" s="646"/>
      <c r="L430" s="646"/>
      <c r="M430" s="646"/>
      <c r="N430" s="646"/>
      <c r="O430" s="646"/>
    </row>
    <row r="431" ht="12.75" customHeight="1">
      <c r="A431" s="1248" t="s">
        <v>1900</v>
      </c>
      <c r="B431" s="1178" t="n">
        <f aca="false">'Saisie et Calculateur'!H146</f>
        <v>0</v>
      </c>
      <c r="C431" s="1178" t="n">
        <f aca="false">'Saisie et Calculateur'!I146</f>
        <v>0</v>
      </c>
      <c r="D431" s="589" t="n">
        <f aca="false">C431*B431/1000</f>
        <v>0</v>
      </c>
      <c r="E431" s="867"/>
      <c r="F431" s="1211" t="n">
        <f aca="false">D431*E431</f>
        <v>0</v>
      </c>
      <c r="G431" s="646"/>
      <c r="H431" s="646"/>
      <c r="I431" s="646"/>
      <c r="J431" s="646"/>
      <c r="K431" s="646"/>
      <c r="L431" s="646"/>
      <c r="M431" s="646"/>
      <c r="N431" s="646"/>
      <c r="O431" s="646"/>
    </row>
    <row r="432" ht="12.75" customHeight="1">
      <c r="A432" s="1250"/>
      <c r="B432" s="1178" t="n">
        <f aca="false">'Saisie et Calculateur'!H147</f>
        <v>0</v>
      </c>
      <c r="C432" s="1178" t="n">
        <f aca="false">'Saisie et Calculateur'!I147</f>
        <v>0</v>
      </c>
      <c r="D432" s="589" t="n">
        <f aca="false">C432*B432/1000</f>
        <v>0</v>
      </c>
      <c r="E432" s="867"/>
      <c r="F432" s="1211" t="n">
        <f aca="false">D432*E432</f>
        <v>0</v>
      </c>
      <c r="G432" s="646"/>
      <c r="H432" s="646"/>
      <c r="I432" s="646"/>
      <c r="J432" s="646"/>
      <c r="K432" s="646"/>
      <c r="L432" s="646"/>
      <c r="M432" s="646"/>
      <c r="N432" s="646"/>
      <c r="O432" s="646"/>
    </row>
    <row r="433" ht="13.5" customHeight="1">
      <c r="A433" s="646"/>
      <c r="B433" s="1062" t="n">
        <f aca="false">'Saisie et Calculateur'!H148</f>
        <v>0</v>
      </c>
      <c r="C433" s="1062" t="n">
        <f aca="false">'Saisie et Calculateur'!I148</f>
        <v>0</v>
      </c>
      <c r="D433" s="1216" t="n">
        <f aca="false">C433*B433/1000</f>
        <v>0</v>
      </c>
      <c r="E433" s="1251"/>
      <c r="F433" s="1218" t="n">
        <f aca="false">D433*E433</f>
        <v>0</v>
      </c>
      <c r="G433" s="646"/>
      <c r="H433" s="646"/>
      <c r="I433" s="646"/>
      <c r="J433" s="646"/>
      <c r="K433" s="646"/>
      <c r="L433" s="646"/>
      <c r="M433" s="646"/>
      <c r="N433" s="646"/>
      <c r="O433" s="646"/>
    </row>
    <row r="434" ht="12.75" customHeight="1">
      <c r="A434" s="1128"/>
      <c r="B434" s="646"/>
      <c r="C434" s="646"/>
      <c r="D434" s="646"/>
      <c r="E434" s="646"/>
      <c r="F434" s="646"/>
      <c r="G434" s="646"/>
      <c r="H434" s="646"/>
      <c r="I434" s="646"/>
      <c r="J434" s="646"/>
      <c r="K434" s="646"/>
      <c r="L434" s="646"/>
      <c r="M434" s="646"/>
      <c r="N434" s="646"/>
      <c r="O434" s="646"/>
    </row>
    <row r="435" ht="15" customHeight="1">
      <c r="A435" s="1128"/>
      <c r="B435" s="646"/>
      <c r="C435" s="646"/>
      <c r="D435" s="840" t="s">
        <v>1901</v>
      </c>
      <c r="E435" s="1177" t="s">
        <v>551</v>
      </c>
      <c r="F435" s="1000" t="n">
        <f aca="false">SUM(F403:F433)</f>
        <v>2029.2</v>
      </c>
      <c r="G435" s="646"/>
      <c r="H435" s="646"/>
      <c r="I435" s="646"/>
      <c r="J435" s="646"/>
      <c r="K435" s="646"/>
      <c r="L435" s="646"/>
      <c r="M435" s="646"/>
      <c r="N435" s="646"/>
      <c r="O435" s="646"/>
    </row>
    <row r="436" ht="12.75" customHeight="1">
      <c r="A436" s="1128"/>
      <c r="B436" s="646"/>
      <c r="C436" s="646"/>
      <c r="D436" s="646"/>
      <c r="E436" s="646"/>
      <c r="F436" s="646"/>
      <c r="G436" s="646"/>
      <c r="H436" s="646"/>
      <c r="I436" s="646"/>
      <c r="J436" s="646"/>
      <c r="K436" s="646"/>
      <c r="L436" s="646"/>
      <c r="M436" s="646"/>
      <c r="N436" s="646"/>
      <c r="O436" s="646"/>
    </row>
    <row r="437" ht="12.75" customHeight="1">
      <c r="A437" s="1128"/>
      <c r="B437" s="646"/>
      <c r="C437" s="646"/>
      <c r="D437" s="646"/>
      <c r="E437" s="646"/>
      <c r="F437" s="646"/>
      <c r="G437" s="646"/>
      <c r="H437" s="646"/>
      <c r="I437" s="646"/>
      <c r="J437" s="646"/>
      <c r="K437" s="646"/>
      <c r="L437" s="646"/>
      <c r="M437" s="646"/>
      <c r="N437" s="646"/>
      <c r="O437" s="646"/>
    </row>
    <row r="438" ht="20.25" customHeight="1">
      <c r="A438" s="1156" t="s">
        <v>1992</v>
      </c>
      <c r="B438" s="1156"/>
      <c r="C438" s="1156"/>
      <c r="D438" s="1156"/>
      <c r="E438" s="1156"/>
      <c r="F438" s="1156"/>
      <c r="G438" s="1156"/>
      <c r="H438" s="1156"/>
      <c r="I438" s="1156"/>
      <c r="J438" s="646" t="s">
        <v>1993</v>
      </c>
      <c r="K438" s="646"/>
      <c r="L438" s="646"/>
      <c r="M438" s="646"/>
      <c r="N438" s="646"/>
      <c r="O438" s="646"/>
    </row>
    <row r="439" ht="13.5" customHeight="1">
      <c r="A439" s="1128"/>
      <c r="B439" s="646"/>
      <c r="C439" s="646"/>
      <c r="D439" s="646"/>
      <c r="E439" s="646"/>
      <c r="F439" s="646"/>
      <c r="G439" s="646"/>
      <c r="H439" s="646"/>
      <c r="I439" s="646"/>
      <c r="J439" s="646"/>
      <c r="K439" s="646"/>
      <c r="L439" s="646"/>
      <c r="M439" s="646"/>
      <c r="N439" s="646"/>
      <c r="O439" s="646"/>
    </row>
    <row r="440" ht="63.75" customHeight="1">
      <c r="A440" s="839" t="s">
        <v>1994</v>
      </c>
      <c r="B440" s="725" t="s">
        <v>1995</v>
      </c>
      <c r="C440" s="1252" t="s">
        <v>1996</v>
      </c>
      <c r="D440" s="646"/>
      <c r="E440" s="646"/>
      <c r="F440" s="646"/>
      <c r="G440" s="646"/>
      <c r="H440" s="646"/>
      <c r="I440" s="646"/>
      <c r="J440" s="646"/>
      <c r="K440" s="646"/>
      <c r="L440" s="646"/>
      <c r="M440" s="646"/>
      <c r="N440" s="646"/>
      <c r="O440" s="646"/>
    </row>
    <row r="441" ht="12.75" customHeight="1">
      <c r="A441" s="1253" t="s">
        <v>94</v>
      </c>
      <c r="B441" s="1177" t="s">
        <v>1997</v>
      </c>
      <c r="C441" s="1177" t="s">
        <v>1998</v>
      </c>
      <c r="D441" s="646"/>
      <c r="E441" s="646"/>
      <c r="F441" s="646"/>
      <c r="G441" s="646"/>
      <c r="H441" s="646"/>
      <c r="I441" s="646"/>
      <c r="J441" s="646"/>
      <c r="K441" s="646"/>
      <c r="L441" s="646"/>
      <c r="M441" s="646"/>
      <c r="N441" s="646"/>
      <c r="O441" s="646"/>
    </row>
    <row r="442" ht="15.95" customHeight="1">
      <c r="A442" s="563" t="n">
        <f aca="false">'Saisie et Calculateur'!B27</f>
        <v>1</v>
      </c>
      <c r="B442" s="1163" t="n">
        <v>70</v>
      </c>
      <c r="C442" s="589" t="n">
        <f aca="false">A442*B442</f>
        <v>70</v>
      </c>
      <c r="D442" s="646"/>
      <c r="E442" s="646"/>
      <c r="F442" s="646"/>
      <c r="G442" s="646"/>
      <c r="H442" s="646"/>
      <c r="I442" s="646"/>
      <c r="J442" s="646"/>
      <c r="K442" s="646"/>
      <c r="L442" s="646"/>
      <c r="M442" s="646"/>
      <c r="N442" s="646"/>
      <c r="O442" s="646"/>
    </row>
    <row r="443" ht="12.75" customHeight="1">
      <c r="A443" s="1128"/>
      <c r="B443" s="646"/>
      <c r="C443" s="646"/>
      <c r="D443" s="646"/>
      <c r="E443" s="646"/>
      <c r="F443" s="646"/>
      <c r="G443" s="646"/>
      <c r="H443" s="646"/>
      <c r="I443" s="646"/>
      <c r="J443" s="646"/>
      <c r="K443" s="646"/>
      <c r="L443" s="646"/>
      <c r="M443" s="646"/>
      <c r="N443" s="646"/>
      <c r="O443" s="646"/>
    </row>
    <row r="444" ht="12.75" customHeight="1">
      <c r="A444" s="1128"/>
      <c r="B444" s="646"/>
      <c r="C444" s="646"/>
      <c r="D444" s="646"/>
      <c r="E444" s="646"/>
      <c r="F444" s="646"/>
      <c r="G444" s="646"/>
      <c r="H444" s="646"/>
      <c r="I444" s="646"/>
      <c r="J444" s="646"/>
      <c r="K444" s="646"/>
      <c r="L444" s="646"/>
      <c r="M444" s="646"/>
      <c r="N444" s="646"/>
      <c r="O444" s="646"/>
    </row>
    <row r="445" ht="20.25" customHeight="1">
      <c r="A445" s="1156" t="s">
        <v>1999</v>
      </c>
      <c r="B445" s="1156"/>
      <c r="C445" s="1156"/>
      <c r="D445" s="1156"/>
      <c r="E445" s="1156"/>
      <c r="F445" s="1156"/>
      <c r="G445" s="1156"/>
      <c r="H445" s="1156"/>
      <c r="I445" s="1156"/>
      <c r="J445" s="646" t="s">
        <v>1993</v>
      </c>
      <c r="K445" s="646"/>
      <c r="L445" s="646"/>
      <c r="M445" s="646"/>
      <c r="N445" s="646"/>
      <c r="O445" s="646"/>
    </row>
    <row r="446" ht="13.5" customHeight="1">
      <c r="A446" s="1128"/>
      <c r="B446" s="1128"/>
      <c r="C446" s="1128"/>
      <c r="D446" s="1128"/>
      <c r="E446" s="1128"/>
      <c r="F446" s="1128"/>
      <c r="G446" s="1128"/>
      <c r="H446" s="1128"/>
      <c r="I446" s="1128"/>
      <c r="J446" s="646"/>
      <c r="K446" s="646"/>
      <c r="L446" s="646"/>
      <c r="M446" s="646"/>
      <c r="N446" s="646"/>
      <c r="O446" s="646"/>
    </row>
    <row r="447" ht="12.75" customHeight="1">
      <c r="A447" s="1150" t="s">
        <v>2000</v>
      </c>
      <c r="B447" s="839" t="s">
        <v>2001</v>
      </c>
      <c r="C447" s="725" t="s">
        <v>406</v>
      </c>
      <c r="D447" s="725" t="s">
        <v>2002</v>
      </c>
      <c r="E447" s="1252" t="s">
        <v>406</v>
      </c>
      <c r="F447" s="1128"/>
      <c r="G447" s="1128"/>
      <c r="H447" s="1128"/>
      <c r="I447" s="1128"/>
      <c r="J447" s="646"/>
      <c r="K447" s="646"/>
      <c r="L447" s="646"/>
      <c r="M447" s="646"/>
      <c r="N447" s="646"/>
      <c r="O447" s="646"/>
    </row>
    <row r="448" ht="12.75" customHeight="1">
      <c r="A448" s="1150"/>
      <c r="B448" s="1177" t="s">
        <v>1343</v>
      </c>
      <c r="C448" s="1177" t="s">
        <v>2003</v>
      </c>
      <c r="D448" s="1177"/>
      <c r="E448" s="1177" t="s">
        <v>551</v>
      </c>
      <c r="F448" s="1128"/>
      <c r="G448" s="1186"/>
      <c r="H448" s="1128"/>
      <c r="I448" s="1128"/>
      <c r="J448" s="646"/>
      <c r="K448" s="646"/>
      <c r="L448" s="646"/>
      <c r="M448" s="646"/>
      <c r="N448" s="646"/>
      <c r="O448" s="646"/>
    </row>
    <row r="449" ht="13.5" customHeight="1">
      <c r="A449" s="1150"/>
      <c r="B449" s="543" t="n">
        <f aca="false">'Saisie et Calculateur'!I97</f>
        <v>60</v>
      </c>
      <c r="C449" s="1163" t="n">
        <v>93</v>
      </c>
      <c r="D449" s="1163" t="n">
        <v>0.23</v>
      </c>
      <c r="E449" s="589" t="n">
        <f aca="false">B449*C449*D449</f>
        <v>1283.4</v>
      </c>
      <c r="F449" s="1128"/>
      <c r="G449" s="1128"/>
      <c r="H449" s="1128"/>
      <c r="I449" s="1128"/>
      <c r="J449" s="646"/>
      <c r="K449" s="646"/>
      <c r="L449" s="646"/>
      <c r="M449" s="646"/>
      <c r="N449" s="646"/>
      <c r="O449" s="646"/>
    </row>
    <row r="450" ht="13.5" customHeight="1">
      <c r="A450" s="1150"/>
      <c r="B450" s="646"/>
      <c r="C450" s="646"/>
      <c r="D450" s="646"/>
      <c r="E450" s="646"/>
      <c r="F450" s="646"/>
      <c r="G450" s="646"/>
      <c r="H450" s="646"/>
      <c r="I450" s="646"/>
      <c r="J450" s="646"/>
      <c r="K450" s="646"/>
      <c r="L450" s="646"/>
      <c r="M450" s="646"/>
      <c r="N450" s="646"/>
      <c r="O450" s="646"/>
    </row>
    <row r="451" ht="25.5" customHeight="1">
      <c r="A451" s="1150" t="s">
        <v>2004</v>
      </c>
      <c r="B451" s="839" t="s">
        <v>2005</v>
      </c>
      <c r="C451" s="725" t="s">
        <v>2006</v>
      </c>
      <c r="D451" s="725" t="s">
        <v>2007</v>
      </c>
      <c r="E451" s="1252" t="s">
        <v>406</v>
      </c>
      <c r="F451" s="646"/>
      <c r="G451" s="646"/>
      <c r="H451" s="646"/>
      <c r="I451" s="646"/>
      <c r="J451" s="646"/>
      <c r="K451" s="646"/>
      <c r="L451" s="646"/>
      <c r="M451" s="646"/>
      <c r="N451" s="646"/>
      <c r="O451" s="646"/>
    </row>
    <row r="452" ht="12.75" customHeight="1">
      <c r="A452" s="1128"/>
      <c r="B452" s="1177" t="s">
        <v>2008</v>
      </c>
      <c r="C452" s="1177"/>
      <c r="D452" s="1177" t="s">
        <v>2009</v>
      </c>
      <c r="E452" s="1177" t="s">
        <v>551</v>
      </c>
      <c r="F452" s="646"/>
      <c r="G452" s="646"/>
      <c r="H452" s="646"/>
      <c r="I452" s="646"/>
      <c r="J452" s="646"/>
      <c r="K452" s="646"/>
      <c r="L452" s="646"/>
      <c r="M452" s="646"/>
      <c r="N452" s="646"/>
      <c r="O452" s="646"/>
    </row>
    <row r="453" ht="13.5" customHeight="1">
      <c r="A453" s="1128"/>
      <c r="B453" s="543" t="n">
        <f aca="false">'Saisie et Calculateur'!H786+'Saisie et Calculateur'!H787+'Saisie et Calculateur'!H788</f>
        <v>78516</v>
      </c>
      <c r="C453" s="1163" t="n">
        <v>296</v>
      </c>
      <c r="D453" s="1254" t="n">
        <f aca="false">14/46</f>
        <v>0.304347826086957</v>
      </c>
      <c r="E453" s="589" t="n">
        <f aca="false">B453/C453*D453</f>
        <v>80.7303172737955</v>
      </c>
      <c r="F453" s="646"/>
      <c r="G453" s="646"/>
      <c r="H453" s="646"/>
      <c r="I453" s="646"/>
      <c r="J453" s="646"/>
      <c r="K453" s="646"/>
      <c r="L453" s="646"/>
      <c r="M453" s="646"/>
      <c r="N453" s="646"/>
      <c r="O453" s="646"/>
    </row>
    <row r="454" ht="12.75" customHeight="1">
      <c r="A454" s="1128"/>
      <c r="B454" s="646"/>
      <c r="C454" s="646"/>
      <c r="D454" s="646"/>
      <c r="E454" s="646"/>
      <c r="F454" s="646"/>
      <c r="G454" s="646"/>
      <c r="H454" s="646"/>
      <c r="I454" s="646"/>
      <c r="J454" s="646"/>
      <c r="K454" s="646"/>
      <c r="L454" s="646"/>
      <c r="M454" s="646"/>
      <c r="N454" s="646"/>
      <c r="O454" s="646"/>
    </row>
    <row r="455" ht="25.5" customHeight="1">
      <c r="A455" s="1128"/>
      <c r="B455" s="646"/>
      <c r="C455" s="1255" t="s">
        <v>2010</v>
      </c>
      <c r="D455" s="534" t="s">
        <v>551</v>
      </c>
      <c r="E455" s="589" t="n">
        <f aca="false">E453+E449</f>
        <v>1364.1303172738</v>
      </c>
      <c r="F455" s="646"/>
      <c r="G455" s="646"/>
      <c r="H455" s="646"/>
      <c r="I455" s="646"/>
      <c r="J455" s="646"/>
      <c r="K455" s="646"/>
      <c r="L455" s="646"/>
      <c r="M455" s="646"/>
      <c r="N455" s="646"/>
      <c r="O455" s="646"/>
    </row>
    <row r="456" ht="12.75" customHeight="1">
      <c r="A456" s="1128"/>
      <c r="B456" s="1128"/>
      <c r="C456" s="1128"/>
      <c r="D456" s="1128"/>
      <c r="E456" s="1128"/>
      <c r="F456" s="1128"/>
      <c r="G456" s="1128"/>
      <c r="H456" s="1128"/>
      <c r="I456" s="1128"/>
      <c r="J456" s="1128"/>
      <c r="K456" s="1128"/>
      <c r="L456" s="646"/>
      <c r="M456" s="646"/>
      <c r="N456" s="646"/>
      <c r="O456" s="646"/>
    </row>
    <row r="457" ht="12.75" customHeight="1">
      <c r="A457" s="1128"/>
      <c r="B457" s="1128"/>
      <c r="C457" s="1128"/>
      <c r="D457" s="1128"/>
      <c r="E457" s="1128"/>
      <c r="F457" s="1128"/>
      <c r="G457" s="1128"/>
      <c r="H457" s="1128"/>
      <c r="I457" s="1128"/>
      <c r="J457" s="1128"/>
      <c r="K457" s="1128"/>
      <c r="L457" s="646"/>
      <c r="M457" s="646"/>
      <c r="N457" s="646"/>
      <c r="O457" s="646"/>
    </row>
    <row r="458" ht="12.75" customHeight="1">
      <c r="A458" s="1256" t="s">
        <v>2011</v>
      </c>
      <c r="B458" s="1256"/>
      <c r="C458" s="1256"/>
      <c r="D458" s="1256"/>
      <c r="E458" s="1256"/>
      <c r="F458" s="1256"/>
      <c r="G458" s="1256"/>
      <c r="H458" s="1256"/>
      <c r="I458" s="1256"/>
      <c r="J458" s="1128"/>
      <c r="K458" s="1128"/>
      <c r="L458" s="646"/>
      <c r="M458" s="646"/>
      <c r="N458" s="646"/>
      <c r="O458" s="646"/>
    </row>
    <row r="459" ht="20.25" customHeight="1">
      <c r="A459" s="1157"/>
      <c r="B459" s="1140"/>
      <c r="C459" s="1140"/>
      <c r="D459" s="1140"/>
      <c r="E459" s="1140"/>
      <c r="F459" s="1140"/>
      <c r="G459" s="1140"/>
      <c r="H459" s="1140"/>
      <c r="I459" s="1128"/>
      <c r="J459" s="1128"/>
      <c r="K459" s="1128"/>
      <c r="L459" s="646"/>
      <c r="M459" s="646"/>
      <c r="N459" s="646"/>
      <c r="O459" s="646"/>
    </row>
    <row r="460" ht="12.75" customHeight="1">
      <c r="A460" s="1128"/>
      <c r="B460" s="1128"/>
      <c r="C460" s="1128"/>
      <c r="D460" s="840" t="s">
        <v>406</v>
      </c>
      <c r="E460" s="1150"/>
      <c r="F460" s="1128"/>
      <c r="G460" s="1128"/>
      <c r="H460" s="1128"/>
      <c r="I460" s="1128"/>
      <c r="J460" s="646"/>
      <c r="K460" s="646"/>
      <c r="L460" s="646"/>
      <c r="M460" s="646"/>
      <c r="N460" s="646"/>
      <c r="O460" s="646"/>
    </row>
    <row r="461" ht="31.5" customHeight="1">
      <c r="A461" s="1257" t="s">
        <v>2012</v>
      </c>
      <c r="B461" s="1150"/>
      <c r="C461" s="1150"/>
      <c r="D461" s="1168" t="s">
        <v>1862</v>
      </c>
      <c r="E461" s="1150"/>
      <c r="F461" s="1150"/>
      <c r="G461" s="1258" t="s">
        <v>2013</v>
      </c>
      <c r="H461" s="1258"/>
      <c r="I461" s="1128"/>
      <c r="J461" s="646"/>
      <c r="K461" s="646"/>
      <c r="L461" s="646"/>
      <c r="M461" s="646"/>
      <c r="N461" s="646"/>
      <c r="O461" s="646"/>
    </row>
    <row r="462" ht="15.75" customHeight="1">
      <c r="A462" s="1259" t="s">
        <v>2014</v>
      </c>
      <c r="B462" s="1260"/>
      <c r="C462" s="1260"/>
      <c r="D462" s="1258" t="n">
        <f aca="false">F46</f>
        <v>12319.2</v>
      </c>
      <c r="E462" s="1261"/>
      <c r="F462" s="734"/>
      <c r="G462" s="1262" t="n">
        <f aca="false">'Saisie et Calculateur'!B24</f>
        <v>77</v>
      </c>
      <c r="H462" s="1262"/>
      <c r="I462" s="1128"/>
      <c r="J462" s="646"/>
      <c r="K462" s="646"/>
      <c r="L462" s="646"/>
      <c r="M462" s="646"/>
      <c r="N462" s="646"/>
      <c r="O462" s="646"/>
    </row>
    <row r="463" ht="15.75" customHeight="1">
      <c r="A463" s="1259" t="s">
        <v>2015</v>
      </c>
      <c r="B463" s="1260"/>
      <c r="C463" s="1260"/>
      <c r="D463" s="1258" t="n">
        <f aca="false">D88</f>
        <v>0</v>
      </c>
      <c r="E463" s="1261"/>
      <c r="F463" s="734"/>
      <c r="G463" s="1263"/>
      <c r="H463" s="1150"/>
      <c r="I463" s="1128"/>
      <c r="J463" s="646"/>
      <c r="K463" s="646"/>
      <c r="L463" s="646"/>
      <c r="M463" s="646"/>
      <c r="N463" s="646"/>
      <c r="O463" s="646"/>
    </row>
    <row r="464" ht="15.75" customHeight="1">
      <c r="A464" s="1259" t="s">
        <v>2016</v>
      </c>
      <c r="B464" s="1260"/>
      <c r="C464" s="1260"/>
      <c r="D464" s="1258" t="n">
        <f aca="false">E128</f>
        <v>0</v>
      </c>
      <c r="E464" s="1261"/>
      <c r="F464" s="734"/>
      <c r="G464" s="1263"/>
      <c r="H464" s="1128"/>
      <c r="I464" s="1128"/>
      <c r="J464" s="646"/>
      <c r="K464" s="646"/>
      <c r="L464" s="646"/>
      <c r="M464" s="646"/>
      <c r="N464" s="646"/>
      <c r="O464" s="646"/>
    </row>
    <row r="465" ht="15.75" customHeight="1">
      <c r="A465" s="1259" t="s">
        <v>2017</v>
      </c>
      <c r="B465" s="1260"/>
      <c r="C465" s="1260"/>
      <c r="D465" s="1258" t="n">
        <f aca="false">D194</f>
        <v>936</v>
      </c>
      <c r="E465" s="1261"/>
      <c r="F465" s="734"/>
      <c r="G465" s="1263"/>
      <c r="H465" s="1128"/>
      <c r="I465" s="1128"/>
      <c r="J465" s="646"/>
      <c r="K465" s="646"/>
      <c r="L465" s="646"/>
      <c r="M465" s="646"/>
      <c r="N465" s="646"/>
      <c r="O465" s="646"/>
    </row>
    <row r="466" ht="15.75" customHeight="1">
      <c r="A466" s="1259" t="s">
        <v>2018</v>
      </c>
      <c r="B466" s="1260"/>
      <c r="C466" s="1260"/>
      <c r="D466" s="1258" t="n">
        <f aca="false">F234</f>
        <v>1281.6</v>
      </c>
      <c r="E466" s="1261"/>
      <c r="F466" s="734"/>
      <c r="G466" s="1263"/>
      <c r="H466" s="1128"/>
      <c r="I466" s="1128"/>
      <c r="J466" s="646"/>
      <c r="K466" s="646"/>
      <c r="L466" s="646"/>
      <c r="M466" s="646"/>
      <c r="N466" s="646"/>
      <c r="O466" s="646"/>
    </row>
    <row r="467" ht="31.5" customHeight="1">
      <c r="A467" s="1264"/>
      <c r="B467" s="734"/>
      <c r="C467" s="1265" t="s">
        <v>2019</v>
      </c>
      <c r="D467" s="1258" t="n">
        <f aca="false">SUM(D462:D466)</f>
        <v>14536.8</v>
      </c>
      <c r="E467" s="1261"/>
      <c r="F467" s="734"/>
      <c r="G467" s="1263"/>
      <c r="H467" s="1128"/>
      <c r="I467" s="1128"/>
      <c r="J467" s="646"/>
      <c r="K467" s="646"/>
      <c r="L467" s="646"/>
      <c r="M467" s="646"/>
      <c r="N467" s="646"/>
      <c r="O467" s="646"/>
    </row>
    <row r="468" ht="15.75" customHeight="1">
      <c r="A468" s="1264"/>
      <c r="B468" s="734"/>
      <c r="C468" s="1265"/>
      <c r="D468" s="1266"/>
      <c r="E468" s="734"/>
      <c r="F468" s="734"/>
      <c r="G468" s="1261"/>
      <c r="H468" s="1261"/>
      <c r="I468" s="1263"/>
      <c r="J468" s="1128"/>
      <c r="K468" s="1128"/>
      <c r="L468" s="646"/>
      <c r="M468" s="646"/>
      <c r="N468" s="646"/>
      <c r="O468" s="646"/>
    </row>
    <row r="469" ht="20.25" customHeight="1">
      <c r="A469" s="1157" t="s">
        <v>1122</v>
      </c>
      <c r="B469" s="1140"/>
      <c r="C469" s="1140"/>
      <c r="D469" s="1261"/>
      <c r="E469" s="1267"/>
      <c r="F469" s="1128"/>
      <c r="G469" s="1128"/>
      <c r="H469" s="1128"/>
      <c r="I469" s="646"/>
      <c r="J469" s="646"/>
      <c r="K469" s="646"/>
      <c r="L469" s="646"/>
      <c r="M469" s="646"/>
      <c r="N469" s="646"/>
      <c r="O469" s="646"/>
    </row>
    <row r="470" ht="15.75" customHeight="1">
      <c r="A470" s="1259" t="s">
        <v>2020</v>
      </c>
      <c r="B470" s="1268"/>
      <c r="C470" s="1268"/>
      <c r="D470" s="1269" t="n">
        <f aca="false">D272</f>
        <v>0</v>
      </c>
      <c r="E470" s="1261"/>
      <c r="F470" s="1270"/>
      <c r="G470" s="1271"/>
      <c r="H470" s="1128"/>
      <c r="I470" s="1128"/>
      <c r="J470" s="646"/>
      <c r="K470" s="646"/>
      <c r="L470" s="646"/>
      <c r="M470" s="646"/>
      <c r="N470" s="646"/>
      <c r="O470" s="646"/>
    </row>
    <row r="471" ht="15.75" customHeight="1">
      <c r="A471" s="1259" t="s">
        <v>2021</v>
      </c>
      <c r="B471" s="1268"/>
      <c r="C471" s="1268"/>
      <c r="D471" s="1269" t="n">
        <f aca="false">D315</f>
        <v>6956.4</v>
      </c>
      <c r="E471" s="1261"/>
      <c r="F471" s="1270"/>
      <c r="G471" s="1271"/>
      <c r="H471" s="1128"/>
      <c r="I471" s="1128"/>
      <c r="J471" s="646"/>
      <c r="K471" s="646"/>
      <c r="L471" s="646"/>
      <c r="M471" s="646"/>
      <c r="N471" s="646"/>
      <c r="O471" s="646"/>
    </row>
    <row r="472" ht="15.75" customHeight="1">
      <c r="A472" s="1259" t="s">
        <v>2022</v>
      </c>
      <c r="B472" s="1268"/>
      <c r="C472" s="1268"/>
      <c r="D472" s="1269" t="n">
        <f aca="false">D371</f>
        <v>0</v>
      </c>
      <c r="E472" s="1261"/>
      <c r="F472" s="1270"/>
      <c r="G472" s="1271"/>
      <c r="H472" s="1128"/>
      <c r="I472" s="1128"/>
      <c r="J472" s="646"/>
      <c r="K472" s="646"/>
      <c r="L472" s="646"/>
      <c r="M472" s="646"/>
      <c r="N472" s="646"/>
      <c r="O472" s="646"/>
    </row>
    <row r="473" ht="15.75" customHeight="1">
      <c r="A473" s="1259" t="s">
        <v>2023</v>
      </c>
      <c r="B473" s="1268"/>
      <c r="C473" s="1268"/>
      <c r="D473" s="1269" t="n">
        <f aca="false">E396</f>
        <v>0</v>
      </c>
      <c r="E473" s="1261"/>
      <c r="F473" s="1270"/>
      <c r="G473" s="1271"/>
      <c r="H473" s="1128"/>
      <c r="I473" s="1128"/>
      <c r="J473" s="646"/>
      <c r="K473" s="646"/>
      <c r="L473" s="646"/>
      <c r="M473" s="646"/>
      <c r="N473" s="646"/>
      <c r="O473" s="646"/>
    </row>
    <row r="474" ht="15.75" customHeight="1">
      <c r="A474" s="1259" t="s">
        <v>2024</v>
      </c>
      <c r="B474" s="1268"/>
      <c r="C474" s="1268"/>
      <c r="D474" s="1269" t="n">
        <f aca="false">F435</f>
        <v>2029.2</v>
      </c>
      <c r="E474" s="1261"/>
      <c r="F474" s="1270"/>
      <c r="G474" s="1271"/>
      <c r="H474" s="1128"/>
      <c r="I474" s="1128"/>
      <c r="J474" s="646"/>
      <c r="K474" s="646"/>
      <c r="L474" s="646"/>
      <c r="M474" s="646"/>
      <c r="N474" s="646"/>
      <c r="O474" s="646"/>
    </row>
    <row r="475" ht="31.5" customHeight="1">
      <c r="A475" s="1128"/>
      <c r="B475" s="1128"/>
      <c r="C475" s="1265" t="s">
        <v>2025</v>
      </c>
      <c r="D475" s="1269" t="n">
        <f aca="false">SUM(D470:D474)</f>
        <v>8985.6</v>
      </c>
      <c r="E475" s="1261"/>
      <c r="F475" s="1128"/>
      <c r="G475" s="1128"/>
      <c r="H475" s="1128"/>
      <c r="I475" s="1128"/>
      <c r="J475" s="646"/>
      <c r="K475" s="646"/>
      <c r="L475" s="646"/>
      <c r="M475" s="646"/>
      <c r="N475" s="646"/>
      <c r="O475" s="646"/>
    </row>
    <row r="476" ht="15.75" customHeight="1">
      <c r="A476" s="1128"/>
      <c r="B476" s="1128"/>
      <c r="C476" s="1265"/>
      <c r="D476" s="1150"/>
      <c r="E476" s="1261"/>
      <c r="F476" s="1128"/>
      <c r="G476" s="1128"/>
      <c r="H476" s="1128"/>
      <c r="I476" s="1128"/>
      <c r="J476" s="646"/>
      <c r="K476" s="646"/>
      <c r="L476" s="646"/>
      <c r="M476" s="646"/>
      <c r="N476" s="646"/>
      <c r="O476" s="646"/>
    </row>
    <row r="477" ht="15.75" customHeight="1">
      <c r="A477" s="646"/>
      <c r="B477" s="1272" t="s">
        <v>2026</v>
      </c>
      <c r="C477" s="1272"/>
      <c r="D477" s="1269" t="n">
        <f aca="false">D467-D475</f>
        <v>5551.2</v>
      </c>
      <c r="E477" s="1261"/>
      <c r="F477" s="1128"/>
      <c r="G477" s="1128"/>
      <c r="H477" s="1128"/>
      <c r="I477" s="1128"/>
      <c r="J477" s="646"/>
      <c r="K477" s="646"/>
      <c r="L477" s="646"/>
      <c r="M477" s="646"/>
      <c r="N477" s="646"/>
      <c r="O477" s="646"/>
    </row>
    <row r="478" ht="15.75" customHeight="1">
      <c r="A478" s="646"/>
      <c r="B478" s="734" t="s">
        <v>2027</v>
      </c>
      <c r="C478" s="734"/>
      <c r="D478" s="1269" t="n">
        <f aca="false">C442</f>
        <v>70</v>
      </c>
      <c r="E478" s="1261"/>
      <c r="F478" s="1128"/>
      <c r="G478" s="1128"/>
      <c r="H478" s="1128"/>
      <c r="I478" s="1128"/>
      <c r="J478" s="646"/>
      <c r="K478" s="646"/>
      <c r="L478" s="646"/>
      <c r="M478" s="646"/>
      <c r="N478" s="646"/>
      <c r="O478" s="646"/>
    </row>
    <row r="479" ht="15.75" customHeight="1">
      <c r="A479" s="1128"/>
      <c r="B479" s="734" t="s">
        <v>2028</v>
      </c>
      <c r="C479" s="734"/>
      <c r="D479" s="1269" t="n">
        <f aca="false">E455</f>
        <v>1364.1303172738</v>
      </c>
      <c r="E479" s="1261"/>
      <c r="F479" s="1128"/>
      <c r="G479" s="1128"/>
      <c r="H479" s="1128"/>
      <c r="I479" s="1128"/>
      <c r="J479" s="646"/>
      <c r="K479" s="646"/>
      <c r="L479" s="646"/>
      <c r="M479" s="646"/>
      <c r="N479" s="646"/>
      <c r="O479" s="646"/>
    </row>
    <row r="480" ht="15.75" customHeight="1">
      <c r="A480" s="1128"/>
      <c r="B480" s="1272" t="s">
        <v>2029</v>
      </c>
      <c r="C480" s="1272"/>
      <c r="D480" s="1269" t="n">
        <f aca="false">D477-D478-D479</f>
        <v>4117.06968272621</v>
      </c>
      <c r="E480" s="1261"/>
      <c r="F480" s="1128"/>
      <c r="G480" s="1128"/>
      <c r="H480" s="1128"/>
      <c r="I480" s="1128"/>
      <c r="J480" s="646"/>
      <c r="K480" s="646"/>
      <c r="L480" s="646"/>
      <c r="M480" s="646"/>
      <c r="N480" s="646"/>
      <c r="O480" s="646"/>
    </row>
    <row r="481" ht="15.75" customHeight="1">
      <c r="A481" s="1128"/>
      <c r="B481" s="1265"/>
      <c r="C481" s="1273"/>
      <c r="D481" s="1274"/>
      <c r="E481" s="1261"/>
      <c r="F481" s="1128"/>
      <c r="G481" s="1128"/>
      <c r="H481" s="1128"/>
      <c r="I481" s="1128"/>
      <c r="J481" s="646"/>
      <c r="K481" s="646"/>
      <c r="L481" s="646"/>
      <c r="M481" s="646"/>
      <c r="N481" s="646"/>
      <c r="O481" s="646"/>
    </row>
    <row r="482" ht="17.1" customHeight="1">
      <c r="A482" s="1128"/>
      <c r="B482" s="1128"/>
      <c r="C482" s="1128"/>
      <c r="D482" s="1168" t="s">
        <v>2030</v>
      </c>
      <c r="E482" s="1150"/>
      <c r="F482" s="1128"/>
      <c r="G482" s="1128"/>
      <c r="H482" s="1128"/>
      <c r="I482" s="1128"/>
      <c r="J482" s="1128"/>
      <c r="K482" s="646"/>
      <c r="L482" s="646"/>
      <c r="M482" s="646"/>
      <c r="N482" s="646"/>
    </row>
    <row r="483" ht="48" customHeight="1">
      <c r="A483" s="1275" t="s">
        <v>2031</v>
      </c>
      <c r="B483" s="1276" t="s">
        <v>2032</v>
      </c>
      <c r="C483" s="1276"/>
      <c r="D483" s="1277" t="n">
        <f aca="false">IF(G462=0,"?",D480/$G462)</f>
        <v>53.4684374380027</v>
      </c>
      <c r="E483" s="1277"/>
      <c r="F483" s="1128"/>
      <c r="G483" s="1128"/>
      <c r="H483" s="1128"/>
      <c r="I483" s="1128"/>
      <c r="J483" s="1128"/>
      <c r="K483" s="1128"/>
      <c r="L483" s="646"/>
      <c r="M483" s="646"/>
      <c r="N483" s="646"/>
      <c r="O483" s="646"/>
    </row>
  </sheetData>
  <mergeCells count="46">
    <mergeCell ref="N2:O2"/>
    <mergeCell ref="B4:D4"/>
    <mergeCell ref="B5:D5"/>
    <mergeCell ref="B6:D6"/>
    <mergeCell ref="B7:D7"/>
    <mergeCell ref="B8:D8"/>
    <mergeCell ref="A10:I10"/>
    <mergeCell ref="D44:E44"/>
    <mergeCell ref="C46:D46"/>
    <mergeCell ref="A49:I49"/>
    <mergeCell ref="A54:A63"/>
    <mergeCell ref="A66:A70"/>
    <mergeCell ref="A71:A77"/>
    <mergeCell ref="A78:A81"/>
    <mergeCell ref="A82:A86"/>
    <mergeCell ref="A92:I92"/>
    <mergeCell ref="A94:I94"/>
    <mergeCell ref="A104:I104"/>
    <mergeCell ref="I108:I109"/>
    <mergeCell ref="J108:N108"/>
    <mergeCell ref="B126:C126"/>
    <mergeCell ref="B128:C128"/>
    <mergeCell ref="A132:I132"/>
    <mergeCell ref="A197:I197"/>
    <mergeCell ref="A237:I237"/>
    <mergeCell ref="A238:J238"/>
    <mergeCell ref="A276:I276"/>
    <mergeCell ref="A279:A280"/>
    <mergeCell ref="A319:I319"/>
    <mergeCell ref="F357:J357"/>
    <mergeCell ref="A374:I374"/>
    <mergeCell ref="A377:A378"/>
    <mergeCell ref="A386:A387"/>
    <mergeCell ref="B396:C396"/>
    <mergeCell ref="A399:I399"/>
    <mergeCell ref="A438:I438"/>
    <mergeCell ref="A445:I445"/>
    <mergeCell ref="A458:I458"/>
    <mergeCell ref="G461:H461"/>
    <mergeCell ref="G462:H462"/>
    <mergeCell ref="B477:C477"/>
    <mergeCell ref="B478:C478"/>
    <mergeCell ref="B479:C479"/>
    <mergeCell ref="B480:C480"/>
    <mergeCell ref="B483:C483"/>
    <mergeCell ref="D483:E483"/>
  </mergeCells>
  <hyperlinks>
    <hyperlink ref="C200" display="kg accès réfèrences" location="'Tables de conversion'!A549"/>
    <hyperlink ref="C402" display="kg accès réfèrences" location="'Tables de conversion'!A549"/>
  </hyperlinks>
  <pageMargins left="0.7875" right="0.7875" top="0.984027777777778" bottom="0.984722222222222" header="0.511805555555555" footer="0.492361111111111"/>
  <pageSetup paperSize="9" scale="100" firstPageNumber="0" fitToWidth="1" fitToHeight="15" pageOrder="downThenOver" orientation="portrait" blackAndWhite="false" draft="false" cellComments="none" useFirstPageNumber="false" horizontalDpi="300" verticalDpi="300" copies="1"/>
  <headerFooter differentOddEven="0" differentFirst="0" scaleWithDoc="0" alignWithMargins="0">
    <oddHeader/>
    <oddFooter>&amp;Cwww.idea.portea.fr</oddFooter>
  </headerFooter>
  <drawing r:id="rId1"/>
  <legacyDrawing r:id="rIdvml"/>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I19" activeCellId="0" sqref="I19"/>
    </sheetView>
  </sheetViews>
  <sheetFormatPr defaultRowHeight="15.0" baseColWidth="10" outlineLevelCol="1"/>
  <cols>
    <col min="1" max="1" width="24.68" hidden="false" outlineLevel="1" customWidth="1"/>
    <col min="2" max="2" width="12.69" hidden="false" outlineLevel="1" customWidth="1"/>
    <col min="3" max="3" width="13.28" hidden="false" outlineLevel="1" customWidth="1"/>
    <col min="4" max="4" width="10.69" hidden="false" outlineLevel="1" customWidth="1"/>
    <col min="5" max="5" width="10.69" hidden="false" outlineLevel="1" customWidth="1"/>
    <col min="6" max="6" width="23.68" hidden="false" outlineLevel="1" customWidth="1"/>
    <col min="7" max="7" width="13.55" hidden="false" outlineLevel="1" customWidth="1"/>
    <col min="8" max="8" width="16.97" hidden="false" outlineLevel="1" customWidth="1"/>
    <col min="9" max="9" width="23.82" hidden="false" outlineLevel="1" customWidth="1"/>
    <col min="10" max="10" width="11.4" hidden="false" outlineLevel="1" customWidth="1"/>
    <col min="11" max="11" width="21.97" hidden="false" outlineLevel="1" customWidth="1"/>
    <col min="12" max="12" width="10.69" hidden="false" outlineLevel="1" customWidth="1"/>
    <col min="13" max="13" width="16.83" hidden="false" outlineLevel="1" customWidth="1"/>
    <col min="14" max="14" width="12.56" hidden="false" outlineLevel="1" customWidth="1"/>
    <col min="15" max="15" width="18.26" hidden="false" outlineLevel="1" customWidth="1"/>
    <col min="16" max="16" width="10.69" hidden="false" outlineLevel="1" customWidth="1"/>
    <col min="17" max="17" width="10.69" hidden="false" outlineLevel="1" customWidth="1"/>
    <col min="18" max="18" width="10.69" hidden="false" outlineLevel="1" customWidth="1"/>
    <col min="19" max="19" width="10.69" hidden="false" outlineLevel="1" customWidth="1"/>
    <col min="20" max="20" width="10.69" hidden="false" outlineLevel="1" customWidth="1"/>
    <col min="21" max="21" width="10.69" hidden="false" outlineLevel="1" customWidth="1"/>
    <col min="22" max="22" width="10.69" hidden="false" outlineLevel="1" customWidth="1"/>
    <col min="23" max="23" width="10.69" hidden="false" outlineLevel="1" customWidth="1"/>
    <col min="24" max="24" width="10.69" hidden="false" outlineLevel="1" customWidth="1"/>
    <col min="25" max="25" width="10.69" hidden="false" outlineLevel="1" customWidth="1"/>
    <col min="26" max="26" width="10.69" hidden="false" outlineLevel="1" customWidth="1"/>
    <col min="27" max="27" width="10.69" hidden="false" outlineLevel="1" customWidth="1"/>
    <col min="28" max="28" width="10.69" hidden="false" outlineLevel="1" customWidth="1"/>
    <col min="29" max="29" width="10.69" hidden="false" outlineLevel="1" customWidth="1"/>
    <col min="30" max="30" width="10.69" hidden="false" outlineLevel="1" customWidth="1"/>
    <col min="31" max="31" width="10.69" hidden="false" outlineLevel="1" customWidth="1"/>
    <col min="32" max="32" width="10.69" hidden="false" outlineLevel="1" customWidth="1"/>
    <col min="33" max="33" width="10.69" hidden="false" outlineLevel="1" customWidth="1"/>
    <col min="34" max="34" width="10.69" hidden="false" outlineLevel="1" customWidth="1"/>
    <col min="35" max="35" width="10.69" hidden="false" outlineLevel="1" customWidth="1"/>
    <col min="36" max="36" width="10.69" hidden="false" outlineLevel="1" customWidth="1"/>
    <col min="37" max="37" width="10.69" hidden="false" outlineLevel="1" customWidth="1"/>
    <col min="38" max="38" width="10.69" hidden="false" outlineLevel="1" customWidth="1"/>
    <col min="39" max="39" width="10.69" hidden="false" outlineLevel="1" customWidth="1"/>
    <col min="40" max="40" width="10.69" hidden="false" outlineLevel="1" customWidth="1"/>
    <col min="41" max="41" width="10.69" hidden="false" outlineLevel="1" customWidth="1"/>
    <col min="42" max="42" width="10.69" hidden="false" outlineLevel="1" customWidth="1"/>
    <col min="43" max="43" width="10.69" hidden="false" outlineLevel="1" customWidth="1"/>
    <col min="44" max="44" width="10.69" hidden="false" outlineLevel="1" customWidth="1"/>
    <col min="45" max="45" width="10.69" hidden="false" outlineLevel="1" customWidth="1"/>
    <col min="46" max="46" width="10.69" hidden="false" outlineLevel="1" customWidth="1"/>
    <col min="47" max="47" width="10.69" hidden="false" outlineLevel="1" customWidth="1"/>
    <col min="48" max="48" width="10.69" hidden="false" outlineLevel="1" customWidth="1"/>
    <col min="49" max="49" width="10.69" hidden="false" outlineLevel="1" customWidth="1"/>
    <col min="50" max="50" width="10.69" hidden="false" outlineLevel="1" customWidth="1"/>
    <col min="51" max="51" width="10.69" hidden="false" outlineLevel="1" customWidth="1"/>
    <col min="52" max="52" width="10.69" hidden="false" outlineLevel="1" customWidth="1"/>
    <col min="53" max="53" width="10.69" hidden="false" outlineLevel="1" customWidth="1"/>
    <col min="54" max="54" width="10.69" hidden="false" outlineLevel="1" customWidth="1"/>
    <col min="55" max="55" width="10.69" hidden="false" outlineLevel="1" customWidth="1"/>
    <col min="56" max="56" width="10.69" hidden="false" outlineLevel="1" customWidth="1"/>
    <col min="57" max="57" width="10.69" hidden="false" outlineLevel="1" customWidth="1"/>
    <col min="58" max="58" width="10.69" hidden="false" outlineLevel="1" customWidth="1"/>
    <col min="59" max="59" width="10.69" hidden="false" outlineLevel="1" customWidth="1"/>
    <col min="60" max="60" width="10.69" hidden="false" outlineLevel="1" customWidth="1"/>
    <col min="61" max="61" width="10.69" hidden="false" outlineLevel="1" customWidth="1"/>
    <col min="62" max="62" width="10.69" hidden="false" outlineLevel="1" customWidth="1"/>
    <col min="63" max="63" width="10.69" hidden="false" outlineLevel="1" customWidth="1"/>
    <col min="64" max="64" width="10.69" hidden="false" outlineLevel="1" customWidth="1"/>
    <col min="65" max="65" width="10.69" hidden="false" outlineLevel="1" customWidth="1"/>
    <col min="66" max="66" width="10.69" hidden="false" outlineLevel="1" customWidth="1"/>
    <col min="67" max="67" width="10.69" hidden="false" outlineLevel="1" customWidth="1"/>
    <col min="68" max="68" width="10.69" hidden="false" outlineLevel="1" customWidth="1"/>
    <col min="69" max="69" width="10.69" hidden="false" outlineLevel="1" customWidth="1"/>
    <col min="70" max="70" width="10.69" hidden="false" outlineLevel="1" customWidth="1"/>
    <col min="71" max="71" width="10.69" hidden="false" outlineLevel="1" customWidth="1"/>
    <col min="72" max="72" width="10.69" hidden="false" outlineLevel="1" customWidth="1"/>
    <col min="73" max="73" width="10.69" hidden="false" outlineLevel="1" customWidth="1"/>
    <col min="74" max="74" width="10.69" hidden="false" outlineLevel="1" customWidth="1"/>
    <col min="75" max="75" width="10.69" hidden="false" outlineLevel="1" customWidth="1"/>
    <col min="76" max="76" width="10.69" hidden="false" outlineLevel="1" customWidth="1"/>
    <col min="77" max="77" width="10.69" hidden="false" outlineLevel="1" customWidth="1"/>
    <col min="78" max="78" width="10.69" hidden="false" outlineLevel="1" customWidth="1"/>
    <col min="79" max="79" width="10.69" hidden="false" outlineLevel="1" customWidth="1"/>
    <col min="80" max="80" width="10.69" hidden="false" outlineLevel="1" customWidth="1"/>
    <col min="81" max="81" width="10.69" hidden="false" outlineLevel="1" customWidth="1"/>
    <col min="82" max="82" width="10.69" hidden="false" outlineLevel="1" customWidth="1"/>
    <col min="83" max="83" width="10.69" hidden="false" outlineLevel="1" customWidth="1"/>
    <col min="84" max="84" width="10.69" hidden="false" outlineLevel="1" customWidth="1"/>
    <col min="85" max="85" width="10.69" hidden="false" outlineLevel="1" customWidth="1"/>
    <col min="86" max="86" width="10.69" hidden="false" outlineLevel="1" customWidth="1"/>
    <col min="87" max="87" width="10.69" hidden="false" outlineLevel="1" customWidth="1"/>
    <col min="88" max="88" width="10.69" hidden="false" outlineLevel="1" customWidth="1"/>
    <col min="89" max="89" width="10.69" hidden="false" outlineLevel="1" customWidth="1"/>
    <col min="90" max="90" width="10.69" hidden="false" outlineLevel="1" customWidth="1"/>
    <col min="91" max="91" width="10.69" hidden="false" outlineLevel="1" customWidth="1"/>
    <col min="92" max="92" width="10.69" hidden="false" outlineLevel="1" customWidth="1"/>
    <col min="93" max="93" width="10.69" hidden="false" outlineLevel="1" customWidth="1"/>
    <col min="94" max="94" width="10.69" hidden="false" outlineLevel="1" customWidth="1"/>
    <col min="95" max="95" width="10.69" hidden="false" outlineLevel="1" customWidth="1"/>
    <col min="96" max="96" width="10.69" hidden="false" outlineLevel="1" customWidth="1"/>
    <col min="97" max="97" width="10.69" hidden="false" outlineLevel="1" customWidth="1"/>
    <col min="98" max="98" width="10.69" hidden="false" outlineLevel="1" customWidth="1"/>
    <col min="99" max="99" width="10.69" hidden="false" outlineLevel="1" customWidth="1"/>
    <col min="100" max="100" width="10.69" hidden="false" outlineLevel="1" customWidth="1"/>
    <col min="101" max="101" width="10.69" hidden="false" outlineLevel="1" customWidth="1"/>
    <col min="102" max="102" width="10.69" hidden="false" outlineLevel="1" customWidth="1"/>
    <col min="103" max="103" width="10.69" hidden="false" outlineLevel="1" customWidth="1"/>
    <col min="104" max="104" width="10.69" hidden="false" outlineLevel="1" customWidth="1"/>
    <col min="105" max="105" width="10.69" hidden="false" outlineLevel="1" customWidth="1"/>
    <col min="106" max="106" width="10.69" hidden="false" outlineLevel="1" customWidth="1"/>
    <col min="107" max="107" width="10.69" hidden="false" outlineLevel="1" customWidth="1"/>
    <col min="108" max="108" width="10.69" hidden="false" outlineLevel="1" customWidth="1"/>
    <col min="109" max="109" width="10.69" hidden="false" outlineLevel="1" customWidth="1"/>
    <col min="110" max="110" width="10.69" hidden="false" outlineLevel="1" customWidth="1"/>
    <col min="111" max="111" width="10.69" hidden="false" outlineLevel="1" customWidth="1"/>
    <col min="112" max="112" width="10.69" hidden="false" outlineLevel="1" customWidth="1"/>
    <col min="113" max="113" width="10.69" hidden="false" outlineLevel="1" customWidth="1"/>
    <col min="114" max="114" width="10.69" hidden="false" outlineLevel="1" customWidth="1"/>
    <col min="115" max="115" width="10.69" hidden="false" outlineLevel="1" customWidth="1"/>
    <col min="116" max="116" width="10.69" hidden="false" outlineLevel="1" customWidth="1"/>
    <col min="117" max="117" width="10.69" hidden="false" outlineLevel="1" customWidth="1"/>
    <col min="118" max="118" width="10.69" hidden="false" outlineLevel="1" customWidth="1"/>
    <col min="119" max="119" width="10.69" hidden="false" outlineLevel="1" customWidth="1"/>
    <col min="120" max="120" width="10.69" hidden="false" outlineLevel="1" customWidth="1"/>
    <col min="121" max="121" width="10.69" hidden="false" outlineLevel="1" customWidth="1"/>
    <col min="122" max="122" width="10.69" hidden="false" outlineLevel="1" customWidth="1"/>
    <col min="123" max="123" width="10.69" hidden="false" outlineLevel="1" customWidth="1"/>
    <col min="124" max="124" width="10.69" hidden="false" outlineLevel="1" customWidth="1"/>
    <col min="125" max="125" width="10.69" hidden="false" outlineLevel="1" customWidth="1"/>
    <col min="126" max="126" width="10.69" hidden="false" outlineLevel="1" customWidth="1"/>
    <col min="127" max="127" width="10.69" hidden="false" outlineLevel="1" customWidth="1"/>
    <col min="128" max="128" width="10.69" hidden="false" outlineLevel="1" customWidth="1"/>
    <col min="129" max="129" width="10.69" hidden="false" outlineLevel="1" customWidth="1"/>
    <col min="130" max="130" width="10.69" hidden="false" outlineLevel="1" customWidth="1"/>
    <col min="131" max="131" width="10.69" hidden="false" outlineLevel="1" customWidth="1"/>
    <col min="132" max="132" width="10.69" hidden="false" outlineLevel="1" customWidth="1"/>
    <col min="133" max="133" width="10.69" hidden="false" outlineLevel="1" customWidth="1"/>
    <col min="134" max="134" width="10.69" hidden="false" outlineLevel="1" customWidth="1"/>
    <col min="135" max="135" width="10.69" hidden="false" outlineLevel="1" customWidth="1"/>
    <col min="136" max="136" width="10.69" hidden="false" outlineLevel="1" customWidth="1"/>
    <col min="137" max="137" width="10.69" hidden="false" outlineLevel="1" customWidth="1"/>
    <col min="138" max="138" width="10.69" hidden="false" outlineLevel="1" customWidth="1"/>
    <col min="139" max="139" width="10.69" hidden="false" outlineLevel="1" customWidth="1"/>
    <col min="140" max="140" width="10.69" hidden="false" outlineLevel="1" customWidth="1"/>
    <col min="141" max="141" width="10.69" hidden="false" outlineLevel="1" customWidth="1"/>
    <col min="142" max="142" width="10.69" hidden="false" outlineLevel="1" customWidth="1"/>
    <col min="143" max="143" width="10.69" hidden="false" outlineLevel="1" customWidth="1"/>
    <col min="144" max="144" width="10.69" hidden="false" outlineLevel="1" customWidth="1"/>
    <col min="145" max="145" width="10.69" hidden="false" outlineLevel="1" customWidth="1"/>
    <col min="146" max="146" width="10.69" hidden="false" outlineLevel="1" customWidth="1"/>
    <col min="147" max="147" width="10.69" hidden="false" outlineLevel="1" customWidth="1"/>
    <col min="148" max="148" width="10.69" hidden="false" outlineLevel="1" customWidth="1"/>
    <col min="149" max="149" width="10.69" hidden="false" outlineLevel="1" customWidth="1"/>
    <col min="150" max="150" width="10.69" hidden="false" outlineLevel="1" customWidth="1"/>
    <col min="151" max="151" width="10.69" hidden="false" outlineLevel="1" customWidth="1"/>
    <col min="152" max="152" width="10.69" hidden="false" outlineLevel="1" customWidth="1"/>
    <col min="153" max="153" width="10.69" hidden="false" outlineLevel="1" customWidth="1"/>
    <col min="154" max="154" width="10.69" hidden="false" outlineLevel="1" customWidth="1"/>
    <col min="155" max="155" width="10.69" hidden="false" outlineLevel="1" customWidth="1"/>
    <col min="156" max="156" width="10.69" hidden="false" outlineLevel="1" customWidth="1"/>
    <col min="157" max="157" width="10.69" hidden="false" outlineLevel="1" customWidth="1"/>
    <col min="158" max="158" width="10.69" hidden="false" outlineLevel="1" customWidth="1"/>
    <col min="159" max="159" width="10.69" hidden="false" outlineLevel="1" customWidth="1"/>
    <col min="160" max="160" width="10.69" hidden="false" outlineLevel="1" customWidth="1"/>
    <col min="161" max="161" width="10.69" hidden="false" outlineLevel="1" customWidth="1"/>
    <col min="162" max="162" width="10.69" hidden="false" outlineLevel="1" customWidth="1"/>
    <col min="163" max="163" width="10.69" hidden="false" outlineLevel="1" customWidth="1"/>
    <col min="164" max="164" width="10.69" hidden="false" outlineLevel="1" customWidth="1"/>
    <col min="165" max="165" width="10.69" hidden="false" outlineLevel="1" customWidth="1"/>
    <col min="166" max="166" width="10.69" hidden="false" outlineLevel="1" customWidth="1"/>
    <col min="167" max="167" width="10.69" hidden="false" outlineLevel="1" customWidth="1"/>
    <col min="168" max="168" width="10.69" hidden="false" outlineLevel="1" customWidth="1"/>
    <col min="169" max="169" width="10.69" hidden="false" outlineLevel="1" customWidth="1"/>
    <col min="170" max="170" width="10.69" hidden="false" outlineLevel="1" customWidth="1"/>
    <col min="171" max="171" width="10.69" hidden="false" outlineLevel="1" customWidth="1"/>
    <col min="172" max="172" width="10.69" hidden="false" outlineLevel="1" customWidth="1"/>
    <col min="173" max="173" width="10.69" hidden="false" outlineLevel="1" customWidth="1"/>
    <col min="174" max="174" width="10.69" hidden="false" outlineLevel="1" customWidth="1"/>
    <col min="175" max="175" width="10.69" hidden="false" outlineLevel="1" customWidth="1"/>
    <col min="176" max="176" width="10.69" hidden="false" outlineLevel="1" customWidth="1"/>
    <col min="177" max="177" width="10.69" hidden="false" outlineLevel="1" customWidth="1"/>
    <col min="178" max="178" width="10.69" hidden="false" outlineLevel="1" customWidth="1"/>
    <col min="179" max="179" width="10.69" hidden="false" outlineLevel="1" customWidth="1"/>
    <col min="180" max="180" width="10.69" hidden="false" outlineLevel="1" customWidth="1"/>
    <col min="181" max="181" width="10.69" hidden="false" outlineLevel="1" customWidth="1"/>
    <col min="182" max="182" width="10.69" hidden="false" outlineLevel="1" customWidth="1"/>
    <col min="183" max="183" width="10.69" hidden="false" outlineLevel="1" customWidth="1"/>
    <col min="184" max="184" width="10.69" hidden="false" outlineLevel="1" customWidth="1"/>
    <col min="185" max="185" width="10.69" hidden="false" outlineLevel="1" customWidth="1"/>
    <col min="186" max="186" width="10.69" hidden="false" outlineLevel="1" customWidth="1"/>
    <col min="187" max="187" width="10.69" hidden="false" outlineLevel="1" customWidth="1"/>
    <col min="188" max="188" width="10.69" hidden="false" outlineLevel="1" customWidth="1"/>
    <col min="189" max="189" width="10.69" hidden="false" outlineLevel="1" customWidth="1"/>
    <col min="190" max="190" width="10.69" hidden="false" outlineLevel="1" customWidth="1"/>
    <col min="191" max="191" width="10.69" hidden="false" outlineLevel="1" customWidth="1"/>
    <col min="192" max="192" width="10.69" hidden="false" outlineLevel="1" customWidth="1"/>
    <col min="193" max="193" width="10.69" hidden="false" outlineLevel="1" customWidth="1"/>
    <col min="194" max="194" width="10.69" hidden="false" outlineLevel="1" customWidth="1"/>
    <col min="195" max="195" width="10.69" hidden="false" outlineLevel="1" customWidth="1"/>
    <col min="196" max="196" width="10.69" hidden="false" outlineLevel="1" customWidth="1"/>
    <col min="197" max="197" width="10.69" hidden="false" outlineLevel="1" customWidth="1"/>
    <col min="198" max="198" width="10.69" hidden="false" outlineLevel="1" customWidth="1"/>
    <col min="199" max="199" width="10.69" hidden="false" outlineLevel="1" customWidth="1"/>
    <col min="200" max="200" width="10.69" hidden="false" outlineLevel="1" customWidth="1"/>
    <col min="201" max="201" width="10.69" hidden="false" outlineLevel="1" customWidth="1"/>
    <col min="202" max="202" width="10.69" hidden="false" outlineLevel="1" customWidth="1"/>
    <col min="203" max="203" width="10.69" hidden="false" outlineLevel="1" customWidth="1"/>
    <col min="204" max="204" width="10.69" hidden="false" outlineLevel="1" customWidth="1"/>
    <col min="205" max="205" width="10.69" hidden="false" outlineLevel="1" customWidth="1"/>
    <col min="206" max="206" width="10.69" hidden="false" outlineLevel="1" customWidth="1"/>
    <col min="207" max="207" width="10.69" hidden="false" outlineLevel="1" customWidth="1"/>
    <col min="208" max="208" width="10.69" hidden="false" outlineLevel="1" customWidth="1"/>
    <col min="209" max="209" width="10.69" hidden="false" outlineLevel="1" customWidth="1"/>
    <col min="210" max="210" width="10.69" hidden="false" outlineLevel="1" customWidth="1"/>
    <col min="211" max="211" width="10.69" hidden="false" outlineLevel="1" customWidth="1"/>
    <col min="212" max="212" width="10.69" hidden="false" outlineLevel="1" customWidth="1"/>
    <col min="213" max="213" width="10.69" hidden="false" outlineLevel="1" customWidth="1"/>
    <col min="214" max="214" width="10.69" hidden="false" outlineLevel="1" customWidth="1"/>
    <col min="215" max="215" width="10.69" hidden="false" outlineLevel="1" customWidth="1"/>
    <col min="216" max="216" width="10.69" hidden="false" outlineLevel="1" customWidth="1"/>
    <col min="217" max="217" width="10.69" hidden="false" outlineLevel="1" customWidth="1"/>
    <col min="218" max="218" width="10.69" hidden="false" outlineLevel="1" customWidth="1"/>
    <col min="219" max="219" width="10.69" hidden="false" outlineLevel="1" customWidth="1"/>
    <col min="220" max="220" width="10.69" hidden="false" outlineLevel="1" customWidth="1"/>
    <col min="221" max="221" width="10.69" hidden="false" outlineLevel="1" customWidth="1"/>
    <col min="222" max="222" width="10.69" hidden="false" outlineLevel="1" customWidth="1"/>
    <col min="223" max="223" width="10.69" hidden="false" outlineLevel="1" customWidth="1"/>
    <col min="224" max="224" width="10.69" hidden="false" outlineLevel="1" customWidth="1"/>
    <col min="225" max="225" width="10.69" hidden="false" outlineLevel="1" customWidth="1"/>
    <col min="226" max="226" width="10.69" hidden="false" outlineLevel="1" customWidth="1"/>
    <col min="227" max="227" width="10.69" hidden="false" outlineLevel="1" customWidth="1"/>
    <col min="228" max="228" width="10.69" hidden="false" outlineLevel="1" customWidth="1"/>
    <col min="229" max="229" width="10.69" hidden="false" outlineLevel="1" customWidth="1"/>
    <col min="230" max="230" width="10.69" hidden="false" outlineLevel="1" customWidth="1"/>
    <col min="231" max="231" width="10.69" hidden="false" outlineLevel="1" customWidth="1"/>
    <col min="232" max="232" width="10.69" hidden="false" outlineLevel="1" customWidth="1"/>
    <col min="233" max="233" width="10.69" hidden="false" outlineLevel="1" customWidth="1"/>
    <col min="234" max="234" width="10.69" hidden="false" outlineLevel="1" customWidth="1"/>
    <col min="235" max="235" width="10.69" hidden="false" outlineLevel="1" customWidth="1"/>
    <col min="236" max="236" width="10.69" hidden="false" outlineLevel="1" customWidth="1"/>
    <col min="237" max="237" width="10.69" hidden="false" outlineLevel="1" customWidth="1"/>
    <col min="238" max="238" width="10.69" hidden="false" outlineLevel="1" customWidth="1"/>
    <col min="239" max="239" width="10.69" hidden="false" outlineLevel="1" customWidth="1"/>
    <col min="240" max="240" width="10.69" hidden="false" outlineLevel="1" customWidth="1"/>
    <col min="241" max="241" width="10.69" hidden="false" outlineLevel="1" customWidth="1"/>
    <col min="242" max="242" width="10.69" hidden="false" outlineLevel="1" customWidth="1"/>
    <col min="243" max="243" width="10.69" hidden="false" outlineLevel="1" customWidth="1"/>
    <col min="244" max="244" width="10.69" hidden="false" outlineLevel="1" customWidth="1"/>
    <col min="245" max="245" width="10.69" hidden="false" outlineLevel="1" customWidth="1"/>
    <col min="246" max="246" width="10.69" hidden="false" outlineLevel="1" customWidth="1"/>
    <col min="247" max="247" width="10.69" hidden="false" outlineLevel="1" customWidth="1"/>
    <col min="248" max="248" width="10.69" hidden="false" outlineLevel="1" customWidth="1"/>
    <col min="249" max="249" width="10.69" hidden="false" outlineLevel="1" customWidth="1"/>
    <col min="250" max="250" width="10.69" hidden="false" outlineLevel="1" customWidth="1"/>
    <col min="251" max="251" width="10.69" hidden="false" outlineLevel="1" customWidth="1"/>
    <col min="252" max="252" width="10.69" hidden="false" outlineLevel="1" customWidth="1"/>
    <col min="253" max="253" width="10.69" hidden="false" outlineLevel="1" customWidth="1"/>
    <col min="254" max="254" width="10.69" hidden="false" outlineLevel="1" customWidth="1"/>
    <col min="255" max="255" width="10.69" hidden="false" outlineLevel="1" customWidth="1"/>
    <col min="256" max="256" width="10.69" hidden="false" outlineLevel="1" customWidth="1"/>
    <col min="257" max="257" width="10.69" hidden="false" outlineLevel="1" customWidth="1"/>
    <col min="258" max="258" width="10.69" hidden="false" outlineLevel="1" customWidth="1"/>
    <col min="259" max="259" width="10.69" hidden="false" outlineLevel="1" customWidth="1"/>
    <col min="260" max="260" width="10.69" hidden="false" outlineLevel="1" customWidth="1"/>
    <col min="261" max="261" width="10.69" hidden="false" outlineLevel="1" customWidth="1"/>
    <col min="262" max="262" width="10.69" hidden="false" outlineLevel="1" customWidth="1"/>
    <col min="263" max="263" width="10.69" hidden="false" outlineLevel="1" customWidth="1"/>
    <col min="264" max="264" width="10.69" hidden="false" outlineLevel="1" customWidth="1"/>
    <col min="265" max="265" width="10.69" hidden="false" outlineLevel="1" customWidth="1"/>
    <col min="266" max="266" width="10.69" hidden="false" outlineLevel="1" customWidth="1"/>
    <col min="267" max="267" width="10.69" hidden="false" outlineLevel="1" customWidth="1"/>
    <col min="268" max="268" width="10.69" hidden="false" outlineLevel="1" customWidth="1"/>
    <col min="269" max="269" width="10.69" hidden="false" outlineLevel="1" customWidth="1"/>
    <col min="270" max="270" width="10.69" hidden="false" outlineLevel="1" customWidth="1"/>
    <col min="271" max="271" width="10.69" hidden="false" outlineLevel="1" customWidth="1"/>
    <col min="272" max="272" width="10.69" hidden="false" outlineLevel="1" customWidth="1"/>
    <col min="273" max="273" width="10.69" hidden="false" outlineLevel="1" customWidth="1"/>
    <col min="274" max="274" width="10.69" hidden="false" outlineLevel="1" customWidth="1"/>
    <col min="275" max="275" width="10.69" hidden="false" outlineLevel="1" customWidth="1"/>
    <col min="276" max="276" width="10.69" hidden="false" outlineLevel="1" customWidth="1"/>
    <col min="277" max="277" width="10.69" hidden="false" outlineLevel="1" customWidth="1"/>
    <col min="278" max="278" width="10.69" hidden="false" outlineLevel="1" customWidth="1"/>
    <col min="279" max="279" width="10.69" hidden="false" outlineLevel="1" customWidth="1"/>
    <col min="280" max="280" width="10.69" hidden="false" outlineLevel="1" customWidth="1"/>
    <col min="281" max="281" width="10.69" hidden="false" outlineLevel="1" customWidth="1"/>
    <col min="282" max="282" width="10.69" hidden="false" outlineLevel="1" customWidth="1"/>
    <col min="283" max="283" width="10.69" hidden="false" outlineLevel="1" customWidth="1"/>
    <col min="284" max="284" width="10.69" hidden="false" outlineLevel="1" customWidth="1"/>
    <col min="285" max="285" width="10.69" hidden="false" outlineLevel="1" customWidth="1"/>
    <col min="286" max="286" width="10.69" hidden="false" outlineLevel="1" customWidth="1"/>
    <col min="287" max="287" width="10.69" hidden="false" outlineLevel="1" customWidth="1"/>
    <col min="288" max="288" width="10.69" hidden="false" outlineLevel="1" customWidth="1"/>
    <col min="289" max="289" width="10.69" hidden="false" outlineLevel="1" customWidth="1"/>
    <col min="290" max="290" width="10.69" hidden="false" outlineLevel="1" customWidth="1"/>
    <col min="291" max="291" width="10.69" hidden="false" outlineLevel="1" customWidth="1"/>
    <col min="292" max="292" width="10.69" hidden="false" outlineLevel="1" customWidth="1"/>
    <col min="293" max="293" width="10.69" hidden="false" outlineLevel="1" customWidth="1"/>
    <col min="294" max="294" width="10.69" hidden="false" outlineLevel="1" customWidth="1"/>
    <col min="295" max="295" width="10.69" hidden="false" outlineLevel="1" customWidth="1"/>
    <col min="296" max="296" width="10.69" hidden="false" outlineLevel="1" customWidth="1"/>
    <col min="297" max="297" width="10.69" hidden="false" outlineLevel="1" customWidth="1"/>
    <col min="298" max="298" width="10.69" hidden="false" outlineLevel="1" customWidth="1"/>
    <col min="299" max="299" width="10.69" hidden="false" outlineLevel="1" customWidth="1"/>
    <col min="300" max="300" width="10.69" hidden="false" outlineLevel="1" customWidth="1"/>
    <col min="301" max="301" width="10.69" hidden="false" outlineLevel="1" customWidth="1"/>
    <col min="302" max="302" width="10.69" hidden="false" outlineLevel="1" customWidth="1"/>
    <col min="303" max="303" width="10.69" hidden="false" outlineLevel="1" customWidth="1"/>
    <col min="304" max="304" width="10.69" hidden="false" outlineLevel="1" customWidth="1"/>
    <col min="305" max="305" width="10.69" hidden="false" outlineLevel="1" customWidth="1"/>
    <col min="306" max="306" width="10.69" hidden="false" outlineLevel="1" customWidth="1"/>
    <col min="307" max="307" width="10.69" hidden="false" outlineLevel="1" customWidth="1"/>
    <col min="308" max="308" width="10.69" hidden="false" outlineLevel="1" customWidth="1"/>
    <col min="309" max="309" width="10.69" hidden="false" outlineLevel="1" customWidth="1"/>
    <col min="310" max="310" width="10.69" hidden="false" outlineLevel="1" customWidth="1"/>
    <col min="311" max="311" width="10.69" hidden="false" outlineLevel="1" customWidth="1"/>
    <col min="312" max="312" width="10.69" hidden="false" outlineLevel="1" customWidth="1"/>
    <col min="313" max="313" width="10.69" hidden="false" outlineLevel="1" customWidth="1"/>
    <col min="314" max="314" width="10.69" hidden="false" outlineLevel="1" customWidth="1"/>
    <col min="315" max="315" width="10.69" hidden="false" outlineLevel="1" customWidth="1"/>
    <col min="316" max="316" width="10.69" hidden="false" outlineLevel="1" customWidth="1"/>
    <col min="317" max="317" width="10.69" hidden="false" outlineLevel="1" customWidth="1"/>
    <col min="318" max="318" width="10.69" hidden="false" outlineLevel="1" customWidth="1"/>
    <col min="319" max="319" width="10.69" hidden="false" outlineLevel="1" customWidth="1"/>
    <col min="320" max="320" width="10.69" hidden="false" outlineLevel="1" customWidth="1"/>
    <col min="321" max="321" width="10.69" hidden="false" outlineLevel="1" customWidth="1"/>
    <col min="322" max="322" width="10.69" hidden="false" outlineLevel="1" customWidth="1"/>
    <col min="323" max="323" width="10.69" hidden="false" outlineLevel="1" customWidth="1"/>
    <col min="324" max="324" width="10.69" hidden="false" outlineLevel="1" customWidth="1"/>
    <col min="325" max="325" width="10.69" hidden="false" outlineLevel="1" customWidth="1"/>
    <col min="326" max="326" width="10.69" hidden="false" outlineLevel="1" customWidth="1"/>
    <col min="327" max="327" width="10.69" hidden="false" outlineLevel="1" customWidth="1"/>
    <col min="328" max="328" width="10.69" hidden="false" outlineLevel="1" customWidth="1"/>
    <col min="329" max="329" width="10.69" hidden="false" outlineLevel="1" customWidth="1"/>
    <col min="330" max="330" width="10.69" hidden="false" outlineLevel="1" customWidth="1"/>
    <col min="331" max="331" width="10.69" hidden="false" outlineLevel="1" customWidth="1"/>
    <col min="332" max="332" width="10.69" hidden="false" outlineLevel="1" customWidth="1"/>
    <col min="333" max="333" width="10.69" hidden="false" outlineLevel="1" customWidth="1"/>
    <col min="334" max="334" width="10.69" hidden="false" outlineLevel="1" customWidth="1"/>
    <col min="335" max="335" width="10.69" hidden="false" outlineLevel="1" customWidth="1"/>
    <col min="336" max="336" width="10.69" hidden="false" outlineLevel="1" customWidth="1"/>
    <col min="337" max="337" width="10.69" hidden="false" outlineLevel="1" customWidth="1"/>
    <col min="338" max="338" width="10.69" hidden="false" outlineLevel="1" customWidth="1"/>
    <col min="339" max="339" width="10.69" hidden="false" outlineLevel="1" customWidth="1"/>
    <col min="340" max="340" width="10.69" hidden="false" outlineLevel="1" customWidth="1"/>
    <col min="341" max="341" width="10.69" hidden="false" outlineLevel="1" customWidth="1"/>
    <col min="342" max="342" width="10.69" hidden="false" outlineLevel="1" customWidth="1"/>
    <col min="343" max="343" width="10.69" hidden="false" outlineLevel="1" customWidth="1"/>
    <col min="344" max="344" width="10.69" hidden="false" outlineLevel="1" customWidth="1"/>
    <col min="345" max="345" width="10.69" hidden="false" outlineLevel="1" customWidth="1"/>
    <col min="346" max="346" width="10.69" hidden="false" outlineLevel="1" customWidth="1"/>
    <col min="347" max="347" width="10.69" hidden="false" outlineLevel="1" customWidth="1"/>
    <col min="348" max="348" width="10.69" hidden="false" outlineLevel="1" customWidth="1"/>
    <col min="349" max="349" width="10.69" hidden="false" outlineLevel="1" customWidth="1"/>
    <col min="350" max="350" width="10.69" hidden="false" outlineLevel="1" customWidth="1"/>
    <col min="351" max="351" width="10.69" hidden="false" outlineLevel="1" customWidth="1"/>
    <col min="352" max="352" width="10.69" hidden="false" outlineLevel="1" customWidth="1"/>
    <col min="353" max="353" width="10.69" hidden="false" outlineLevel="1" customWidth="1"/>
    <col min="354" max="354" width="10.69" hidden="false" outlineLevel="1" customWidth="1"/>
    <col min="355" max="355" width="10.69" hidden="false" outlineLevel="1" customWidth="1"/>
    <col min="356" max="356" width="10.69" hidden="false" outlineLevel="1" customWidth="1"/>
    <col min="357" max="357" width="10.69" hidden="false" outlineLevel="1" customWidth="1"/>
    <col min="358" max="358" width="10.69" hidden="false" outlineLevel="1" customWidth="1"/>
    <col min="359" max="359" width="10.69" hidden="false" outlineLevel="1" customWidth="1"/>
    <col min="360" max="360" width="10.69" hidden="false" outlineLevel="1" customWidth="1"/>
    <col min="361" max="361" width="10.69" hidden="false" outlineLevel="1" customWidth="1"/>
    <col min="362" max="362" width="10.69" hidden="false" outlineLevel="1" customWidth="1"/>
    <col min="363" max="363" width="10.69" hidden="false" outlineLevel="1" customWidth="1"/>
    <col min="364" max="364" width="10.69" hidden="false" outlineLevel="1" customWidth="1"/>
    <col min="365" max="365" width="10.69" hidden="false" outlineLevel="1" customWidth="1"/>
    <col min="366" max="366" width="10.69" hidden="false" outlineLevel="1" customWidth="1"/>
    <col min="367" max="367" width="10.69" hidden="false" outlineLevel="1" customWidth="1"/>
    <col min="368" max="368" width="10.69" hidden="false" outlineLevel="1" customWidth="1"/>
    <col min="369" max="369" width="10.69" hidden="false" outlineLevel="1" customWidth="1"/>
    <col min="370" max="370" width="10.69" hidden="false" outlineLevel="1" customWidth="1"/>
    <col min="371" max="371" width="10.69" hidden="false" outlineLevel="1" customWidth="1"/>
    <col min="372" max="372" width="10.69" hidden="false" outlineLevel="1" customWidth="1"/>
    <col min="373" max="373" width="10.69" hidden="false" outlineLevel="1" customWidth="1"/>
    <col min="374" max="374" width="10.69" hidden="false" outlineLevel="1" customWidth="1"/>
    <col min="375" max="375" width="10.69" hidden="false" outlineLevel="1" customWidth="1"/>
    <col min="376" max="376" width="10.69" hidden="false" outlineLevel="1" customWidth="1"/>
    <col min="377" max="377" width="10.69" hidden="false" outlineLevel="1" customWidth="1"/>
    <col min="378" max="378" width="10.69" hidden="false" outlineLevel="1" customWidth="1"/>
    <col min="379" max="379" width="10.69" hidden="false" outlineLevel="1" customWidth="1"/>
    <col min="380" max="380" width="10.69" hidden="false" outlineLevel="1" customWidth="1"/>
    <col min="381" max="381" width="10.69" hidden="false" outlineLevel="1" customWidth="1"/>
    <col min="382" max="382" width="10.69" hidden="false" outlineLevel="1" customWidth="1"/>
    <col min="383" max="383" width="10.69" hidden="false" outlineLevel="1" customWidth="1"/>
    <col min="384" max="384" width="10.69" hidden="false" outlineLevel="1" customWidth="1"/>
    <col min="385" max="385" width="10.69" hidden="false" outlineLevel="1" customWidth="1"/>
    <col min="386" max="386" width="10.69" hidden="false" outlineLevel="1" customWidth="1"/>
    <col min="387" max="387" width="10.69" hidden="false" outlineLevel="1" customWidth="1"/>
    <col min="388" max="388" width="10.69" hidden="false" outlineLevel="1" customWidth="1"/>
    <col min="389" max="389" width="10.69" hidden="false" outlineLevel="1" customWidth="1"/>
    <col min="390" max="390" width="10.69" hidden="false" outlineLevel="1" customWidth="1"/>
    <col min="391" max="391" width="10.69" hidden="false" outlineLevel="1" customWidth="1"/>
    <col min="392" max="392" width="10.69" hidden="false" outlineLevel="1" customWidth="1"/>
    <col min="393" max="393" width="10.69" hidden="false" outlineLevel="1" customWidth="1"/>
    <col min="394" max="394" width="10.69" hidden="false" outlineLevel="1" customWidth="1"/>
    <col min="395" max="395" width="10.69" hidden="false" outlineLevel="1" customWidth="1"/>
    <col min="396" max="396" width="10.69" hidden="false" outlineLevel="1" customWidth="1"/>
    <col min="397" max="397" width="10.69" hidden="false" outlineLevel="1" customWidth="1"/>
    <col min="398" max="398" width="10.69" hidden="false" outlineLevel="1" customWidth="1"/>
    <col min="399" max="399" width="10.69" hidden="false" outlineLevel="1" customWidth="1"/>
    <col min="400" max="400" width="10.69" hidden="false" outlineLevel="1" customWidth="1"/>
    <col min="401" max="401" width="10.69" hidden="false" outlineLevel="1" customWidth="1"/>
    <col min="402" max="402" width="10.69" hidden="false" outlineLevel="1" customWidth="1"/>
    <col min="403" max="403" width="10.69" hidden="false" outlineLevel="1" customWidth="1"/>
    <col min="404" max="404" width="10.69" hidden="false" outlineLevel="1" customWidth="1"/>
    <col min="405" max="405" width="10.69" hidden="false" outlineLevel="1" customWidth="1"/>
    <col min="406" max="406" width="10.69" hidden="false" outlineLevel="1" customWidth="1"/>
    <col min="407" max="407" width="10.69" hidden="false" outlineLevel="1" customWidth="1"/>
    <col min="408" max="408" width="10.69" hidden="false" outlineLevel="1" customWidth="1"/>
    <col min="409" max="409" width="10.69" hidden="false" outlineLevel="1" customWidth="1"/>
    <col min="410" max="410" width="10.69" hidden="false" outlineLevel="1" customWidth="1"/>
    <col min="411" max="411" width="10.69" hidden="false" outlineLevel="1" customWidth="1"/>
    <col min="412" max="412" width="10.69" hidden="false" outlineLevel="1" customWidth="1"/>
    <col min="413" max="413" width="10.69" hidden="false" outlineLevel="1" customWidth="1"/>
    <col min="414" max="414" width="10.69" hidden="false" outlineLevel="1" customWidth="1"/>
    <col min="415" max="415" width="10.69" hidden="false" outlineLevel="1" customWidth="1"/>
    <col min="416" max="416" width="10.69" hidden="false" outlineLevel="1" customWidth="1"/>
    <col min="417" max="417" width="10.69" hidden="false" outlineLevel="1" customWidth="1"/>
    <col min="418" max="418" width="10.69" hidden="false" outlineLevel="1" customWidth="1"/>
    <col min="419" max="419" width="10.69" hidden="false" outlineLevel="1" customWidth="1"/>
    <col min="420" max="420" width="10.69" hidden="false" outlineLevel="1" customWidth="1"/>
    <col min="421" max="421" width="10.69" hidden="false" outlineLevel="1" customWidth="1"/>
    <col min="422" max="422" width="10.69" hidden="false" outlineLevel="1" customWidth="1"/>
    <col min="423" max="423" width="10.69" hidden="false" outlineLevel="1" customWidth="1"/>
    <col min="424" max="424" width="10.69" hidden="false" outlineLevel="1" customWidth="1"/>
    <col min="425" max="425" width="10.69" hidden="false" outlineLevel="1" customWidth="1"/>
    <col min="426" max="426" width="10.69" hidden="false" outlineLevel="1" customWidth="1"/>
    <col min="427" max="427" width="10.69" hidden="false" outlineLevel="1" customWidth="1"/>
    <col min="428" max="428" width="10.69" hidden="false" outlineLevel="1" customWidth="1"/>
    <col min="429" max="429" width="10.69" hidden="false" outlineLevel="1" customWidth="1"/>
    <col min="430" max="430" width="10.69" hidden="false" outlineLevel="1" customWidth="1"/>
    <col min="431" max="431" width="10.69" hidden="false" outlineLevel="1" customWidth="1"/>
    <col min="432" max="432" width="10.69" hidden="false" outlineLevel="1" customWidth="1"/>
    <col min="433" max="433" width="10.69" hidden="false" outlineLevel="1" customWidth="1"/>
    <col min="434" max="434" width="10.69" hidden="false" outlineLevel="1" customWidth="1"/>
    <col min="435" max="435" width="10.69" hidden="false" outlineLevel="1" customWidth="1"/>
    <col min="436" max="436" width="10.69" hidden="false" outlineLevel="1" customWidth="1"/>
    <col min="437" max="437" width="10.69" hidden="false" outlineLevel="1" customWidth="1"/>
    <col min="438" max="438" width="10.69" hidden="false" outlineLevel="1" customWidth="1"/>
    <col min="439" max="439" width="10.69" hidden="false" outlineLevel="1" customWidth="1"/>
    <col min="440" max="440" width="10.69" hidden="false" outlineLevel="1" customWidth="1"/>
    <col min="441" max="441" width="10.69" hidden="false" outlineLevel="1" customWidth="1"/>
    <col min="442" max="442" width="10.69" hidden="false" outlineLevel="1" customWidth="1"/>
    <col min="443" max="443" width="10.69" hidden="false" outlineLevel="1" customWidth="1"/>
    <col min="444" max="444" width="10.69" hidden="false" outlineLevel="1" customWidth="1"/>
    <col min="445" max="445" width="10.69" hidden="false" outlineLevel="1" customWidth="1"/>
    <col min="446" max="446" width="10.69" hidden="false" outlineLevel="1" customWidth="1"/>
    <col min="447" max="447" width="10.69" hidden="false" outlineLevel="1" customWidth="1"/>
    <col min="448" max="448" width="10.69" hidden="false" outlineLevel="1" customWidth="1"/>
    <col min="449" max="449" width="10.69" hidden="false" outlineLevel="1" customWidth="1"/>
    <col min="450" max="450" width="10.69" hidden="false" outlineLevel="1" customWidth="1"/>
    <col min="451" max="451" width="10.69" hidden="false" outlineLevel="1" customWidth="1"/>
    <col min="452" max="452" width="10.69" hidden="false" outlineLevel="1" customWidth="1"/>
    <col min="453" max="453" width="10.69" hidden="false" outlineLevel="1" customWidth="1"/>
    <col min="454" max="454" width="10.69" hidden="false" outlineLevel="1" customWidth="1"/>
    <col min="455" max="455" width="10.69" hidden="false" outlineLevel="1" customWidth="1"/>
    <col min="456" max="456" width="10.69" hidden="false" outlineLevel="1" customWidth="1"/>
    <col min="457" max="457" width="10.69" hidden="false" outlineLevel="1" customWidth="1"/>
    <col min="458" max="458" width="10.69" hidden="false" outlineLevel="1" customWidth="1"/>
    <col min="459" max="459" width="10.69" hidden="false" outlineLevel="1" customWidth="1"/>
    <col min="460" max="460" width="10.69" hidden="false" outlineLevel="1" customWidth="1"/>
    <col min="461" max="461" width="10.69" hidden="false" outlineLevel="1" customWidth="1"/>
    <col min="462" max="462" width="10.69" hidden="false" outlineLevel="1" customWidth="1"/>
    <col min="463" max="463" width="10.69" hidden="false" outlineLevel="1" customWidth="1"/>
    <col min="464" max="464" width="10.69" hidden="false" outlineLevel="1" customWidth="1"/>
    <col min="465" max="465" width="10.69" hidden="false" outlineLevel="1" customWidth="1"/>
    <col min="466" max="466" width="10.69" hidden="false" outlineLevel="1" customWidth="1"/>
    <col min="467" max="467" width="10.69" hidden="false" outlineLevel="1" customWidth="1"/>
    <col min="468" max="468" width="10.69" hidden="false" outlineLevel="1" customWidth="1"/>
    <col min="469" max="469" width="10.69" hidden="false" outlineLevel="1" customWidth="1"/>
    <col min="470" max="470" width="10.69" hidden="false" outlineLevel="1" customWidth="1"/>
    <col min="471" max="471" width="10.69" hidden="false" outlineLevel="1" customWidth="1"/>
    <col min="472" max="472" width="10.69" hidden="false" outlineLevel="1" customWidth="1"/>
    <col min="473" max="473" width="10.69" hidden="false" outlineLevel="1" customWidth="1"/>
    <col min="474" max="474" width="10.69" hidden="false" outlineLevel="1" customWidth="1"/>
    <col min="475" max="475" width="10.69" hidden="false" outlineLevel="1" customWidth="1"/>
    <col min="476" max="476" width="10.69" hidden="false" outlineLevel="1" customWidth="1"/>
    <col min="477" max="477" width="10.69" hidden="false" outlineLevel="1" customWidth="1"/>
    <col min="478" max="478" width="10.69" hidden="false" outlineLevel="1" customWidth="1"/>
    <col min="479" max="479" width="10.69" hidden="false" outlineLevel="1" customWidth="1"/>
    <col min="480" max="480" width="10.69" hidden="false" outlineLevel="1" customWidth="1"/>
    <col min="481" max="481" width="10.69" hidden="false" outlineLevel="1" customWidth="1"/>
    <col min="482" max="482" width="10.69" hidden="false" outlineLevel="1" customWidth="1"/>
    <col min="483" max="483" width="10.69" hidden="false" outlineLevel="1" customWidth="1"/>
    <col min="484" max="484" width="10.69" hidden="false" outlineLevel="1" customWidth="1"/>
    <col min="485" max="485" width="10.69" hidden="false" outlineLevel="1" customWidth="1"/>
    <col min="486" max="486" width="10.69" hidden="false" outlineLevel="1" customWidth="1"/>
    <col min="487" max="487" width="10.69" hidden="false" outlineLevel="1" customWidth="1"/>
    <col min="488" max="488" width="10.69" hidden="false" outlineLevel="1" customWidth="1"/>
    <col min="489" max="489" width="10.69" hidden="false" outlineLevel="1" customWidth="1"/>
    <col min="490" max="490" width="10.69" hidden="false" outlineLevel="1" customWidth="1"/>
    <col min="491" max="491" width="10.69" hidden="false" outlineLevel="1" customWidth="1"/>
    <col min="492" max="492" width="10.69" hidden="false" outlineLevel="1" customWidth="1"/>
    <col min="493" max="493" width="10.69" hidden="false" outlineLevel="1" customWidth="1"/>
    <col min="494" max="494" width="10.69" hidden="false" outlineLevel="1" customWidth="1"/>
    <col min="495" max="495" width="10.69" hidden="false" outlineLevel="1" customWidth="1"/>
    <col min="496" max="496" width="10.69" hidden="false" outlineLevel="1" customWidth="1"/>
    <col min="497" max="497" width="10.69" hidden="false" outlineLevel="1" customWidth="1"/>
    <col min="498" max="498" width="10.69" hidden="false" outlineLevel="1" customWidth="1"/>
    <col min="499" max="499" width="10.69" hidden="false" outlineLevel="1" customWidth="1"/>
    <col min="500" max="500" width="10.69" hidden="false" outlineLevel="1" customWidth="1"/>
    <col min="501" max="501" width="10.69" hidden="false" outlineLevel="1" customWidth="1"/>
    <col min="502" max="502" width="10.69" hidden="false" outlineLevel="1" customWidth="1"/>
    <col min="503" max="503" width="10.69" hidden="false" outlineLevel="1" customWidth="1"/>
    <col min="504" max="504" width="10.69" hidden="false" outlineLevel="1" customWidth="1"/>
    <col min="505" max="505" width="10.69" hidden="false" outlineLevel="1" customWidth="1"/>
    <col min="506" max="506" width="10.69" hidden="false" outlineLevel="1" customWidth="1"/>
    <col min="507" max="507" width="10.69" hidden="false" outlineLevel="1" customWidth="1"/>
    <col min="508" max="508" width="10.69" hidden="false" outlineLevel="1" customWidth="1"/>
    <col min="509" max="509" width="10.69" hidden="false" outlineLevel="1" customWidth="1"/>
    <col min="510" max="510" width="10.69" hidden="false" outlineLevel="1" customWidth="1"/>
    <col min="511" max="511" width="10.69" hidden="false" outlineLevel="1" customWidth="1"/>
    <col min="512" max="512" width="10.69" hidden="false" outlineLevel="1" customWidth="1"/>
    <col min="513" max="513" width="10.69" hidden="false" outlineLevel="1" customWidth="1"/>
    <col min="514" max="514" width="10.69" hidden="false" outlineLevel="1" customWidth="1"/>
    <col min="515" max="515" width="10.69" hidden="false" outlineLevel="1" customWidth="1"/>
    <col min="516" max="516" width="10.69" hidden="false" outlineLevel="1" customWidth="1"/>
    <col min="517" max="517" width="10.69" hidden="false" outlineLevel="1" customWidth="1"/>
    <col min="518" max="518" width="10.69" hidden="false" outlineLevel="1" customWidth="1"/>
    <col min="519" max="519" width="10.69" hidden="false" outlineLevel="1" customWidth="1"/>
    <col min="520" max="520" width="10.69" hidden="false" outlineLevel="1" customWidth="1"/>
    <col min="521" max="521" width="10.69" hidden="false" outlineLevel="1" customWidth="1"/>
    <col min="522" max="522" width="10.69" hidden="false" outlineLevel="1" customWidth="1"/>
    <col min="523" max="523" width="10.69" hidden="false" outlineLevel="1" customWidth="1"/>
    <col min="524" max="524" width="10.69" hidden="false" outlineLevel="1" customWidth="1"/>
    <col min="525" max="525" width="10.69" hidden="false" outlineLevel="1" customWidth="1"/>
    <col min="526" max="526" width="10.69" hidden="false" outlineLevel="1" customWidth="1"/>
    <col min="527" max="527" width="10.69" hidden="false" outlineLevel="1" customWidth="1"/>
    <col min="528" max="528" width="10.69" hidden="false" outlineLevel="1" customWidth="1"/>
    <col min="529" max="529" width="10.69" hidden="false" outlineLevel="1" customWidth="1"/>
    <col min="530" max="530" width="10.69" hidden="false" outlineLevel="1" customWidth="1"/>
    <col min="531" max="531" width="10.69" hidden="false" outlineLevel="1" customWidth="1"/>
    <col min="532" max="532" width="10.69" hidden="false" outlineLevel="1" customWidth="1"/>
    <col min="533" max="533" width="10.69" hidden="false" outlineLevel="1" customWidth="1"/>
    <col min="534" max="534" width="10.69" hidden="false" outlineLevel="1" customWidth="1"/>
    <col min="535" max="535" width="10.69" hidden="false" outlineLevel="1" customWidth="1"/>
    <col min="536" max="536" width="10.69" hidden="false" outlineLevel="1" customWidth="1"/>
    <col min="537" max="537" width="10.69" hidden="false" outlineLevel="1" customWidth="1"/>
    <col min="538" max="538" width="10.69" hidden="false" outlineLevel="1" customWidth="1"/>
    <col min="539" max="539" width="10.69" hidden="false" outlineLevel="1" customWidth="1"/>
    <col min="540" max="540" width="10.69" hidden="false" outlineLevel="1" customWidth="1"/>
    <col min="541" max="541" width="10.69" hidden="false" outlineLevel="1" customWidth="1"/>
    <col min="542" max="542" width="10.69" hidden="false" outlineLevel="1" customWidth="1"/>
    <col min="543" max="543" width="10.69" hidden="false" outlineLevel="1" customWidth="1"/>
    <col min="544" max="544" width="10.69" hidden="false" outlineLevel="1" customWidth="1"/>
    <col min="545" max="545" width="10.69" hidden="false" outlineLevel="1" customWidth="1"/>
    <col min="546" max="546" width="10.69" hidden="false" outlineLevel="1" customWidth="1"/>
    <col min="547" max="547" width="10.69" hidden="false" outlineLevel="1" customWidth="1"/>
    <col min="548" max="548" width="10.69" hidden="false" outlineLevel="1" customWidth="1"/>
    <col min="549" max="549" width="10.69" hidden="false" outlineLevel="1" customWidth="1"/>
    <col min="550" max="550" width="10.69" hidden="false" outlineLevel="1" customWidth="1"/>
    <col min="551" max="551" width="10.69" hidden="false" outlineLevel="1" customWidth="1"/>
    <col min="552" max="552" width="10.69" hidden="false" outlineLevel="1" customWidth="1"/>
    <col min="553" max="553" width="10.69" hidden="false" outlineLevel="1" customWidth="1"/>
    <col min="554" max="554" width="10.69" hidden="false" outlineLevel="1" customWidth="1"/>
    <col min="555" max="555" width="10.69" hidden="false" outlineLevel="1" customWidth="1"/>
    <col min="556" max="556" width="10.69" hidden="false" outlineLevel="1" customWidth="1"/>
    <col min="557" max="557" width="10.69" hidden="false" outlineLevel="1" customWidth="1"/>
    <col min="558" max="558" width="10.69" hidden="false" outlineLevel="1" customWidth="1"/>
    <col min="559" max="559" width="10.69" hidden="false" outlineLevel="1" customWidth="1"/>
    <col min="560" max="560" width="10.69" hidden="false" outlineLevel="1" customWidth="1"/>
    <col min="561" max="561" width="10.69" hidden="false" outlineLevel="1" customWidth="1"/>
    <col min="562" max="562" width="10.69" hidden="false" outlineLevel="1" customWidth="1"/>
    <col min="563" max="563" width="10.69" hidden="false" outlineLevel="1" customWidth="1"/>
    <col min="564" max="564" width="10.69" hidden="false" outlineLevel="1" customWidth="1"/>
    <col min="565" max="565" width="10.69" hidden="false" outlineLevel="1" customWidth="1"/>
    <col min="566" max="566" width="10.69" hidden="false" outlineLevel="1" customWidth="1"/>
    <col min="567" max="567" width="10.69" hidden="false" outlineLevel="1" customWidth="1"/>
    <col min="568" max="568" width="10.69" hidden="false" outlineLevel="1" customWidth="1"/>
    <col min="569" max="569" width="10.69" hidden="false" outlineLevel="1" customWidth="1"/>
    <col min="570" max="570" width="10.69" hidden="false" outlineLevel="1" customWidth="1"/>
    <col min="571" max="571" width="10.69" hidden="false" outlineLevel="1" customWidth="1"/>
    <col min="572" max="572" width="10.69" hidden="false" outlineLevel="1" customWidth="1"/>
    <col min="573" max="573" width="10.69" hidden="false" outlineLevel="1" customWidth="1"/>
    <col min="574" max="574" width="10.69" hidden="false" outlineLevel="1" customWidth="1"/>
    <col min="575" max="575" width="10.69" hidden="false" outlineLevel="1" customWidth="1"/>
    <col min="576" max="576" width="10.69" hidden="false" outlineLevel="1" customWidth="1"/>
    <col min="577" max="577" width="10.69" hidden="false" outlineLevel="1" customWidth="1"/>
    <col min="578" max="578" width="10.69" hidden="false" outlineLevel="1" customWidth="1"/>
    <col min="579" max="579" width="10.69" hidden="false" outlineLevel="1" customWidth="1"/>
    <col min="580" max="580" width="10.69" hidden="false" outlineLevel="1" customWidth="1"/>
    <col min="581" max="581" width="10.69" hidden="false" outlineLevel="1" customWidth="1"/>
    <col min="582" max="582" width="10.69" hidden="false" outlineLevel="1" customWidth="1"/>
    <col min="583" max="583" width="10.69" hidden="false" outlineLevel="1" customWidth="1"/>
    <col min="584" max="584" width="10.69" hidden="false" outlineLevel="1" customWidth="1"/>
    <col min="585" max="585" width="10.69" hidden="false" outlineLevel="1" customWidth="1"/>
    <col min="586" max="586" width="10.69" hidden="false" outlineLevel="1" customWidth="1"/>
    <col min="587" max="587" width="10.69" hidden="false" outlineLevel="1" customWidth="1"/>
    <col min="588" max="588" width="10.69" hidden="false" outlineLevel="1" customWidth="1"/>
    <col min="589" max="589" width="10.69" hidden="false" outlineLevel="1" customWidth="1"/>
    <col min="590" max="590" width="10.69" hidden="false" outlineLevel="1" customWidth="1"/>
    <col min="591" max="591" width="10.69" hidden="false" outlineLevel="1" customWidth="1"/>
    <col min="592" max="592" width="10.69" hidden="false" outlineLevel="1" customWidth="1"/>
    <col min="593" max="593" width="10.69" hidden="false" outlineLevel="1" customWidth="1"/>
    <col min="594" max="594" width="10.69" hidden="false" outlineLevel="1" customWidth="1"/>
    <col min="595" max="595" width="10.69" hidden="false" outlineLevel="1" customWidth="1"/>
    <col min="596" max="596" width="10.69" hidden="false" outlineLevel="1" customWidth="1"/>
    <col min="597" max="597" width="10.69" hidden="false" outlineLevel="1" customWidth="1"/>
    <col min="598" max="598" width="10.69" hidden="false" outlineLevel="1" customWidth="1"/>
    <col min="599" max="599" width="10.69" hidden="false" outlineLevel="1" customWidth="1"/>
    <col min="600" max="600" width="10.69" hidden="false" outlineLevel="1" customWidth="1"/>
    <col min="601" max="601" width="10.69" hidden="false" outlineLevel="1" customWidth="1"/>
    <col min="602" max="602" width="10.69" hidden="false" outlineLevel="1" customWidth="1"/>
    <col min="603" max="603" width="10.69" hidden="false" outlineLevel="1" customWidth="1"/>
    <col min="604" max="604" width="10.69" hidden="false" outlineLevel="1" customWidth="1"/>
    <col min="605" max="605" width="10.69" hidden="false" outlineLevel="1" customWidth="1"/>
    <col min="606" max="606" width="10.69" hidden="false" outlineLevel="1" customWidth="1"/>
    <col min="607" max="607" width="10.69" hidden="false" outlineLevel="1" customWidth="1"/>
    <col min="608" max="608" width="10.69" hidden="false" outlineLevel="1" customWidth="1"/>
    <col min="609" max="609" width="10.69" hidden="false" outlineLevel="1" customWidth="1"/>
    <col min="610" max="610" width="10.69" hidden="false" outlineLevel="1" customWidth="1"/>
    <col min="611" max="611" width="10.69" hidden="false" outlineLevel="1" customWidth="1"/>
    <col min="612" max="612" width="10.69" hidden="false" outlineLevel="1" customWidth="1"/>
    <col min="613" max="613" width="10.69" hidden="false" outlineLevel="1" customWidth="1"/>
    <col min="614" max="614" width="10.69" hidden="false" outlineLevel="1" customWidth="1"/>
    <col min="615" max="615" width="10.69" hidden="false" outlineLevel="1" customWidth="1"/>
    <col min="616" max="616" width="10.69" hidden="false" outlineLevel="1" customWidth="1"/>
    <col min="617" max="617" width="10.69" hidden="false" outlineLevel="1" customWidth="1"/>
    <col min="618" max="618" width="10.69" hidden="false" outlineLevel="1" customWidth="1"/>
    <col min="619" max="619" width="10.69" hidden="false" outlineLevel="1" customWidth="1"/>
    <col min="620" max="620" width="10.69" hidden="false" outlineLevel="1" customWidth="1"/>
    <col min="621" max="621" width="10.69" hidden="false" outlineLevel="1" customWidth="1"/>
    <col min="622" max="622" width="10.69" hidden="false" outlineLevel="1" customWidth="1"/>
    <col min="623" max="623" width="10.69" hidden="false" outlineLevel="1" customWidth="1"/>
    <col min="624" max="624" width="10.69" hidden="false" outlineLevel="1" customWidth="1"/>
    <col min="625" max="625" width="10.69" hidden="false" outlineLevel="1" customWidth="1"/>
    <col min="626" max="626" width="10.69" hidden="false" outlineLevel="1" customWidth="1"/>
    <col min="627" max="627" width="10.69" hidden="false" outlineLevel="1" customWidth="1"/>
    <col min="628" max="628" width="10.69" hidden="false" outlineLevel="1" customWidth="1"/>
    <col min="629" max="629" width="10.69" hidden="false" outlineLevel="1" customWidth="1"/>
    <col min="630" max="630" width="10.69" hidden="false" outlineLevel="1" customWidth="1"/>
    <col min="631" max="631" width="10.69" hidden="false" outlineLevel="1" customWidth="1"/>
    <col min="632" max="632" width="10.69" hidden="false" outlineLevel="1" customWidth="1"/>
    <col min="633" max="633" width="10.69" hidden="false" outlineLevel="1" customWidth="1"/>
    <col min="634" max="634" width="10.69" hidden="false" outlineLevel="1" customWidth="1"/>
    <col min="635" max="635" width="10.69" hidden="false" outlineLevel="1" customWidth="1"/>
    <col min="636" max="636" width="10.69" hidden="false" outlineLevel="1" customWidth="1"/>
    <col min="637" max="637" width="10.69" hidden="false" outlineLevel="1" customWidth="1"/>
    <col min="638" max="638" width="10.69" hidden="false" outlineLevel="1" customWidth="1"/>
    <col min="639" max="639" width="10.69" hidden="false" outlineLevel="1" customWidth="1"/>
    <col min="640" max="640" width="10.69" hidden="false" outlineLevel="1" customWidth="1"/>
    <col min="641" max="641" width="10.69" hidden="false" outlineLevel="1" customWidth="1"/>
    <col min="642" max="642" width="10.69" hidden="false" outlineLevel="1" customWidth="1"/>
    <col min="643" max="643" width="10.69" hidden="false" outlineLevel="1" customWidth="1"/>
    <col min="644" max="644" width="10.69" hidden="false" outlineLevel="1" customWidth="1"/>
    <col min="645" max="645" width="10.69" hidden="false" outlineLevel="1" customWidth="1"/>
    <col min="646" max="646" width="10.69" hidden="false" outlineLevel="1" customWidth="1"/>
    <col min="647" max="647" width="10.69" hidden="false" outlineLevel="1" customWidth="1"/>
    <col min="648" max="648" width="10.69" hidden="false" outlineLevel="1" customWidth="1"/>
    <col min="649" max="649" width="10.69" hidden="false" outlineLevel="1" customWidth="1"/>
    <col min="650" max="650" width="10.69" hidden="false" outlineLevel="1" customWidth="1"/>
    <col min="651" max="651" width="10.69" hidden="false" outlineLevel="1" customWidth="1"/>
    <col min="652" max="652" width="10.69" hidden="false" outlineLevel="1" customWidth="1"/>
    <col min="653" max="653" width="10.69" hidden="false" outlineLevel="1" customWidth="1"/>
    <col min="654" max="654" width="10.69" hidden="false" outlineLevel="1" customWidth="1"/>
    <col min="655" max="655" width="10.69" hidden="false" outlineLevel="1" customWidth="1"/>
    <col min="656" max="656" width="10.69" hidden="false" outlineLevel="1" customWidth="1"/>
    <col min="657" max="657" width="10.69" hidden="false" outlineLevel="1" customWidth="1"/>
    <col min="658" max="658" width="10.69" hidden="false" outlineLevel="1" customWidth="1"/>
    <col min="659" max="659" width="10.69" hidden="false" outlineLevel="1" customWidth="1"/>
    <col min="660" max="660" width="10.69" hidden="false" outlineLevel="1" customWidth="1"/>
    <col min="661" max="661" width="10.69" hidden="false" outlineLevel="1" customWidth="1"/>
    <col min="662" max="662" width="10.69" hidden="false" outlineLevel="1" customWidth="1"/>
    <col min="663" max="663" width="10.69" hidden="false" outlineLevel="1" customWidth="1"/>
    <col min="664" max="664" width="10.69" hidden="false" outlineLevel="1" customWidth="1"/>
    <col min="665" max="665" width="10.69" hidden="false" outlineLevel="1" customWidth="1"/>
    <col min="666" max="666" width="10.69" hidden="false" outlineLevel="1" customWidth="1"/>
    <col min="667" max="667" width="10.69" hidden="false" outlineLevel="1" customWidth="1"/>
    <col min="668" max="668" width="10.69" hidden="false" outlineLevel="1" customWidth="1"/>
    <col min="669" max="669" width="10.69" hidden="false" outlineLevel="1" customWidth="1"/>
    <col min="670" max="670" width="10.69" hidden="false" outlineLevel="1" customWidth="1"/>
    <col min="671" max="671" width="10.69" hidden="false" outlineLevel="1" customWidth="1"/>
    <col min="672" max="672" width="10.69" hidden="false" outlineLevel="1" customWidth="1"/>
    <col min="673" max="673" width="10.69" hidden="false" outlineLevel="1" customWidth="1"/>
    <col min="674" max="674" width="10.69" hidden="false" outlineLevel="1" customWidth="1"/>
    <col min="675" max="675" width="10.69" hidden="false" outlineLevel="1" customWidth="1"/>
    <col min="676" max="676" width="10.69" hidden="false" outlineLevel="1" customWidth="1"/>
    <col min="677" max="677" width="10.69" hidden="false" outlineLevel="1" customWidth="1"/>
    <col min="678" max="678" width="10.69" hidden="false" outlineLevel="1" customWidth="1"/>
    <col min="679" max="679" width="10.69" hidden="false" outlineLevel="1" customWidth="1"/>
    <col min="680" max="680" width="10.69" hidden="false" outlineLevel="1" customWidth="1"/>
    <col min="681" max="681" width="10.69" hidden="false" outlineLevel="1" customWidth="1"/>
    <col min="682" max="682" width="10.69" hidden="false" outlineLevel="1" customWidth="1"/>
    <col min="683" max="683" width="10.69" hidden="false" outlineLevel="1" customWidth="1"/>
    <col min="684" max="684" width="10.69" hidden="false" outlineLevel="1" customWidth="1"/>
    <col min="685" max="685" width="10.69" hidden="false" outlineLevel="1" customWidth="1"/>
    <col min="686" max="686" width="10.69" hidden="false" outlineLevel="1" customWidth="1"/>
    <col min="687" max="687" width="10.69" hidden="false" outlineLevel="1" customWidth="1"/>
    <col min="688" max="688" width="10.69" hidden="false" outlineLevel="1" customWidth="1"/>
    <col min="689" max="689" width="10.69" hidden="false" outlineLevel="1" customWidth="1"/>
    <col min="690" max="690" width="10.69" hidden="false" outlineLevel="1" customWidth="1"/>
    <col min="691" max="691" width="10.69" hidden="false" outlineLevel="1" customWidth="1"/>
    <col min="692" max="692" width="10.69" hidden="false" outlineLevel="1" customWidth="1"/>
    <col min="693" max="693" width="10.69" hidden="false" outlineLevel="1" customWidth="1"/>
    <col min="694" max="694" width="10.69" hidden="false" outlineLevel="1" customWidth="1"/>
    <col min="695" max="695" width="10.69" hidden="false" outlineLevel="1" customWidth="1"/>
    <col min="696" max="696" width="10.69" hidden="false" outlineLevel="1" customWidth="1"/>
    <col min="697" max="697" width="10.69" hidden="false" outlineLevel="1" customWidth="1"/>
    <col min="698" max="698" width="10.69" hidden="false" outlineLevel="1" customWidth="1"/>
    <col min="699" max="699" width="10.69" hidden="false" outlineLevel="1" customWidth="1"/>
    <col min="700" max="700" width="10.69" hidden="false" outlineLevel="1" customWidth="1"/>
    <col min="701" max="701" width="10.69" hidden="false" outlineLevel="1" customWidth="1"/>
    <col min="702" max="702" width="10.69" hidden="false" outlineLevel="1" customWidth="1"/>
    <col min="703" max="703" width="10.69" hidden="false" outlineLevel="1" customWidth="1"/>
    <col min="704" max="704" width="10.69" hidden="false" outlineLevel="1" customWidth="1"/>
    <col min="705" max="705" width="10.69" hidden="false" outlineLevel="1" customWidth="1"/>
    <col min="706" max="706" width="10.69" hidden="false" outlineLevel="1" customWidth="1"/>
    <col min="707" max="707" width="10.69" hidden="false" outlineLevel="1" customWidth="1"/>
    <col min="708" max="708" width="10.69" hidden="false" outlineLevel="1" customWidth="1"/>
    <col min="709" max="709" width="10.69" hidden="false" outlineLevel="1" customWidth="1"/>
    <col min="710" max="710" width="10.69" hidden="false" outlineLevel="1" customWidth="1"/>
    <col min="711" max="711" width="10.69" hidden="false" outlineLevel="1" customWidth="1"/>
    <col min="712" max="712" width="10.69" hidden="false" outlineLevel="1" customWidth="1"/>
    <col min="713" max="713" width="10.69" hidden="false" outlineLevel="1" customWidth="1"/>
    <col min="714" max="714" width="10.69" hidden="false" outlineLevel="1" customWidth="1"/>
    <col min="715" max="715" width="10.69" hidden="false" outlineLevel="1" customWidth="1"/>
    <col min="716" max="716" width="10.69" hidden="false" outlineLevel="1" customWidth="1"/>
    <col min="717" max="717" width="10.69" hidden="false" outlineLevel="1" customWidth="1"/>
    <col min="718" max="718" width="10.69" hidden="false" outlineLevel="1" customWidth="1"/>
    <col min="719" max="719" width="10.69" hidden="false" outlineLevel="1" customWidth="1"/>
    <col min="720" max="720" width="10.69" hidden="false" outlineLevel="1" customWidth="1"/>
    <col min="721" max="721" width="10.69" hidden="false" outlineLevel="1" customWidth="1"/>
    <col min="722" max="722" width="10.69" hidden="false" outlineLevel="1" customWidth="1"/>
    <col min="723" max="723" width="10.69" hidden="false" outlineLevel="1" customWidth="1"/>
    <col min="724" max="724" width="10.69" hidden="false" outlineLevel="1" customWidth="1"/>
    <col min="725" max="725" width="10.69" hidden="false" outlineLevel="1" customWidth="1"/>
    <col min="726" max="726" width="10.69" hidden="false" outlineLevel="1" customWidth="1"/>
    <col min="727" max="727" width="10.69" hidden="false" outlineLevel="1" customWidth="1"/>
    <col min="728" max="728" width="10.69" hidden="false" outlineLevel="1" customWidth="1"/>
    <col min="729" max="729" width="10.69" hidden="false" outlineLevel="1" customWidth="1"/>
    <col min="730" max="730" width="10.69" hidden="false" outlineLevel="1" customWidth="1"/>
    <col min="731" max="731" width="10.69" hidden="false" outlineLevel="1" customWidth="1"/>
    <col min="732" max="732" width="10.69" hidden="false" outlineLevel="1" customWidth="1"/>
    <col min="733" max="733" width="10.69" hidden="false" outlineLevel="1" customWidth="1"/>
    <col min="734" max="734" width="10.69" hidden="false" outlineLevel="1" customWidth="1"/>
    <col min="735" max="735" width="10.69" hidden="false" outlineLevel="1" customWidth="1"/>
    <col min="736" max="736" width="10.69" hidden="false" outlineLevel="1" customWidth="1"/>
    <col min="737" max="737" width="10.69" hidden="false" outlineLevel="1" customWidth="1"/>
    <col min="738" max="738" width="10.69" hidden="false" outlineLevel="1" customWidth="1"/>
    <col min="739" max="739" width="10.69" hidden="false" outlineLevel="1" customWidth="1"/>
    <col min="740" max="740" width="10.69" hidden="false" outlineLevel="1" customWidth="1"/>
    <col min="741" max="741" width="10.69" hidden="false" outlineLevel="1" customWidth="1"/>
    <col min="742" max="742" width="10.69" hidden="false" outlineLevel="1" customWidth="1"/>
    <col min="743" max="743" width="10.69" hidden="false" outlineLevel="1" customWidth="1"/>
    <col min="744" max="744" width="10.69" hidden="false" outlineLevel="1" customWidth="1"/>
    <col min="745" max="745" width="10.69" hidden="false" outlineLevel="1" customWidth="1"/>
    <col min="746" max="746" width="10.69" hidden="false" outlineLevel="1" customWidth="1"/>
    <col min="747" max="747" width="10.69" hidden="false" outlineLevel="1" customWidth="1"/>
    <col min="748" max="748" width="10.69" hidden="false" outlineLevel="1" customWidth="1"/>
    <col min="749" max="749" width="10.69" hidden="false" outlineLevel="1" customWidth="1"/>
    <col min="750" max="750" width="10.69" hidden="false" outlineLevel="1" customWidth="1"/>
    <col min="751" max="751" width="10.69" hidden="false" outlineLevel="1" customWidth="1"/>
    <col min="752" max="752" width="10.69" hidden="false" outlineLevel="1" customWidth="1"/>
    <col min="753" max="753" width="10.69" hidden="false" outlineLevel="1" customWidth="1"/>
    <col min="754" max="754" width="10.69" hidden="false" outlineLevel="1" customWidth="1"/>
    <col min="755" max="755" width="10.69" hidden="false" outlineLevel="1" customWidth="1"/>
    <col min="756" max="756" width="10.69" hidden="false" outlineLevel="1" customWidth="1"/>
    <col min="757" max="757" width="10.69" hidden="false" outlineLevel="1" customWidth="1"/>
    <col min="758" max="758" width="10.69" hidden="false" outlineLevel="1" customWidth="1"/>
    <col min="759" max="759" width="10.69" hidden="false" outlineLevel="1" customWidth="1"/>
    <col min="760" max="760" width="10.69" hidden="false" outlineLevel="1" customWidth="1"/>
    <col min="761" max="761" width="10.69" hidden="false" outlineLevel="1" customWidth="1"/>
    <col min="762" max="762" width="10.69" hidden="false" outlineLevel="1" customWidth="1"/>
    <col min="763" max="763" width="10.69" hidden="false" outlineLevel="1" customWidth="1"/>
    <col min="764" max="764" width="10.69" hidden="false" outlineLevel="1" customWidth="1"/>
    <col min="765" max="765" width="10.69" hidden="false" outlineLevel="1" customWidth="1"/>
    <col min="766" max="766" width="10.69" hidden="false" outlineLevel="1" customWidth="1"/>
    <col min="767" max="767" width="10.69" hidden="false" outlineLevel="1" customWidth="1"/>
    <col min="768" max="768" width="10.69" hidden="false" outlineLevel="1" customWidth="1"/>
    <col min="769" max="769" width="10.69" hidden="false" outlineLevel="1" customWidth="1"/>
    <col min="770" max="770" width="10.69" hidden="false" outlineLevel="1" customWidth="1"/>
    <col min="771" max="771" width="10.69" hidden="false" outlineLevel="1" customWidth="1"/>
    <col min="772" max="772" width="10.69" hidden="false" outlineLevel="1" customWidth="1"/>
    <col min="773" max="773" width="10.69" hidden="false" outlineLevel="1" customWidth="1"/>
    <col min="774" max="774" width="10.69" hidden="false" outlineLevel="1" customWidth="1"/>
    <col min="775" max="775" width="10.69" hidden="false" outlineLevel="1" customWidth="1"/>
    <col min="776" max="776" width="10.69" hidden="false" outlineLevel="1" customWidth="1"/>
    <col min="777" max="777" width="10.69" hidden="false" outlineLevel="1" customWidth="1"/>
    <col min="778" max="778" width="10.69" hidden="false" outlineLevel="1" customWidth="1"/>
    <col min="779" max="779" width="10.69" hidden="false" outlineLevel="1" customWidth="1"/>
    <col min="780" max="780" width="10.69" hidden="false" outlineLevel="1" customWidth="1"/>
    <col min="781" max="781" width="10.69" hidden="false" outlineLevel="1" customWidth="1"/>
    <col min="782" max="782" width="10.69" hidden="false" outlineLevel="1" customWidth="1"/>
    <col min="783" max="783" width="10.69" hidden="false" outlineLevel="1" customWidth="1"/>
    <col min="784" max="784" width="10.69" hidden="false" outlineLevel="1" customWidth="1"/>
    <col min="785" max="785" width="10.69" hidden="false" outlineLevel="1" customWidth="1"/>
    <col min="786" max="786" width="10.69" hidden="false" outlineLevel="1" customWidth="1"/>
    <col min="787" max="787" width="10.69" hidden="false" outlineLevel="1" customWidth="1"/>
    <col min="788" max="788" width="10.69" hidden="false" outlineLevel="1" customWidth="1"/>
    <col min="789" max="789" width="10.69" hidden="false" outlineLevel="1" customWidth="1"/>
    <col min="790" max="790" width="10.69" hidden="false" outlineLevel="1" customWidth="1"/>
    <col min="791" max="791" width="10.69" hidden="false" outlineLevel="1" customWidth="1"/>
    <col min="792" max="792" width="10.69" hidden="false" outlineLevel="1" customWidth="1"/>
    <col min="793" max="793" width="10.69" hidden="false" outlineLevel="1" customWidth="1"/>
    <col min="794" max="794" width="10.69" hidden="false" outlineLevel="1" customWidth="1"/>
    <col min="795" max="795" width="10.69" hidden="false" outlineLevel="1" customWidth="1"/>
    <col min="796" max="796" width="10.69" hidden="false" outlineLevel="1" customWidth="1"/>
    <col min="797" max="797" width="10.69" hidden="false" outlineLevel="1" customWidth="1"/>
    <col min="798" max="798" width="10.69" hidden="false" outlineLevel="1" customWidth="1"/>
    <col min="799" max="799" width="10.69" hidden="false" outlineLevel="1" customWidth="1"/>
    <col min="800" max="800" width="10.69" hidden="false" outlineLevel="1" customWidth="1"/>
    <col min="801" max="801" width="10.69" hidden="false" outlineLevel="1" customWidth="1"/>
    <col min="802" max="802" width="10.69" hidden="false" outlineLevel="1" customWidth="1"/>
    <col min="803" max="803" width="10.69" hidden="false" outlineLevel="1" customWidth="1"/>
    <col min="804" max="804" width="10.69" hidden="false" outlineLevel="1" customWidth="1"/>
    <col min="805" max="805" width="10.69" hidden="false" outlineLevel="1" customWidth="1"/>
    <col min="806" max="806" width="10.69" hidden="false" outlineLevel="1" customWidth="1"/>
    <col min="807" max="807" width="10.69" hidden="false" outlineLevel="1" customWidth="1"/>
    <col min="808" max="808" width="10.69" hidden="false" outlineLevel="1" customWidth="1"/>
    <col min="809" max="809" width="10.69" hidden="false" outlineLevel="1" customWidth="1"/>
    <col min="810" max="810" width="10.69" hidden="false" outlineLevel="1" customWidth="1"/>
    <col min="811" max="811" width="10.69" hidden="false" outlineLevel="1" customWidth="1"/>
    <col min="812" max="812" width="10.69" hidden="false" outlineLevel="1" customWidth="1"/>
    <col min="813" max="813" width="10.69" hidden="false" outlineLevel="1" customWidth="1"/>
    <col min="814" max="814" width="10.69" hidden="false" outlineLevel="1" customWidth="1"/>
    <col min="815" max="815" width="10.69" hidden="false" outlineLevel="1" customWidth="1"/>
    <col min="816" max="816" width="10.69" hidden="false" outlineLevel="1" customWidth="1"/>
    <col min="817" max="817" width="10.69" hidden="false" outlineLevel="1" customWidth="1"/>
    <col min="818" max="818" width="10.69" hidden="false" outlineLevel="1" customWidth="1"/>
    <col min="819" max="819" width="10.69" hidden="false" outlineLevel="1" customWidth="1"/>
    <col min="820" max="820" width="10.69" hidden="false" outlineLevel="1" customWidth="1"/>
    <col min="821" max="821" width="10.69" hidden="false" outlineLevel="1" customWidth="1"/>
    <col min="822" max="822" width="10.69" hidden="false" outlineLevel="1" customWidth="1"/>
    <col min="823" max="823" width="10.69" hidden="false" outlineLevel="1" customWidth="1"/>
    <col min="824" max="824" width="10.69" hidden="false" outlineLevel="1" customWidth="1"/>
    <col min="825" max="825" width="10.69" hidden="false" outlineLevel="1" customWidth="1"/>
    <col min="826" max="826" width="10.69" hidden="false" outlineLevel="1" customWidth="1"/>
    <col min="827" max="827" width="10.69" hidden="false" outlineLevel="1" customWidth="1"/>
    <col min="828" max="828" width="10.69" hidden="false" outlineLevel="1" customWidth="1"/>
    <col min="829" max="829" width="10.69" hidden="false" outlineLevel="1" customWidth="1"/>
    <col min="830" max="830" width="10.69" hidden="false" outlineLevel="1" customWidth="1"/>
    <col min="831" max="831" width="10.69" hidden="false" outlineLevel="1" customWidth="1"/>
    <col min="832" max="832" width="10.69" hidden="false" outlineLevel="1" customWidth="1"/>
    <col min="833" max="833" width="10.69" hidden="false" outlineLevel="1" customWidth="1"/>
    <col min="834" max="834" width="10.69" hidden="false" outlineLevel="1" customWidth="1"/>
    <col min="835" max="835" width="10.69" hidden="false" outlineLevel="1" customWidth="1"/>
    <col min="836" max="836" width="10.69" hidden="false" outlineLevel="1" customWidth="1"/>
    <col min="837" max="837" width="10.69" hidden="false" outlineLevel="1" customWidth="1"/>
    <col min="838" max="838" width="10.69" hidden="false" outlineLevel="1" customWidth="1"/>
    <col min="839" max="839" width="10.69" hidden="false" outlineLevel="1" customWidth="1"/>
    <col min="840" max="840" width="10.69" hidden="false" outlineLevel="1" customWidth="1"/>
    <col min="841" max="841" width="10.69" hidden="false" outlineLevel="1" customWidth="1"/>
    <col min="842" max="842" width="10.69" hidden="false" outlineLevel="1" customWidth="1"/>
    <col min="843" max="843" width="10.69" hidden="false" outlineLevel="1" customWidth="1"/>
    <col min="844" max="844" width="10.69" hidden="false" outlineLevel="1" customWidth="1"/>
    <col min="845" max="845" width="10.69" hidden="false" outlineLevel="1" customWidth="1"/>
    <col min="846" max="846" width="10.69" hidden="false" outlineLevel="1" customWidth="1"/>
    <col min="847" max="847" width="10.69" hidden="false" outlineLevel="1" customWidth="1"/>
    <col min="848" max="848" width="10.69" hidden="false" outlineLevel="1" customWidth="1"/>
    <col min="849" max="849" width="10.69" hidden="false" outlineLevel="1" customWidth="1"/>
    <col min="850" max="850" width="10.69" hidden="false" outlineLevel="1" customWidth="1"/>
    <col min="851" max="851" width="10.69" hidden="false" outlineLevel="1" customWidth="1"/>
    <col min="852" max="852" width="10.69" hidden="false" outlineLevel="1" customWidth="1"/>
    <col min="853" max="853" width="10.69" hidden="false" outlineLevel="1" customWidth="1"/>
    <col min="854" max="854" width="10.69" hidden="false" outlineLevel="1" customWidth="1"/>
    <col min="855" max="855" width="10.69" hidden="false" outlineLevel="1" customWidth="1"/>
    <col min="856" max="856" width="10.69" hidden="false" outlineLevel="1" customWidth="1"/>
    <col min="857" max="857" width="10.69" hidden="false" outlineLevel="1" customWidth="1"/>
    <col min="858" max="858" width="10.69" hidden="false" outlineLevel="1" customWidth="1"/>
    <col min="859" max="859" width="10.69" hidden="false" outlineLevel="1" customWidth="1"/>
    <col min="860" max="860" width="10.69" hidden="false" outlineLevel="1" customWidth="1"/>
    <col min="861" max="861" width="10.69" hidden="false" outlineLevel="1" customWidth="1"/>
    <col min="862" max="862" width="10.69" hidden="false" outlineLevel="1" customWidth="1"/>
    <col min="863" max="863" width="10.69" hidden="false" outlineLevel="1" customWidth="1"/>
    <col min="864" max="864" width="10.69" hidden="false" outlineLevel="1" customWidth="1"/>
    <col min="865" max="865" width="10.69" hidden="false" outlineLevel="1" customWidth="1"/>
    <col min="866" max="866" width="10.69" hidden="false" outlineLevel="1" customWidth="1"/>
    <col min="867" max="867" width="10.69" hidden="false" outlineLevel="1" customWidth="1"/>
    <col min="868" max="868" width="10.69" hidden="false" outlineLevel="1" customWidth="1"/>
    <col min="869" max="869" width="10.69" hidden="false" outlineLevel="1" customWidth="1"/>
    <col min="870" max="870" width="10.69" hidden="false" outlineLevel="1" customWidth="1"/>
    <col min="871" max="871" width="10.69" hidden="false" outlineLevel="1" customWidth="1"/>
    <col min="872" max="872" width="10.69" hidden="false" outlineLevel="1" customWidth="1"/>
    <col min="873" max="873" width="10.69" hidden="false" outlineLevel="1" customWidth="1"/>
    <col min="874" max="874" width="10.69" hidden="false" outlineLevel="1" customWidth="1"/>
    <col min="875" max="875" width="10.69" hidden="false" outlineLevel="1" customWidth="1"/>
    <col min="876" max="876" width="10.69" hidden="false" outlineLevel="1" customWidth="1"/>
    <col min="877" max="877" width="10.69" hidden="false" outlineLevel="1" customWidth="1"/>
    <col min="878" max="878" width="10.69" hidden="false" outlineLevel="1" customWidth="1"/>
    <col min="879" max="879" width="10.69" hidden="false" outlineLevel="1" customWidth="1"/>
    <col min="880" max="880" width="10.69" hidden="false" outlineLevel="1" customWidth="1"/>
    <col min="881" max="881" width="10.69" hidden="false" outlineLevel="1" customWidth="1"/>
    <col min="882" max="882" width="10.69" hidden="false" outlineLevel="1" customWidth="1"/>
    <col min="883" max="883" width="10.69" hidden="false" outlineLevel="1" customWidth="1"/>
    <col min="884" max="884" width="10.69" hidden="false" outlineLevel="1" customWidth="1"/>
    <col min="885" max="885" width="10.69" hidden="false" outlineLevel="1" customWidth="1"/>
    <col min="886" max="886" width="10.69" hidden="false" outlineLevel="1" customWidth="1"/>
    <col min="887" max="887" width="10.69" hidden="false" outlineLevel="1" customWidth="1"/>
    <col min="888" max="888" width="10.69" hidden="false" outlineLevel="1" customWidth="1"/>
    <col min="889" max="889" width="10.69" hidden="false" outlineLevel="1" customWidth="1"/>
    <col min="890" max="890" width="10.69" hidden="false" outlineLevel="1" customWidth="1"/>
    <col min="891" max="891" width="10.69" hidden="false" outlineLevel="1" customWidth="1"/>
    <col min="892" max="892" width="10.69" hidden="false" outlineLevel="1" customWidth="1"/>
    <col min="893" max="893" width="10.69" hidden="false" outlineLevel="1" customWidth="1"/>
    <col min="894" max="894" width="10.69" hidden="false" outlineLevel="1" customWidth="1"/>
    <col min="895" max="895" width="10.69" hidden="false" outlineLevel="1" customWidth="1"/>
    <col min="896" max="896" width="10.69" hidden="false" outlineLevel="1" customWidth="1"/>
    <col min="897" max="897" width="10.69" hidden="false" outlineLevel="1" customWidth="1"/>
    <col min="898" max="898" width="10.69" hidden="false" outlineLevel="1" customWidth="1"/>
    <col min="899" max="899" width="10.69" hidden="false" outlineLevel="1" customWidth="1"/>
    <col min="900" max="900" width="10.69" hidden="false" outlineLevel="1" customWidth="1"/>
    <col min="901" max="901" width="10.69" hidden="false" outlineLevel="1" customWidth="1"/>
    <col min="902" max="902" width="10.69" hidden="false" outlineLevel="1" customWidth="1"/>
    <col min="903" max="903" width="10.69" hidden="false" outlineLevel="1" customWidth="1"/>
    <col min="904" max="904" width="10.69" hidden="false" outlineLevel="1" customWidth="1"/>
    <col min="905" max="905" width="10.69" hidden="false" outlineLevel="1" customWidth="1"/>
    <col min="906" max="906" width="10.69" hidden="false" outlineLevel="1" customWidth="1"/>
    <col min="907" max="907" width="10.69" hidden="false" outlineLevel="1" customWidth="1"/>
    <col min="908" max="908" width="10.69" hidden="false" outlineLevel="1" customWidth="1"/>
    <col min="909" max="909" width="10.69" hidden="false" outlineLevel="1" customWidth="1"/>
    <col min="910" max="910" width="10.69" hidden="false" outlineLevel="1" customWidth="1"/>
    <col min="911" max="911" width="10.69" hidden="false" outlineLevel="1" customWidth="1"/>
    <col min="912" max="912" width="10.69" hidden="false" outlineLevel="1" customWidth="1"/>
    <col min="913" max="913" width="10.69" hidden="false" outlineLevel="1" customWidth="1"/>
    <col min="914" max="914" width="10.69" hidden="false" outlineLevel="1" customWidth="1"/>
    <col min="915" max="915" width="10.69" hidden="false" outlineLevel="1" customWidth="1"/>
    <col min="916" max="916" width="10.69" hidden="false" outlineLevel="1" customWidth="1"/>
    <col min="917" max="917" width="10.69" hidden="false" outlineLevel="1" customWidth="1"/>
    <col min="918" max="918" width="10.69" hidden="false" outlineLevel="1" customWidth="1"/>
    <col min="919" max="919" width="10.69" hidden="false" outlineLevel="1" customWidth="1"/>
    <col min="920" max="920" width="10.69" hidden="false" outlineLevel="1" customWidth="1"/>
    <col min="921" max="921" width="10.69" hidden="false" outlineLevel="1" customWidth="1"/>
    <col min="922" max="922" width="10.69" hidden="false" outlineLevel="1" customWidth="1"/>
    <col min="923" max="923" width="10.69" hidden="false" outlineLevel="1" customWidth="1"/>
    <col min="924" max="924" width="10.69" hidden="false" outlineLevel="1" customWidth="1"/>
    <col min="925" max="925" width="10.69" hidden="false" outlineLevel="1" customWidth="1"/>
    <col min="926" max="926" width="10.69" hidden="false" outlineLevel="1" customWidth="1"/>
    <col min="927" max="927" width="10.69" hidden="false" outlineLevel="1" customWidth="1"/>
    <col min="928" max="928" width="10.69" hidden="false" outlineLevel="1" customWidth="1"/>
    <col min="929" max="929" width="10.69" hidden="false" outlineLevel="1" customWidth="1"/>
    <col min="930" max="930" width="10.69" hidden="false" outlineLevel="1" customWidth="1"/>
    <col min="931" max="931" width="10.69" hidden="false" outlineLevel="1" customWidth="1"/>
    <col min="932" max="932" width="10.69" hidden="false" outlineLevel="1" customWidth="1"/>
    <col min="933" max="933" width="10.69" hidden="false" outlineLevel="1" customWidth="1"/>
    <col min="934" max="934" width="10.69" hidden="false" outlineLevel="1" customWidth="1"/>
    <col min="935" max="935" width="10.69" hidden="false" outlineLevel="1" customWidth="1"/>
    <col min="936" max="936" width="10.69" hidden="false" outlineLevel="1" customWidth="1"/>
    <col min="937" max="937" width="10.69" hidden="false" outlineLevel="1" customWidth="1"/>
    <col min="938" max="938" width="10.69" hidden="false" outlineLevel="1" customWidth="1"/>
    <col min="939" max="939" width="10.69" hidden="false" outlineLevel="1" customWidth="1"/>
    <col min="940" max="940" width="10.69" hidden="false" outlineLevel="1" customWidth="1"/>
    <col min="941" max="941" width="10.69" hidden="false" outlineLevel="1" customWidth="1"/>
    <col min="942" max="942" width="10.69" hidden="false" outlineLevel="1" customWidth="1"/>
    <col min="943" max="943" width="10.69" hidden="false" outlineLevel="1" customWidth="1"/>
    <col min="944" max="944" width="10.69" hidden="false" outlineLevel="1" customWidth="1"/>
    <col min="945" max="945" width="10.69" hidden="false" outlineLevel="1" customWidth="1"/>
    <col min="946" max="946" width="10.69" hidden="false" outlineLevel="1" customWidth="1"/>
    <col min="947" max="947" width="10.69" hidden="false" outlineLevel="1" customWidth="1"/>
    <col min="948" max="948" width="10.69" hidden="false" outlineLevel="1" customWidth="1"/>
    <col min="949" max="949" width="10.69" hidden="false" outlineLevel="1" customWidth="1"/>
    <col min="950" max="950" width="10.69" hidden="false" outlineLevel="1" customWidth="1"/>
    <col min="951" max="951" width="10.69" hidden="false" outlineLevel="1" customWidth="1"/>
    <col min="952" max="952" width="10.69" hidden="false" outlineLevel="1" customWidth="1"/>
    <col min="953" max="953" width="10.69" hidden="false" outlineLevel="1" customWidth="1"/>
    <col min="954" max="954" width="10.69" hidden="false" outlineLevel="1" customWidth="1"/>
    <col min="955" max="955" width="10.69" hidden="false" outlineLevel="1" customWidth="1"/>
    <col min="956" max="956" width="10.69" hidden="false" outlineLevel="1" customWidth="1"/>
    <col min="957" max="957" width="10.69" hidden="false" outlineLevel="1" customWidth="1"/>
    <col min="958" max="958" width="10.69" hidden="false" outlineLevel="1" customWidth="1"/>
    <col min="959" max="959" width="10.69" hidden="false" outlineLevel="1" customWidth="1"/>
    <col min="960" max="960" width="10.69" hidden="false" outlineLevel="1" customWidth="1"/>
    <col min="961" max="961" width="10.69" hidden="false" outlineLevel="1" customWidth="1"/>
    <col min="962" max="962" width="10.69" hidden="false" outlineLevel="1" customWidth="1"/>
    <col min="963" max="963" width="10.69" hidden="false" outlineLevel="1" customWidth="1"/>
    <col min="964" max="964" width="10.69" hidden="false" outlineLevel="1" customWidth="1"/>
    <col min="965" max="965" width="10.69" hidden="false" outlineLevel="1" customWidth="1"/>
    <col min="966" max="966" width="10.69" hidden="false" outlineLevel="1" customWidth="1"/>
    <col min="967" max="967" width="10.69" hidden="false" outlineLevel="1" customWidth="1"/>
    <col min="968" max="968" width="10.69" hidden="false" outlineLevel="1" customWidth="1"/>
    <col min="969" max="969" width="10.69" hidden="false" outlineLevel="1" customWidth="1"/>
    <col min="970" max="970" width="10.69" hidden="false" outlineLevel="1" customWidth="1"/>
    <col min="971" max="971" width="10.69" hidden="false" outlineLevel="1" customWidth="1"/>
    <col min="972" max="972" width="10.69" hidden="false" outlineLevel="1" customWidth="1"/>
    <col min="973" max="973" width="10.69" hidden="false" outlineLevel="1" customWidth="1"/>
    <col min="974" max="974" width="10.69" hidden="false" outlineLevel="1" customWidth="1"/>
    <col min="975" max="975" width="10.69" hidden="false" outlineLevel="1" customWidth="1"/>
    <col min="976" max="976" width="10.69" hidden="false" outlineLevel="1" customWidth="1"/>
    <col min="977" max="977" width="10.69" hidden="false" outlineLevel="1" customWidth="1"/>
    <col min="978" max="978" width="10.69" hidden="false" outlineLevel="1" customWidth="1"/>
    <col min="979" max="979" width="10.69" hidden="false" outlineLevel="1" customWidth="1"/>
    <col min="980" max="980" width="10.69" hidden="false" outlineLevel="1" customWidth="1"/>
    <col min="981" max="981" width="10.69" hidden="false" outlineLevel="1" customWidth="1"/>
    <col min="982" max="982" width="10.69" hidden="false" outlineLevel="1" customWidth="1"/>
    <col min="983" max="983" width="10.69" hidden="false" outlineLevel="1" customWidth="1"/>
    <col min="984" max="984" width="10.69" hidden="false" outlineLevel="1" customWidth="1"/>
    <col min="985" max="985" width="10.69" hidden="false" outlineLevel="1" customWidth="1"/>
    <col min="986" max="986" width="10.69" hidden="false" outlineLevel="1" customWidth="1"/>
    <col min="987" max="987" width="10.69" hidden="false" outlineLevel="1" customWidth="1"/>
    <col min="988" max="988" width="10.69" hidden="false" outlineLevel="1" customWidth="1"/>
    <col min="989" max="989" width="10.69" hidden="false" outlineLevel="1" customWidth="1"/>
    <col min="990" max="990" width="10.69" hidden="false" outlineLevel="1" customWidth="1"/>
    <col min="991" max="991" width="10.69" hidden="false" outlineLevel="1" customWidth="1"/>
    <col min="992" max="992" width="10.69" hidden="false" outlineLevel="1" customWidth="1"/>
    <col min="993" max="993" width="10.69" hidden="false" outlineLevel="1" customWidth="1"/>
    <col min="994" max="994" width="10.69" hidden="false" outlineLevel="1" customWidth="1"/>
    <col min="995" max="995" width="10.69" hidden="false" outlineLevel="1" customWidth="1"/>
    <col min="996" max="996" width="10.69" hidden="false" outlineLevel="1" customWidth="1"/>
    <col min="997" max="997" width="10.69" hidden="false" outlineLevel="1" customWidth="1"/>
    <col min="998" max="998" width="10.69" hidden="false" outlineLevel="1" customWidth="1"/>
    <col min="999" max="999" width="10.69" hidden="false" outlineLevel="1" customWidth="1"/>
    <col min="1000" max="1000" width="10.69" hidden="false" outlineLevel="1" customWidth="1"/>
    <col min="1001" max="1001" width="10.69" hidden="false" outlineLevel="1" customWidth="1"/>
    <col min="1002" max="1002" width="10.69" hidden="false" outlineLevel="1" customWidth="1"/>
    <col min="1003" max="1003" width="10.69" hidden="false" outlineLevel="1" customWidth="1"/>
    <col min="1004" max="1004" width="10.69" hidden="false" outlineLevel="1" customWidth="1"/>
    <col min="1005" max="1005" width="10.69" hidden="false" outlineLevel="1" customWidth="1"/>
    <col min="1006" max="1006" width="10.69" hidden="false" outlineLevel="1" customWidth="1"/>
    <col min="1007" max="1007" width="10.69" hidden="false" outlineLevel="1" customWidth="1"/>
    <col min="1008" max="1008" width="10.69" hidden="false" outlineLevel="1" customWidth="1"/>
    <col min="1009" max="1009" width="10.69" hidden="false" outlineLevel="1" customWidth="1"/>
    <col min="1010" max="1010" width="10.69" hidden="false" outlineLevel="1" customWidth="1"/>
    <col min="1011" max="1011" width="10.69" hidden="false" outlineLevel="1" customWidth="1"/>
    <col min="1012" max="1012" width="10.69" hidden="false" outlineLevel="1" customWidth="1"/>
    <col min="1013" max="1013" width="10.69" hidden="false" outlineLevel="1" customWidth="1"/>
    <col min="1014" max="1014" width="10.69" hidden="false" outlineLevel="1" customWidth="1"/>
    <col min="1015" max="1015" width="10.69" hidden="false" outlineLevel="1" customWidth="1"/>
    <col min="1016" max="1016" width="10.69" hidden="false" outlineLevel="1" customWidth="1"/>
    <col min="1017" max="1017" width="10.69" hidden="false" outlineLevel="1" customWidth="1"/>
    <col min="1018" max="1018" width="10.69" hidden="false" outlineLevel="1" customWidth="1"/>
    <col min="1019" max="1019" width="10.69" hidden="false" outlineLevel="1" customWidth="1"/>
    <col min="1020" max="1020" width="10.69" hidden="false" outlineLevel="1" customWidth="1"/>
    <col min="1021" max="1021" width="10.69" hidden="false" outlineLevel="1" customWidth="1"/>
    <col min="1022" max="1022" width="10.69" hidden="false" outlineLevel="1" customWidth="1"/>
    <col min="1023" max="1023" width="10.69" hidden="false" outlineLevel="1" customWidth="1"/>
    <col min="1024" max="1024" width="10.69" hidden="false" outlineLevel="1" customWidth="1"/>
    <col min="1025" max="1025" width="10.69" hidden="false" outlineLevel="1" customWidth="1"/>
  </cols>
  <sheetData>
    <row r="1" ht="20.25" customHeight="1">
      <c r="A1" s="1278" t="s">
        <v>75</v>
      </c>
      <c r="B1" s="1279"/>
      <c r="C1" s="1280"/>
      <c r="D1" s="1280"/>
      <c r="E1" s="1280"/>
      <c r="F1" s="1280"/>
      <c r="G1" s="1280"/>
      <c r="H1" s="1281"/>
      <c r="I1" s="1059"/>
      <c r="J1" s="1282"/>
    </row>
    <row r="2" ht="19.5" customHeight="1">
      <c r="A2" s="810" t="s">
        <v>969</v>
      </c>
    </row>
    <row r="3" ht="19.5" customHeight="1">
      <c r="A3" s="810"/>
    </row>
    <row r="4" ht="12.75" customHeight="1">
      <c r="A4" t="s">
        <v>2033</v>
      </c>
      <c r="I4" t="s">
        <v>2034</v>
      </c>
    </row>
    <row r="5" ht="12.75" customHeight="1">
      <c r="A5" t="s">
        <v>2035</v>
      </c>
      <c r="I5" t="s">
        <v>2036</v>
      </c>
    </row>
    <row r="6" ht="12.75" customHeight="1">
      <c r="A6" t="s">
        <v>2037</v>
      </c>
      <c r="I6" t="s">
        <v>2038</v>
      </c>
    </row>
    <row r="7" ht="12.75" customHeight="1">
      <c r="A7" t="s">
        <v>2039</v>
      </c>
      <c r="I7" t="s">
        <v>2040</v>
      </c>
    </row>
    <row r="8" ht="12.75" customHeight="1">
      <c r="A8" t="s">
        <v>2041</v>
      </c>
      <c r="I8" t="s">
        <v>2042</v>
      </c>
    </row>
    <row r="9" ht="12.75" customHeight="1">
      <c r="A9" t="s">
        <v>2043</v>
      </c>
      <c r="I9" t="s">
        <v>2044</v>
      </c>
    </row>
    <row r="10" ht="12.75" customHeight="1">
      <c r="A10" t="s">
        <v>2045</v>
      </c>
      <c r="I10" t="s">
        <v>2046</v>
      </c>
    </row>
    <row r="11" ht="12.75" customHeight="1">
      <c r="A11" t="s">
        <v>2047</v>
      </c>
      <c r="I11" t="s">
        <v>2048</v>
      </c>
    </row>
    <row r="12" ht="12.75" customHeight="1">
      <c r="A12" t="s">
        <v>2049</v>
      </c>
      <c r="I12" t="s">
        <v>2050</v>
      </c>
    </row>
    <row r="13" ht="12.75" customHeight="1">
      <c r="A13" t="s">
        <v>2051</v>
      </c>
      <c r="I13" t="s">
        <v>2052</v>
      </c>
    </row>
    <row r="14" ht="12.75" customHeight="1">
      <c r="A14" t="s">
        <v>2053</v>
      </c>
      <c r="I14" t="s">
        <v>2054</v>
      </c>
    </row>
    <row r="15" ht="12.75" customHeight="1">
      <c r="A15" t="s">
        <v>2055</v>
      </c>
      <c r="I15" t="s">
        <v>2056</v>
      </c>
    </row>
    <row r="16" ht="12.75" customHeight="1">
      <c r="A16" t="s">
        <v>2057</v>
      </c>
      <c r="I16" t="s">
        <v>2058</v>
      </c>
    </row>
    <row r="17" ht="12.75" customHeight="1">
      <c r="A17" t="s">
        <v>2059</v>
      </c>
      <c r="I17" t="s">
        <v>2060</v>
      </c>
    </row>
    <row r="18" ht="12.75" customHeight="1">
      <c r="A18" t="s">
        <v>2061</v>
      </c>
      <c r="I18" t="s">
        <v>2062</v>
      </c>
    </row>
    <row r="19" ht="12.75" customHeight="1">
      <c r="A19" t="s">
        <v>2063</v>
      </c>
      <c r="I19" t="s">
        <v>976</v>
      </c>
    </row>
    <row r="20" ht="12.75" customHeight="1">
      <c r="A20" t="s">
        <v>2064</v>
      </c>
      <c r="I20" t="s">
        <v>2065</v>
      </c>
    </row>
    <row r="21" ht="12.75" customHeight="1">
      <c r="A21" t="s">
        <v>2066</v>
      </c>
    </row>
    <row r="22" ht="12.75" customHeight="1">
      <c r="A22" t="s">
        <v>2067</v>
      </c>
    </row>
    <row r="23" ht="12.75" customHeight="1">
      <c r="A23" t="s">
        <v>2068</v>
      </c>
    </row>
    <row r="24" ht="12.75" customHeight="1">
      <c r="A24" t="s">
        <v>2069</v>
      </c>
      <c r="B24" s="634"/>
    </row>
    <row r="25" ht="12.75" customHeight="1">
      <c r="A25" t="s">
        <v>2070</v>
      </c>
      <c r="B25" s="634"/>
    </row>
    <row r="26" ht="12.75" customHeight="1">
      <c r="A26" t="s">
        <v>2071</v>
      </c>
    </row>
    <row r="27" ht="12.75" customHeight="1">
      <c r="A27" t="s">
        <v>2072</v>
      </c>
    </row>
    <row r="28" ht="12.75" customHeight="1">
      <c r="A28" t="s">
        <v>2073</v>
      </c>
    </row>
    <row r="29" ht="12.75" customHeight="1">
      <c r="A29" t="s">
        <v>2074</v>
      </c>
    </row>
    <row r="30" ht="12.75" customHeight="1">
      <c r="A30" t="s">
        <v>2075</v>
      </c>
    </row>
    <row r="31" ht="12.75" customHeight="1">
      <c r="A31" t="s">
        <v>2076</v>
      </c>
    </row>
    <row r="32" ht="12.75" customHeight="1">
      <c r="A32" t="s">
        <v>2077</v>
      </c>
    </row>
    <row r="33" ht="12.75" customHeight="1">
      <c r="A33" t="s">
        <v>2078</v>
      </c>
    </row>
    <row r="34" ht="12.75" customHeight="1">
      <c r="A34" t="s">
        <v>2079</v>
      </c>
    </row>
    <row r="35" ht="12.75" customHeight="1">
      <c r="A35" t="s">
        <v>2080</v>
      </c>
    </row>
    <row r="36" ht="12.75" customHeight="1">
      <c r="A36" t="s">
        <v>2081</v>
      </c>
    </row>
    <row r="37" ht="12.75" customHeight="1">
      <c r="A37" t="s">
        <v>972</v>
      </c>
    </row>
    <row r="38" ht="12.75" customHeight="1">
      <c r="A38" t="s">
        <v>2082</v>
      </c>
    </row>
    <row r="39" ht="12.75" customHeight="1">
      <c r="A39" t="s">
        <v>2083</v>
      </c>
    </row>
    <row r="40" ht="12.75" customHeight="1">
      <c r="A40" t="s">
        <v>2084</v>
      </c>
    </row>
    <row r="41" ht="12.75" customHeight="1">
      <c r="A41" t="s">
        <v>2085</v>
      </c>
    </row>
    <row r="42" ht="12.75" customHeight="1">
      <c r="A42" t="s">
        <v>2086</v>
      </c>
    </row>
    <row r="43" ht="12.75" customHeight="1">
      <c r="A43" t="s">
        <v>2087</v>
      </c>
    </row>
    <row r="44" ht="12.75" customHeight="1">
      <c r="A44" t="s">
        <v>2088</v>
      </c>
    </row>
    <row r="45" ht="12.75" customHeight="1">
      <c r="A45" t="s">
        <v>2089</v>
      </c>
    </row>
    <row r="46" ht="12.75" customHeight="1">
      <c r="A46" t="s">
        <v>2090</v>
      </c>
    </row>
    <row r="47" ht="12.75" customHeight="1">
      <c r="A47" t="s">
        <v>2091</v>
      </c>
    </row>
    <row r="48" ht="12.75" customHeight="1">
      <c r="A48" t="s">
        <v>2092</v>
      </c>
    </row>
    <row r="49" ht="12.75" customHeight="1">
      <c r="A49" t="s">
        <v>2093</v>
      </c>
    </row>
    <row r="50" ht="12.75" customHeight="1">
      <c r="A50" t="s">
        <v>2094</v>
      </c>
    </row>
    <row r="51" ht="12.75" customHeight="1">
      <c r="A51" t="s">
        <v>2095</v>
      </c>
    </row>
    <row r="52" ht="12.75" customHeight="1">
      <c r="A52" t="s">
        <v>2096</v>
      </c>
    </row>
    <row r="53" ht="12.75" customHeight="1">
      <c r="A53" t="s">
        <v>2097</v>
      </c>
    </row>
    <row r="54" ht="12.75" customHeight="1">
      <c r="A54" t="s">
        <v>2098</v>
      </c>
    </row>
    <row r="55" ht="12.75" customHeight="1">
      <c r="A55" t="s">
        <v>2099</v>
      </c>
    </row>
    <row r="56" ht="12.75" customHeight="1">
      <c r="A56" t="s">
        <v>2100</v>
      </c>
    </row>
    <row r="57" ht="12.75" customHeight="1">
      <c r="A57" t="s">
        <v>2101</v>
      </c>
    </row>
    <row r="58" ht="12.75" customHeight="1">
      <c r="A58" t="s">
        <v>2102</v>
      </c>
    </row>
    <row r="59" ht="12.75" customHeight="1">
      <c r="A59" t="s">
        <v>2103</v>
      </c>
    </row>
    <row r="60" ht="12.75" customHeight="1">
      <c r="A60" t="s">
        <v>2104</v>
      </c>
    </row>
    <row r="61" ht="12.75" customHeight="1">
      <c r="A61" t="s">
        <v>2105</v>
      </c>
    </row>
    <row r="62" ht="12.75" customHeight="1">
      <c r="A62" t="s">
        <v>2106</v>
      </c>
    </row>
    <row r="63" ht="12.75" customHeight="1">
      <c r="A63" t="s">
        <v>2107</v>
      </c>
    </row>
    <row r="64" ht="12.75" customHeight="1">
      <c r="A64" t="s">
        <v>2108</v>
      </c>
    </row>
    <row r="65" ht="12.75" customHeight="1">
      <c r="A65" t="s">
        <v>2109</v>
      </c>
    </row>
    <row r="66" ht="12.75" customHeight="1">
      <c r="A66" t="s">
        <v>2110</v>
      </c>
    </row>
    <row r="67" ht="12.75" customHeight="1">
      <c r="A67" t="s">
        <v>2111</v>
      </c>
    </row>
    <row r="68" ht="12.75" customHeight="1">
      <c r="A68" t="s">
        <v>2112</v>
      </c>
    </row>
    <row r="69" ht="12.75" customHeight="1">
      <c r="A69" t="s">
        <v>2113</v>
      </c>
    </row>
    <row r="70" ht="12.75" customHeight="1">
      <c r="A70" t="s">
        <v>2114</v>
      </c>
    </row>
    <row r="71" ht="12.75" customHeight="1">
      <c r="A71" t="s">
        <v>2115</v>
      </c>
    </row>
    <row r="72" ht="12.75" customHeight="1">
      <c r="A72" t="s">
        <v>2116</v>
      </c>
    </row>
    <row r="73" ht="12.75" customHeight="1">
      <c r="A73" t="s">
        <v>2117</v>
      </c>
    </row>
    <row r="74" ht="12.75" customHeight="1">
      <c r="A74" t="s">
        <v>2118</v>
      </c>
    </row>
    <row r="75" ht="12.75" customHeight="1">
      <c r="A75" t="s">
        <v>2119</v>
      </c>
    </row>
    <row r="76" ht="12.75" customHeight="1">
      <c r="A76" t="s">
        <v>2120</v>
      </c>
    </row>
    <row r="77" ht="12.75" customHeight="1">
      <c r="A77" t="s">
        <v>2121</v>
      </c>
    </row>
    <row r="78" ht="12.75" customHeight="1">
      <c r="A78" t="s">
        <v>2122</v>
      </c>
    </row>
    <row r="79" ht="12.75" customHeight="1">
      <c r="A79" t="s">
        <v>2123</v>
      </c>
    </row>
    <row r="80" ht="12.75" customHeight="1">
      <c r="A80" t="s">
        <v>2124</v>
      </c>
    </row>
    <row r="81" ht="12.75" customHeight="1">
      <c r="A81" t="s">
        <v>2125</v>
      </c>
    </row>
    <row r="82" ht="12.75" customHeight="1">
      <c r="A82" t="s">
        <v>2126</v>
      </c>
    </row>
    <row r="83" ht="12.75" customHeight="1">
      <c r="A83" t="s">
        <v>2127</v>
      </c>
    </row>
    <row r="84" ht="12.75" customHeight="1">
      <c r="A84" t="s">
        <v>2128</v>
      </c>
    </row>
    <row r="85" ht="12.75" customHeight="1">
      <c r="A85" t="s">
        <v>2129</v>
      </c>
    </row>
    <row r="86" ht="12.75" customHeight="1">
      <c r="A86" t="s">
        <v>2130</v>
      </c>
    </row>
    <row r="87" ht="12.75" customHeight="1">
      <c r="A87" t="s">
        <v>2131</v>
      </c>
    </row>
    <row r="88" ht="12.75" customHeight="1">
      <c r="A88" t="s">
        <v>2132</v>
      </c>
    </row>
    <row r="89" ht="12.75" customHeight="1">
      <c r="A89" t="s">
        <v>2133</v>
      </c>
    </row>
    <row r="90" ht="12.75" customHeight="1">
      <c r="A90" t="s">
        <v>2134</v>
      </c>
    </row>
    <row r="91" ht="12.75" customHeight="1">
      <c r="A91" t="s">
        <v>2135</v>
      </c>
    </row>
    <row r="92" ht="12.75" customHeight="1">
      <c r="A92" t="s">
        <v>2136</v>
      </c>
    </row>
    <row r="93" ht="12.75" customHeight="1">
      <c r="A93" t="s">
        <v>2137</v>
      </c>
    </row>
    <row r="94" ht="12.75" customHeight="1">
      <c r="A94" t="s">
        <v>2138</v>
      </c>
    </row>
    <row r="95" ht="12.75" customHeight="1">
      <c r="A95" t="s">
        <v>2139</v>
      </c>
    </row>
    <row r="96" ht="12.75" customHeight="1">
      <c r="A96" t="s">
        <v>2140</v>
      </c>
    </row>
    <row r="97" ht="12.75" customHeight="1">
      <c r="A97" t="s">
        <v>2141</v>
      </c>
    </row>
    <row r="98" ht="12.75" customHeight="1">
      <c r="A98" t="s">
        <v>2142</v>
      </c>
    </row>
    <row r="99" ht="12.75" customHeight="1">
      <c r="A99" t="s">
        <v>2143</v>
      </c>
    </row>
    <row r="100" ht="12.75" customHeight="1">
      <c r="A100" t="s">
        <v>2144</v>
      </c>
    </row>
    <row r="101" ht="12.75" customHeight="1">
      <c r="A101" t="s">
        <v>2145</v>
      </c>
    </row>
    <row r="102" ht="12.75" customHeight="1">
      <c r="A102" t="s">
        <v>2146</v>
      </c>
    </row>
    <row r="103" ht="12.75" customHeight="1">
      <c r="A103" t="s">
        <v>2147</v>
      </c>
    </row>
    <row r="104" ht="12.75" customHeight="1">
      <c r="A104" t="s">
        <v>2148</v>
      </c>
    </row>
    <row r="105" ht="12.75" customHeight="1">
      <c r="A105" t="s">
        <v>2149</v>
      </c>
    </row>
    <row r="109" ht="19.5" customHeight="1">
      <c r="A109" s="810" t="s">
        <v>994</v>
      </c>
    </row>
    <row r="110" ht="15.75" customHeight="1">
      <c r="A110" t="s">
        <v>2150</v>
      </c>
      <c r="C110" s="1283" t="s">
        <v>2151</v>
      </c>
      <c r="G110" s="1284" t="s">
        <v>2152</v>
      </c>
    </row>
    <row r="111" ht="13.5" customHeight="1">
      <c r="A111" s="1285"/>
      <c r="B111" s="1286" t="s">
        <v>2153</v>
      </c>
    </row>
    <row r="112" ht="13.5" customHeight="1">
      <c r="A112" s="1287" t="s">
        <v>1841</v>
      </c>
      <c r="B112" s="1287"/>
      <c r="C112" s="1192"/>
    </row>
    <row r="113" ht="13.5" customHeight="1">
      <c r="A113" s="552" t="s">
        <v>1060</v>
      </c>
      <c r="B113" s="1288" t="s">
        <v>2154</v>
      </c>
    </row>
    <row r="114" ht="13.5" customHeight="1">
      <c r="A114" s="552" t="s">
        <v>2155</v>
      </c>
      <c r="B114" s="1288" t="s">
        <v>2156</v>
      </c>
      <c r="M114" t="s">
        <v>2157</v>
      </c>
    </row>
    <row r="115" ht="13.5" customHeight="1">
      <c r="A115" s="552" t="s">
        <v>7</v>
      </c>
      <c r="B115" s="1288" t="s">
        <v>2158</v>
      </c>
      <c r="C115" s="1192"/>
    </row>
    <row r="116" ht="13.5" customHeight="1">
      <c r="A116" s="552" t="s">
        <v>8</v>
      </c>
      <c r="B116" s="1288" t="s">
        <v>2159</v>
      </c>
    </row>
    <row r="117" ht="13.5" customHeight="1">
      <c r="A117" s="552" t="s">
        <v>9</v>
      </c>
      <c r="B117" s="1289" t="s">
        <v>2160</v>
      </c>
    </row>
    <row r="118" ht="13.5" customHeight="1">
      <c r="A118" s="552" t="s">
        <v>2161</v>
      </c>
      <c r="B118" s="1289" t="s">
        <v>2160</v>
      </c>
      <c r="C118" s="1192"/>
    </row>
    <row r="119" ht="13.5" customHeight="1">
      <c r="A119" s="552" t="s">
        <v>2162</v>
      </c>
      <c r="B119" s="1289" t="s">
        <v>2160</v>
      </c>
    </row>
    <row r="120" ht="13.5" customHeight="1">
      <c r="A120" s="552" t="s">
        <v>5</v>
      </c>
      <c r="B120" s="1289" t="s">
        <v>2163</v>
      </c>
    </row>
    <row r="121" ht="13.5" customHeight="1">
      <c r="A121" s="552" t="s">
        <v>11</v>
      </c>
      <c r="B121" s="1289" t="s">
        <v>2164</v>
      </c>
      <c r="C121" s="1192"/>
    </row>
    <row r="122" ht="13.5" customHeight="1">
      <c r="A122" s="552" t="s">
        <v>2165</v>
      </c>
      <c r="B122" s="1289" t="s">
        <v>2164</v>
      </c>
    </row>
    <row r="123" ht="13.5" customHeight="1">
      <c r="A123" s="552" t="s">
        <v>13</v>
      </c>
      <c r="B123" s="1289" t="s">
        <v>2164</v>
      </c>
    </row>
    <row r="124" ht="13.5" customHeight="1">
      <c r="A124" s="552" t="s">
        <v>14</v>
      </c>
      <c r="B124" s="1289" t="s">
        <v>2164</v>
      </c>
      <c r="C124" s="1192"/>
    </row>
    <row r="125" ht="13.5" customHeight="1">
      <c r="A125" s="1287" t="s">
        <v>2166</v>
      </c>
      <c r="B125" s="1285"/>
    </row>
    <row r="126" ht="13.5" customHeight="1">
      <c r="A126" s="552" t="s">
        <v>2167</v>
      </c>
      <c r="B126" s="1285" t="s">
        <v>2168</v>
      </c>
    </row>
    <row r="127" ht="13.5" customHeight="1">
      <c r="A127" s="552" t="s">
        <v>2169</v>
      </c>
      <c r="B127" s="1285" t="n">
        <v>0.03</v>
      </c>
      <c r="C127" s="1192"/>
    </row>
    <row r="128" ht="13.5" customHeight="1">
      <c r="A128" s="552" t="s">
        <v>2170</v>
      </c>
      <c r="B128" s="1285" t="s">
        <v>2171</v>
      </c>
    </row>
    <row r="129" ht="13.5" customHeight="1">
      <c r="A129" s="552" t="s">
        <v>1973</v>
      </c>
      <c r="B129" s="1285" t="s">
        <v>2171</v>
      </c>
    </row>
    <row r="130" ht="13.5" customHeight="1">
      <c r="A130" s="552" t="s">
        <v>2172</v>
      </c>
      <c r="B130" s="1285" t="s">
        <v>2171</v>
      </c>
      <c r="C130" s="1192"/>
    </row>
    <row r="131" ht="13.5" customHeight="1">
      <c r="A131" s="1287" t="s">
        <v>2173</v>
      </c>
      <c r="B131" s="1285"/>
    </row>
    <row r="132" ht="13.5" customHeight="1">
      <c r="A132" s="552" t="s">
        <v>2174</v>
      </c>
      <c r="B132" s="1285" t="s">
        <v>2171</v>
      </c>
    </row>
    <row r="133" ht="13.5" customHeight="1">
      <c r="A133" s="552" t="s">
        <v>2175</v>
      </c>
      <c r="B133" s="1285" t="n">
        <v>0</v>
      </c>
    </row>
    <row r="134" ht="13.5" customHeight="1">
      <c r="A134" s="552" t="s">
        <v>1974</v>
      </c>
      <c r="B134" s="1285" t="s">
        <v>2171</v>
      </c>
    </row>
    <row r="135" ht="13.5" customHeight="1">
      <c r="A135" s="552" t="s">
        <v>2176</v>
      </c>
      <c r="B135" s="1285" t="s">
        <v>2168</v>
      </c>
    </row>
    <row r="136" ht="13.5" customHeight="1">
      <c r="A136" s="1287" t="s">
        <v>2177</v>
      </c>
      <c r="B136" s="1285"/>
    </row>
    <row r="137" ht="13.5" customHeight="1">
      <c r="A137" s="552" t="s">
        <v>2178</v>
      </c>
      <c r="B137" s="1285" t="s">
        <v>2160</v>
      </c>
    </row>
    <row r="138" ht="13.5" customHeight="1">
      <c r="A138" s="552" t="s">
        <v>2179</v>
      </c>
      <c r="B138" s="1285" t="s">
        <v>2180</v>
      </c>
    </row>
    <row r="139" ht="13.5" customHeight="1">
      <c r="A139" s="552" t="s">
        <v>2181</v>
      </c>
      <c r="B139" s="1285" t="s">
        <v>2182</v>
      </c>
    </row>
    <row r="140" ht="13.5" customHeight="1">
      <c r="A140" s="552" t="s">
        <v>2183</v>
      </c>
      <c r="B140" s="1285" t="s">
        <v>2160</v>
      </c>
      <c r="C140" s="1192"/>
    </row>
    <row r="141" ht="13.5" customHeight="1">
      <c r="A141" s="552" t="s">
        <v>2184</v>
      </c>
      <c r="B141" s="1285" t="s">
        <v>2160</v>
      </c>
    </row>
    <row r="142" ht="13.5" customHeight="1">
      <c r="A142" s="552" t="s">
        <v>2185</v>
      </c>
      <c r="B142" s="1285" t="s">
        <v>2180</v>
      </c>
    </row>
    <row r="143" ht="13.5" customHeight="1">
      <c r="A143" s="552" t="s">
        <v>2186</v>
      </c>
      <c r="B143" s="1285" t="s">
        <v>2187</v>
      </c>
    </row>
    <row r="144" ht="13.5" customHeight="1">
      <c r="A144" s="552" t="s">
        <v>2188</v>
      </c>
      <c r="B144" s="1285" t="s">
        <v>2164</v>
      </c>
      <c r="C144" s="1192"/>
    </row>
    <row r="145" ht="13.5" customHeight="1">
      <c r="A145" s="552" t="s">
        <v>2189</v>
      </c>
      <c r="B145" s="1285" t="s">
        <v>2182</v>
      </c>
    </row>
    <row r="146" ht="13.5" customHeight="1">
      <c r="A146" s="552" t="s">
        <v>2190</v>
      </c>
      <c r="B146" s="1285" t="s">
        <v>2160</v>
      </c>
    </row>
    <row r="147" ht="13.5" customHeight="1">
      <c r="A147" s="552" t="s">
        <v>2178</v>
      </c>
      <c r="B147" s="1285" t="s">
        <v>2160</v>
      </c>
      <c r="C147" s="1192"/>
    </row>
    <row r="148" ht="12.75" customHeight="1">
      <c r="A148" s="552"/>
      <c r="B148" s="1285"/>
      <c r="C148" s="1192"/>
    </row>
    <row r="149" ht="12.75" customHeight="1">
      <c r="A149" s="552"/>
      <c r="B149" s="1285"/>
      <c r="C149" s="1192"/>
    </row>
    <row r="150" ht="12.75" customHeight="1">
      <c r="A150" s="552"/>
      <c r="B150" s="1285"/>
      <c r="C150" s="1192"/>
    </row>
    <row r="151" ht="19.5" customHeight="1">
      <c r="A151" s="810" t="s">
        <v>2191</v>
      </c>
      <c r="B151" s="1285"/>
      <c r="C151" s="1192"/>
    </row>
    <row r="152" ht="12.75" customHeight="1">
      <c r="A152" s="552"/>
      <c r="B152" s="1285"/>
      <c r="C152" s="1192"/>
    </row>
    <row r="153" ht="15" customHeight="1">
      <c r="A153" s="1290" t="s">
        <v>2192</v>
      </c>
      <c r="D153" s="1192"/>
    </row>
    <row r="154" ht="12.75" customHeight="1">
      <c r="A154" s="1283" t="s">
        <v>2193</v>
      </c>
      <c r="D154" s="1192"/>
    </row>
    <row r="155" ht="12.75" customHeight="1">
      <c r="S155" s="1140" t="s">
        <v>2194</v>
      </c>
      <c r="T155" s="1140"/>
      <c r="U155" s="1140"/>
      <c r="V155" s="1140"/>
      <c r="W155" s="1140"/>
      <c r="X155" s="1140"/>
      <c r="Y155" s="1140"/>
    </row>
    <row r="156" ht="12.75" customHeight="1">
      <c r="S156" s="646"/>
      <c r="V156" s="1192"/>
    </row>
    <row r="157" ht="12.75" customHeight="1">
      <c r="S157" s="646"/>
      <c r="T157" s="1189" t="s">
        <v>2195</v>
      </c>
      <c r="U157" s="1190" t="s">
        <v>2196</v>
      </c>
      <c r="V157" s="1190"/>
      <c r="W157" s="1190"/>
      <c r="X157" s="1190"/>
    </row>
    <row r="158" ht="12.75" customHeight="1">
      <c r="S158" s="646"/>
      <c r="T158" s="1189"/>
      <c r="U158" s="1190" t="n">
        <v>6</v>
      </c>
      <c r="V158" s="1190" t="n">
        <v>8</v>
      </c>
      <c r="W158" s="1190" t="n">
        <v>10</v>
      </c>
      <c r="X158" s="1190" t="n">
        <v>12</v>
      </c>
    </row>
    <row r="159" ht="12.75" customHeight="1">
      <c r="S159" s="646"/>
      <c r="T159" s="1291" t="n">
        <v>0.15</v>
      </c>
      <c r="U159" s="1192" t="n">
        <v>27</v>
      </c>
      <c r="V159" s="1192" t="n">
        <v>36</v>
      </c>
      <c r="W159" s="1192" t="n">
        <v>45</v>
      </c>
      <c r="X159" s="1192" t="n">
        <v>54</v>
      </c>
    </row>
    <row r="160" ht="12.75" customHeight="1">
      <c r="S160" s="646"/>
      <c r="T160" s="1291" t="n">
        <v>0.35</v>
      </c>
      <c r="U160" s="1192" t="n">
        <v>63</v>
      </c>
      <c r="V160" s="1192" t="n">
        <v>84</v>
      </c>
      <c r="W160" s="1192" t="n">
        <v>105</v>
      </c>
      <c r="X160" s="1192" t="n">
        <v>126</v>
      </c>
    </row>
    <row r="161" ht="12.75" customHeight="1">
      <c r="S161" s="646"/>
      <c r="T161" s="1291" t="n">
        <v>0.5</v>
      </c>
      <c r="U161" s="1192" t="n">
        <v>90</v>
      </c>
      <c r="V161" s="1192" t="n">
        <v>120</v>
      </c>
      <c r="W161" s="1192" t="n">
        <v>150</v>
      </c>
      <c r="X161" s="1192" t="n">
        <v>180</v>
      </c>
    </row>
    <row r="162" ht="12.75" customHeight="1">
      <c r="S162" s="646"/>
      <c r="V162" s="1192"/>
    </row>
    <row r="163" ht="12.75" customHeight="1">
      <c r="S163" s="1140" t="s">
        <v>2197</v>
      </c>
      <c r="T163" s="1140"/>
      <c r="U163" s="1140"/>
      <c r="V163" s="1140"/>
      <c r="W163" s="1140"/>
      <c r="X163" s="1140"/>
      <c r="Y163" s="1140"/>
    </row>
    <row r="164" ht="12.75" customHeight="1">
      <c r="S164" s="646"/>
      <c r="V164" s="1192"/>
    </row>
    <row r="165" ht="12.75" customHeight="1">
      <c r="S165" s="646"/>
      <c r="T165" s="1189" t="s">
        <v>1867</v>
      </c>
      <c r="U165" s="1190" t="s">
        <v>2198</v>
      </c>
      <c r="V165" s="1190"/>
      <c r="W165" s="1190"/>
      <c r="X165" s="1190"/>
      <c r="Y165" s="1190"/>
    </row>
    <row r="166" ht="12.75" customHeight="1">
      <c r="S166" s="646"/>
      <c r="T166" s="1189"/>
      <c r="U166" s="1190" t="n">
        <v>2</v>
      </c>
      <c r="V166" s="1190" t="n">
        <v>3</v>
      </c>
      <c r="W166" s="1190" t="n">
        <v>4</v>
      </c>
      <c r="X166" s="1190" t="n">
        <v>5</v>
      </c>
      <c r="Y166" s="983" t="n">
        <v>6</v>
      </c>
    </row>
    <row r="167" ht="12.75" customHeight="1">
      <c r="S167" s="646"/>
      <c r="T167" s="1191" t="s">
        <v>1871</v>
      </c>
      <c r="U167" s="1192" t="n">
        <v>65</v>
      </c>
      <c r="V167" s="1192" t="n">
        <v>97.5</v>
      </c>
      <c r="W167" s="1192" t="n">
        <v>130</v>
      </c>
      <c r="X167" s="1192" t="n">
        <v>162.5</v>
      </c>
      <c r="Y167" s="1192" t="n">
        <v>195</v>
      </c>
    </row>
    <row r="168" ht="12.75" customHeight="1">
      <c r="S168" s="646"/>
      <c r="T168" s="1191" t="s">
        <v>1873</v>
      </c>
      <c r="U168" s="1192" t="n">
        <v>71</v>
      </c>
      <c r="V168" s="1192" t="n">
        <v>106.5</v>
      </c>
      <c r="W168" s="1192" t="n">
        <v>142</v>
      </c>
      <c r="X168" s="1192" t="n">
        <v>177.5</v>
      </c>
      <c r="Y168" s="1192" t="n">
        <v>213</v>
      </c>
    </row>
    <row r="169" ht="12.75" customHeight="1">
      <c r="S169" s="646"/>
      <c r="T169" s="1191" t="s">
        <v>1874</v>
      </c>
      <c r="U169" s="1192" t="n">
        <v>66</v>
      </c>
      <c r="V169" s="1192" t="n">
        <v>99</v>
      </c>
      <c r="W169" s="1192" t="n">
        <v>132</v>
      </c>
      <c r="X169" s="1192" t="n">
        <v>164.5</v>
      </c>
      <c r="Y169" s="1192" t="n">
        <v>198</v>
      </c>
    </row>
    <row r="170" ht="12.75" customHeight="1">
      <c r="S170" s="646"/>
      <c r="T170" s="1191" t="s">
        <v>1875</v>
      </c>
      <c r="U170" s="1192" t="n">
        <v>111</v>
      </c>
      <c r="V170" s="1192" t="n">
        <v>166.5</v>
      </c>
      <c r="W170" s="1192" t="n">
        <v>222</v>
      </c>
      <c r="X170" s="1192" t="n">
        <v>277.5</v>
      </c>
      <c r="Y170" s="1192" t="n">
        <v>333</v>
      </c>
    </row>
    <row r="171" ht="12.75" customHeight="1">
      <c r="S171" s="646"/>
      <c r="T171" s="1191" t="s">
        <v>1877</v>
      </c>
      <c r="U171" s="1192" t="n">
        <v>113</v>
      </c>
      <c r="V171" s="1192" t="n">
        <v>169.5</v>
      </c>
      <c r="W171" s="1192" t="n">
        <v>226</v>
      </c>
      <c r="X171" s="1192" t="n">
        <v>282</v>
      </c>
      <c r="Y171" s="1192" t="n">
        <v>339</v>
      </c>
    </row>
    <row r="172" ht="12.75" customHeight="1">
      <c r="S172" s="646"/>
      <c r="T172" s="1191" t="s">
        <v>1879</v>
      </c>
      <c r="U172" s="1192" t="n">
        <v>72</v>
      </c>
      <c r="V172" s="1192" t="n">
        <v>108</v>
      </c>
      <c r="W172" s="1192" t="n">
        <v>144</v>
      </c>
      <c r="X172" s="1192" t="n">
        <v>180</v>
      </c>
      <c r="Y172" s="1192" t="n">
        <v>216</v>
      </c>
    </row>
    <row r="173" ht="12.75" customHeight="1">
      <c r="S173" s="646"/>
      <c r="V173" s="1192"/>
    </row>
    <row r="174" ht="19.5" customHeight="1">
      <c r="A174" s="810" t="s">
        <v>2199</v>
      </c>
      <c r="S174" s="1140" t="s">
        <v>2200</v>
      </c>
      <c r="T174" s="1140"/>
      <c r="U174" s="1140"/>
      <c r="V174" s="1140"/>
      <c r="W174" s="1140"/>
      <c r="X174" s="1140"/>
      <c r="Y174" s="1140"/>
    </row>
    <row r="175" ht="12.75" customHeight="1">
      <c r="S175" s="646"/>
      <c r="V175" s="1192"/>
    </row>
    <row r="176" ht="12.75" customHeight="1">
      <c r="A176" s="1292" t="s">
        <v>2201</v>
      </c>
      <c r="B176" s="1293" t="s">
        <v>2202</v>
      </c>
      <c r="C176" s="1293"/>
      <c r="D176" s="1293"/>
      <c r="E176" s="1293"/>
      <c r="F176" s="1293"/>
      <c r="G176" s="1293"/>
      <c r="H176" s="1293"/>
      <c r="S176" s="646"/>
      <c r="T176" s="1189" t="s">
        <v>2203</v>
      </c>
      <c r="U176" s="1190" t="n">
        <v>6</v>
      </c>
      <c r="V176" s="1190" t="n">
        <v>8</v>
      </c>
      <c r="W176" s="1190" t="n">
        <v>10</v>
      </c>
      <c r="X176" s="1190" t="n">
        <v>12</v>
      </c>
    </row>
    <row r="177" ht="12.75" customHeight="1">
      <c r="A177" s="646" t="s">
        <v>2204</v>
      </c>
      <c r="B177" s="748" t="s">
        <v>2205</v>
      </c>
      <c r="C177" s="748"/>
      <c r="D177" s="748"/>
      <c r="E177" s="748"/>
      <c r="F177" s="748"/>
      <c r="G177" s="748"/>
      <c r="H177" s="748"/>
      <c r="S177" s="646"/>
      <c r="T177" s="1291" t="s">
        <v>2206</v>
      </c>
      <c r="U177" s="1192" t="n">
        <v>180</v>
      </c>
      <c r="V177" s="1192" t="n">
        <v>240</v>
      </c>
      <c r="W177" s="1192" t="n">
        <v>300</v>
      </c>
      <c r="X177" s="1192" t="n">
        <v>360</v>
      </c>
    </row>
    <row r="178" ht="12.75" customHeight="1">
      <c r="A178" s="646" t="s">
        <v>2207</v>
      </c>
      <c r="B178" s="1294" t="s">
        <v>2208</v>
      </c>
      <c r="C178" s="1294"/>
      <c r="D178" s="1294"/>
      <c r="E178" s="1294"/>
      <c r="F178" s="1294"/>
      <c r="G178" s="1294"/>
      <c r="H178" s="1294"/>
      <c r="S178" s="646"/>
      <c r="T178" s="1295"/>
      <c r="U178" s="1192"/>
      <c r="V178" s="1192"/>
      <c r="W178" s="1192"/>
      <c r="X178" s="1192"/>
    </row>
    <row r="179" ht="12.75" customHeight="1">
      <c r="S179" s="646"/>
      <c r="T179" s="1295"/>
      <c r="U179" s="1192"/>
      <c r="V179" s="1192"/>
      <c r="W179" s="1192"/>
      <c r="X179" s="1192"/>
    </row>
    <row r="180" ht="12.75" customHeight="1">
      <c r="S180" s="646"/>
      <c r="T180" s="1295"/>
      <c r="U180" s="1192"/>
      <c r="V180" s="1192"/>
      <c r="W180" s="1192"/>
      <c r="X180" s="1192"/>
    </row>
    <row r="181" ht="19.5" customHeight="1">
      <c r="A181" s="810" t="s">
        <v>2209</v>
      </c>
      <c r="S181" s="646"/>
      <c r="T181" s="1295"/>
      <c r="U181" s="1192"/>
      <c r="V181" s="1192"/>
      <c r="W181" s="1192"/>
      <c r="X181" s="1192"/>
    </row>
    <row r="182" ht="13.5" customHeight="1">
      <c r="S182" s="646"/>
      <c r="T182" s="1295"/>
      <c r="U182" s="1192"/>
      <c r="V182" s="1192"/>
      <c r="W182" s="1192"/>
      <c r="X182" s="1192"/>
    </row>
    <row r="183" ht="12.75" customHeight="1">
      <c r="A183" s="1296" t="s">
        <v>2210</v>
      </c>
      <c r="B183" s="1296" t="s">
        <v>28</v>
      </c>
      <c r="C183" s="1296" t="s">
        <v>2211</v>
      </c>
      <c r="D183" s="1296" t="s">
        <v>2212</v>
      </c>
      <c r="E183" s="1296"/>
      <c r="F183" s="1296" t="s">
        <v>2213</v>
      </c>
      <c r="G183" s="1296" t="s">
        <v>2214</v>
      </c>
      <c r="S183" s="646"/>
      <c r="T183" s="1295"/>
      <c r="U183" s="1192"/>
      <c r="V183" s="1192"/>
      <c r="W183" s="1192"/>
      <c r="X183" s="1192"/>
    </row>
    <row r="184" ht="13.5" customHeight="1">
      <c r="A184" s="1296"/>
      <c r="B184" s="1296"/>
      <c r="C184" s="1296"/>
      <c r="D184" s="1296"/>
      <c r="E184" s="1296"/>
      <c r="F184" s="1296"/>
      <c r="G184" s="1296"/>
      <c r="H184" t="n">
        <v>1</v>
      </c>
      <c r="I184" t="s">
        <v>2215</v>
      </c>
      <c r="S184" s="646"/>
      <c r="T184" s="1295"/>
      <c r="U184" s="1192"/>
      <c r="V184" s="1192"/>
      <c r="W184" s="1192"/>
      <c r="X184" s="1192"/>
    </row>
    <row r="185" ht="15" customHeight="1">
      <c r="A185" s="1297" t="s">
        <v>1408</v>
      </c>
      <c r="B185" s="1296"/>
      <c r="C185" s="1296"/>
      <c r="D185" s="1296"/>
      <c r="E185" s="1296"/>
      <c r="F185" s="1296"/>
      <c r="H185" t="n">
        <v>2</v>
      </c>
      <c r="I185" t="s">
        <v>2216</v>
      </c>
      <c r="J185" t="s">
        <v>2217</v>
      </c>
      <c r="S185" s="646"/>
      <c r="T185" s="1295"/>
      <c r="U185" s="1192"/>
      <c r="V185" s="1192"/>
      <c r="W185" s="1192"/>
      <c r="X185" s="1192"/>
    </row>
    <row r="186" ht="15" customHeight="1">
      <c r="A186" s="1298" t="s">
        <v>2218</v>
      </c>
      <c r="B186" s="811" t="s">
        <v>546</v>
      </c>
      <c r="C186" s="811" t="n">
        <v>10.4</v>
      </c>
      <c r="D186" s="1299"/>
      <c r="E186" s="1300"/>
      <c r="F186" s="811" t="n">
        <v>4</v>
      </c>
      <c r="H186" t="n">
        <v>3</v>
      </c>
      <c r="I186" t="s">
        <v>2219</v>
      </c>
      <c r="J186" t="s">
        <v>2220</v>
      </c>
      <c r="S186" s="646"/>
      <c r="T186" s="1295"/>
      <c r="U186" s="1192"/>
      <c r="V186" s="1192"/>
      <c r="W186" s="1192"/>
      <c r="X186" s="1192"/>
    </row>
    <row r="187" ht="15" customHeight="1">
      <c r="A187" s="1298" t="s">
        <v>2221</v>
      </c>
      <c r="B187" s="811" t="s">
        <v>183</v>
      </c>
      <c r="C187" s="811" t="n">
        <v>45.6</v>
      </c>
      <c r="D187" s="1301" t="s">
        <v>2222</v>
      </c>
      <c r="E187" s="1301" t="n">
        <v>46</v>
      </c>
      <c r="F187" s="1165" t="n">
        <v>4</v>
      </c>
      <c r="H187" s="646" t="n">
        <v>4</v>
      </c>
      <c r="I187" t="s">
        <v>2223</v>
      </c>
      <c r="J187" t="s">
        <v>2224</v>
      </c>
      <c r="S187" s="646"/>
      <c r="T187" s="1295"/>
      <c r="U187" s="1192"/>
      <c r="V187" s="1192"/>
      <c r="W187" s="1192"/>
      <c r="X187" s="1192"/>
    </row>
    <row r="188" ht="15" customHeight="1">
      <c r="A188" s="37" t="s">
        <v>2225</v>
      </c>
      <c r="B188" s="811" t="s">
        <v>183</v>
      </c>
      <c r="C188" s="811" t="n">
        <v>45.7</v>
      </c>
      <c r="D188" s="1301"/>
      <c r="E188" s="1301"/>
      <c r="F188" s="1165"/>
      <c r="H188" s="646" t="n">
        <v>5</v>
      </c>
      <c r="I188" t="s">
        <v>2226</v>
      </c>
      <c r="S188" s="646"/>
      <c r="T188" s="1295"/>
      <c r="U188" s="1192"/>
      <c r="V188" s="1192"/>
      <c r="W188" s="1192"/>
      <c r="X188" s="1192"/>
    </row>
    <row r="189" ht="15" customHeight="1">
      <c r="A189" s="37" t="s">
        <v>2227</v>
      </c>
      <c r="B189" s="811" t="s">
        <v>183</v>
      </c>
      <c r="C189" s="811" t="n">
        <v>48</v>
      </c>
      <c r="D189" s="1301"/>
      <c r="E189" s="1301"/>
      <c r="F189" s="1165"/>
      <c r="S189" s="646"/>
      <c r="T189" s="1295"/>
      <c r="U189" s="1192"/>
      <c r="V189" s="1192"/>
      <c r="W189" s="1192"/>
      <c r="X189" s="1192"/>
    </row>
    <row r="190" ht="15" customHeight="1">
      <c r="A190" s="37" t="s">
        <v>549</v>
      </c>
      <c r="B190" s="811" t="s">
        <v>183</v>
      </c>
      <c r="C190" s="811"/>
      <c r="D190" s="646"/>
      <c r="E190" s="1128"/>
      <c r="F190" s="646"/>
      <c r="R190" s="646"/>
      <c r="S190" s="1295"/>
      <c r="T190" s="1192"/>
      <c r="U190" s="1192"/>
      <c r="V190" s="1192"/>
      <c r="W190" s="1192"/>
    </row>
    <row r="191" ht="15" customHeight="1">
      <c r="A191" s="9" t="s">
        <v>2228</v>
      </c>
      <c r="B191" s="811" t="s">
        <v>551</v>
      </c>
      <c r="C191" s="811" t="n">
        <v>57.5</v>
      </c>
      <c r="D191" s="1165" t="s">
        <v>2229</v>
      </c>
      <c r="E191" s="1165" t="n">
        <v>56.6</v>
      </c>
      <c r="F191" s="1165" t="n">
        <v>4</v>
      </c>
      <c r="R191" s="646"/>
      <c r="S191" s="1295"/>
      <c r="T191" s="1192"/>
      <c r="U191" s="1192"/>
      <c r="V191" s="1192"/>
      <c r="W191" s="1192"/>
    </row>
    <row r="192" ht="15" customHeight="1">
      <c r="A192" s="9" t="s">
        <v>2230</v>
      </c>
      <c r="B192" s="811" t="s">
        <v>551</v>
      </c>
      <c r="C192" s="811" t="n">
        <v>55.7</v>
      </c>
      <c r="D192" s="1165"/>
      <c r="E192" s="1165"/>
      <c r="F192" s="1165"/>
      <c r="R192" s="646"/>
      <c r="S192" s="1295"/>
      <c r="T192" s="1192"/>
      <c r="U192" s="1192"/>
      <c r="V192" s="1192"/>
      <c r="W192" s="1192"/>
    </row>
    <row r="193" ht="15" customHeight="1">
      <c r="A193" s="9" t="s">
        <v>553</v>
      </c>
      <c r="B193" s="811" t="s">
        <v>554</v>
      </c>
      <c r="C193" s="811" t="n">
        <v>18</v>
      </c>
      <c r="D193" s="646"/>
      <c r="E193" s="646"/>
      <c r="F193" s="1192" t="n">
        <v>1</v>
      </c>
      <c r="G193" s="1061"/>
      <c r="R193" s="646"/>
      <c r="S193" s="1295"/>
      <c r="T193" s="1192"/>
      <c r="U193" s="1192"/>
      <c r="V193" s="1192"/>
      <c r="W193" s="1192"/>
    </row>
    <row r="194" ht="15" customHeight="1">
      <c r="A194" s="9" t="s">
        <v>558</v>
      </c>
      <c r="B194" s="811" t="s">
        <v>551</v>
      </c>
      <c r="C194" s="811" t="n">
        <v>18</v>
      </c>
      <c r="D194" s="1250"/>
      <c r="E194" s="1302"/>
      <c r="F194" s="1192" t="n">
        <v>3</v>
      </c>
      <c r="G194" s="1061"/>
      <c r="R194" s="646"/>
      <c r="S194" s="1295"/>
      <c r="T194" s="1192"/>
      <c r="U194" s="1192"/>
      <c r="V194" s="1192"/>
      <c r="W194" s="1192"/>
    </row>
    <row r="195" ht="15" customHeight="1">
      <c r="A195" s="9" t="s">
        <v>555</v>
      </c>
      <c r="B195" s="811" t="s">
        <v>554</v>
      </c>
      <c r="C195" s="811" t="n">
        <v>18</v>
      </c>
      <c r="D195" s="1250"/>
      <c r="E195" s="1302"/>
      <c r="F195" s="1192" t="n">
        <v>5</v>
      </c>
      <c r="G195" s="1061"/>
      <c r="R195" s="646"/>
      <c r="S195" s="1295"/>
      <c r="T195" s="1192"/>
      <c r="U195" s="1192"/>
      <c r="V195" s="1192"/>
      <c r="W195" s="1192"/>
    </row>
    <row r="196" ht="15" customHeight="1">
      <c r="A196" s="9" t="s">
        <v>2231</v>
      </c>
      <c r="B196" s="811" t="s">
        <v>551</v>
      </c>
      <c r="C196" s="811" t="n">
        <v>28</v>
      </c>
      <c r="D196" s="1250"/>
      <c r="E196" s="1302"/>
      <c r="F196" s="1192" t="n">
        <v>3</v>
      </c>
      <c r="R196" s="646"/>
      <c r="S196" s="1295"/>
      <c r="T196" s="1192"/>
      <c r="U196" s="1192"/>
      <c r="V196" s="1192"/>
      <c r="W196" s="1192"/>
    </row>
    <row r="197" ht="15" customHeight="1">
      <c r="A197" s="9" t="s">
        <v>557</v>
      </c>
      <c r="B197" s="811" t="s">
        <v>183</v>
      </c>
      <c r="C197" s="811" t="n">
        <v>40.1</v>
      </c>
      <c r="D197" s="1250"/>
      <c r="E197" s="1302"/>
      <c r="F197" s="1192" t="n">
        <v>2</v>
      </c>
      <c r="G197" s="1061"/>
      <c r="R197" s="646"/>
      <c r="S197" s="1295"/>
      <c r="T197" s="1192"/>
      <c r="U197" s="1192"/>
      <c r="V197" s="1192"/>
      <c r="W197" s="1192"/>
    </row>
    <row r="198" ht="12.75" customHeight="1">
      <c r="S198" s="646"/>
      <c r="T198" s="1295"/>
      <c r="U198" s="1192"/>
      <c r="V198" s="1192"/>
      <c r="W198" s="1192"/>
      <c r="X198" s="1192"/>
    </row>
    <row r="199" ht="15" customHeight="1">
      <c r="A199" s="1303" t="s">
        <v>1418</v>
      </c>
      <c r="S199" s="646"/>
      <c r="T199" s="1295"/>
      <c r="U199" s="1192"/>
      <c r="V199" s="1192"/>
      <c r="W199" s="1192"/>
      <c r="X199" s="1192"/>
    </row>
    <row r="200" ht="15" customHeight="1">
      <c r="A200" s="43" t="s">
        <v>1422</v>
      </c>
      <c r="B200" s="811" t="s">
        <v>2232</v>
      </c>
      <c r="C200" s="811" t="n">
        <v>5728</v>
      </c>
      <c r="F200" s="1192" t="n">
        <v>2</v>
      </c>
      <c r="G200" s="1061"/>
      <c r="R200" s="646"/>
      <c r="S200" s="1295"/>
      <c r="T200" s="1192"/>
      <c r="U200" s="1192"/>
      <c r="V200" s="1192"/>
      <c r="W200" s="1192"/>
    </row>
    <row r="201" ht="15" customHeight="1">
      <c r="A201" s="43" t="s">
        <v>1424</v>
      </c>
      <c r="B201" s="811" t="s">
        <v>2233</v>
      </c>
      <c r="C201" s="811" t="n">
        <v>3439</v>
      </c>
      <c r="F201" s="1192"/>
      <c r="R201" s="646"/>
      <c r="S201" s="1295"/>
      <c r="T201" s="1192"/>
      <c r="U201" s="1192"/>
      <c r="V201" s="1192"/>
      <c r="W201" s="1192"/>
    </row>
    <row r="202" ht="15" customHeight="1">
      <c r="A202" s="43" t="s">
        <v>2234</v>
      </c>
      <c r="B202" s="811" t="s">
        <v>2233</v>
      </c>
      <c r="C202" s="811" t="n">
        <v>4267</v>
      </c>
      <c r="F202" s="1192"/>
      <c r="R202" s="646"/>
      <c r="S202" s="1295"/>
      <c r="T202" s="1192"/>
      <c r="U202" s="1192"/>
      <c r="V202" s="1192"/>
      <c r="W202" s="1192"/>
    </row>
    <row r="203" ht="15" customHeight="1">
      <c r="A203" s="43" t="s">
        <v>1426</v>
      </c>
      <c r="B203" s="811" t="s">
        <v>2235</v>
      </c>
      <c r="C203" s="811" t="n">
        <v>3128</v>
      </c>
      <c r="F203" s="1192"/>
      <c r="R203" s="646"/>
      <c r="S203" s="1295"/>
      <c r="T203" s="1192"/>
      <c r="U203" s="1192"/>
      <c r="V203" s="1192"/>
      <c r="W203" s="1192"/>
    </row>
    <row r="204" ht="15" customHeight="1">
      <c r="A204" s="43" t="s">
        <v>1429</v>
      </c>
      <c r="B204" s="811" t="s">
        <v>2233</v>
      </c>
      <c r="C204" s="811" t="n">
        <v>3600</v>
      </c>
      <c r="F204" s="1192"/>
      <c r="R204" s="646"/>
      <c r="S204" s="1295"/>
      <c r="T204" s="1192"/>
      <c r="U204" s="1192"/>
      <c r="V204" s="1192"/>
      <c r="W204" s="1192"/>
    </row>
    <row r="205" ht="30" customHeight="1">
      <c r="A205" s="934" t="s">
        <v>2236</v>
      </c>
      <c r="B205" s="811" t="s">
        <v>2233</v>
      </c>
      <c r="C205" s="811" t="n">
        <v>3307</v>
      </c>
      <c r="F205" s="1192" t="n">
        <v>2</v>
      </c>
      <c r="G205" t="s">
        <v>2237</v>
      </c>
      <c r="R205" s="646"/>
      <c r="S205" s="1295"/>
      <c r="T205" s="1192"/>
      <c r="U205" s="1192"/>
      <c r="V205" s="1192"/>
      <c r="W205" s="1192"/>
    </row>
    <row r="206" ht="15" customHeight="1">
      <c r="A206" s="43" t="s">
        <v>1433</v>
      </c>
      <c r="B206" s="811" t="s">
        <v>554</v>
      </c>
      <c r="C206" s="811" t="n">
        <v>13200</v>
      </c>
      <c r="F206" s="1192"/>
      <c r="R206" s="646"/>
      <c r="S206" s="1295"/>
      <c r="T206" s="1192"/>
      <c r="U206" s="1192"/>
      <c r="V206" s="1192"/>
      <c r="W206" s="1192"/>
    </row>
    <row r="207" ht="15" customHeight="1">
      <c r="A207" s="43" t="s">
        <v>2238</v>
      </c>
      <c r="B207" s="811" t="s">
        <v>2239</v>
      </c>
      <c r="C207" s="811" t="n">
        <v>52.6</v>
      </c>
      <c r="F207" s="1192" t="n">
        <v>2</v>
      </c>
      <c r="G207" s="1061"/>
      <c r="R207" s="646"/>
      <c r="S207" s="1295"/>
      <c r="T207" s="1192"/>
      <c r="U207" s="1192"/>
      <c r="V207" s="1192"/>
      <c r="W207" s="1192"/>
    </row>
    <row r="208" ht="12.75" customHeight="1">
      <c r="S208" s="646"/>
      <c r="T208" s="1295"/>
      <c r="U208" s="1192"/>
      <c r="V208" s="1192"/>
      <c r="W208" s="1192"/>
      <c r="X208" s="1192"/>
    </row>
    <row r="209" ht="12.75" customHeight="1">
      <c r="S209" s="646"/>
      <c r="T209" s="1295"/>
      <c r="U209" s="1192"/>
      <c r="V209" s="1192"/>
      <c r="W209" s="1192"/>
      <c r="X209" s="1192"/>
    </row>
    <row r="210" ht="19.5" customHeight="1">
      <c r="A210" s="810" t="s">
        <v>2240</v>
      </c>
      <c r="S210" s="646"/>
      <c r="T210" s="1295"/>
      <c r="U210" s="1192"/>
      <c r="V210" s="1192"/>
      <c r="W210" s="1192"/>
      <c r="X210" s="1192"/>
    </row>
    <row r="211" ht="12.75" customHeight="1">
      <c r="S211" s="552"/>
      <c r="T211" s="1285"/>
      <c r="U211" s="1192"/>
    </row>
    <row r="212" ht="15.75" customHeight="1">
      <c r="A212" s="1290" t="s">
        <v>2241</v>
      </c>
      <c r="B212" s="1285"/>
      <c r="C212" s="1192"/>
    </row>
    <row r="213" ht="16.5" customHeight="1">
      <c r="A213" s="1304"/>
      <c r="B213" s="1305" t="s">
        <v>2242</v>
      </c>
      <c r="C213" s="1305" t="s">
        <v>2243</v>
      </c>
    </row>
    <row r="214" ht="16.5" customHeight="1">
      <c r="A214" s="1304" t="s">
        <v>1562</v>
      </c>
      <c r="B214" s="1304" t="n">
        <v>100</v>
      </c>
      <c r="C214" s="1304" t="n">
        <v>7000</v>
      </c>
    </row>
    <row r="215" ht="16.5" customHeight="1">
      <c r="A215" s="1304" t="s">
        <v>2244</v>
      </c>
      <c r="B215" s="1304" t="n">
        <v>100</v>
      </c>
      <c r="C215" s="1304" t="n">
        <v>1200</v>
      </c>
    </row>
    <row r="216" ht="16.5" customHeight="1">
      <c r="A216" s="1304" t="s">
        <v>2245</v>
      </c>
      <c r="B216" s="1304" t="n">
        <v>100</v>
      </c>
      <c r="C216" s="1304" t="n">
        <v>500</v>
      </c>
    </row>
    <row r="217" ht="16.5" customHeight="1">
      <c r="A217" s="1304" t="s">
        <v>610</v>
      </c>
      <c r="B217" s="1304" t="s">
        <v>2246</v>
      </c>
      <c r="C217" s="1304" t="n">
        <v>10000</v>
      </c>
    </row>
    <row r="218" ht="16.5" customHeight="1">
      <c r="A218" s="1306" t="s">
        <v>1564</v>
      </c>
      <c r="B218" s="1306" t="s">
        <v>2246</v>
      </c>
      <c r="C218" s="1306" t="n">
        <v>52880</v>
      </c>
    </row>
    <row r="219" ht="16.5" customHeight="1">
      <c r="A219" s="1306" t="s">
        <v>608</v>
      </c>
      <c r="B219" s="1306" t="s">
        <v>2246</v>
      </c>
      <c r="C219" s="1306" t="n">
        <v>10000</v>
      </c>
    </row>
    <row r="220" ht="16.5" customHeight="1">
      <c r="A220" s="1306" t="s">
        <v>2247</v>
      </c>
      <c r="B220" s="1306" t="n">
        <v>1</v>
      </c>
      <c r="C220" s="1306" t="n">
        <v>100</v>
      </c>
    </row>
    <row r="221" ht="16.5" customHeight="1">
      <c r="A221" s="1306" t="s">
        <v>612</v>
      </c>
      <c r="B221" s="1306" t="n">
        <v>100</v>
      </c>
      <c r="C221" s="1306" t="n">
        <v>5680</v>
      </c>
    </row>
    <row r="222" ht="12.75" customHeight="1">
      <c r="A222" s="552"/>
      <c r="B222" s="1285"/>
      <c r="C222" s="1192"/>
    </row>
    <row r="223" ht="12.75" customHeight="1">
      <c r="A223" s="552"/>
      <c r="B223" s="1285"/>
      <c r="C223" s="1192"/>
    </row>
    <row r="224" ht="15" customHeight="1">
      <c r="A224" s="357" t="s">
        <v>2248</v>
      </c>
      <c r="C224" s="1192"/>
    </row>
    <row r="225" ht="15.75" customHeight="1">
      <c r="A225" s="357" t="s">
        <v>2249</v>
      </c>
      <c r="K225" s="357" t="s">
        <v>2250</v>
      </c>
    </row>
    <row r="226" ht="63.75" customHeight="1">
      <c r="B226" s="1296" t="s">
        <v>2210</v>
      </c>
      <c r="C226" s="1296" t="s">
        <v>28</v>
      </c>
      <c r="D226" s="1296" t="s">
        <v>2211</v>
      </c>
      <c r="F226" s="1307" t="s">
        <v>2251</v>
      </c>
      <c r="G226" s="1308" t="s">
        <v>2252</v>
      </c>
      <c r="H226" s="1308" t="s">
        <v>2253</v>
      </c>
      <c r="I226" s="1309" t="s">
        <v>2254</v>
      </c>
      <c r="K226" s="1310"/>
    </row>
    <row r="227" ht="15.75" customHeight="1">
      <c r="B227" s="1296"/>
      <c r="C227" s="1296"/>
      <c r="D227" s="1296"/>
      <c r="F227" s="1311" t="s">
        <v>2255</v>
      </c>
      <c r="G227" s="1311" t="s">
        <v>2256</v>
      </c>
      <c r="H227" s="1311" t="s">
        <v>2257</v>
      </c>
      <c r="I227" s="1312" t="n">
        <v>42000</v>
      </c>
      <c r="K227" s="264" t="s">
        <v>2258</v>
      </c>
    </row>
    <row r="228" ht="39" customHeight="1">
      <c r="B228" s="1313" t="s">
        <v>2259</v>
      </c>
      <c r="C228" s="1314" t="s">
        <v>1043</v>
      </c>
      <c r="D228" s="1314" t="n">
        <v>45.6</v>
      </c>
      <c r="F228" s="1311" t="s">
        <v>2260</v>
      </c>
      <c r="G228" s="1311" t="s">
        <v>546</v>
      </c>
      <c r="H228" s="1311" t="s">
        <v>2257</v>
      </c>
      <c r="I228" s="1315" t="n">
        <v>3.6</v>
      </c>
      <c r="K228" s="1316"/>
      <c r="L228" s="1317" t="s">
        <v>2261</v>
      </c>
      <c r="M228" s="1317" t="s">
        <v>2262</v>
      </c>
    </row>
    <row r="229" ht="39" customHeight="1">
      <c r="B229" s="1313" t="s">
        <v>2263</v>
      </c>
      <c r="C229" s="1314" t="s">
        <v>1043</v>
      </c>
      <c r="D229" s="1314" t="n">
        <v>45.7</v>
      </c>
      <c r="F229" s="1311" t="s">
        <v>2264</v>
      </c>
      <c r="G229" s="1311" t="s">
        <v>1415</v>
      </c>
      <c r="H229" s="1311" t="s">
        <v>2265</v>
      </c>
      <c r="I229" s="1315" t="n">
        <v>35.8</v>
      </c>
      <c r="K229" s="1318" t="s">
        <v>2266</v>
      </c>
      <c r="L229" s="1319" t="s">
        <v>2267</v>
      </c>
      <c r="M229" s="1319" t="s">
        <v>2268</v>
      </c>
    </row>
    <row r="230" ht="26.25" customHeight="1">
      <c r="B230" s="1313" t="s">
        <v>2269</v>
      </c>
      <c r="C230" s="1314" t="s">
        <v>1043</v>
      </c>
      <c r="D230" s="1314" t="n">
        <v>48</v>
      </c>
      <c r="F230" s="1311" t="s">
        <v>2270</v>
      </c>
      <c r="G230" s="1311" t="s">
        <v>2271</v>
      </c>
      <c r="H230" s="1311" t="s">
        <v>2272</v>
      </c>
      <c r="I230" s="1315" t="n">
        <v>45.6</v>
      </c>
      <c r="K230" s="1318" t="s">
        <v>2273</v>
      </c>
      <c r="L230" s="1318" t="s">
        <v>2274</v>
      </c>
      <c r="M230" s="1318" t="s">
        <v>2274</v>
      </c>
    </row>
    <row r="231" ht="13.5" customHeight="1">
      <c r="B231" s="1313" t="s">
        <v>2275</v>
      </c>
      <c r="C231" s="1314" t="s">
        <v>551</v>
      </c>
      <c r="D231" s="1314" t="n">
        <v>57.5</v>
      </c>
      <c r="F231" s="1311" t="s">
        <v>2276</v>
      </c>
      <c r="G231" s="1311" t="s">
        <v>1969</v>
      </c>
      <c r="H231" s="1311" t="s">
        <v>2277</v>
      </c>
      <c r="I231" s="1315" t="n">
        <v>35.5</v>
      </c>
      <c r="K231" s="1320" t="s">
        <v>2278</v>
      </c>
    </row>
    <row r="232" ht="13.5" customHeight="1">
      <c r="B232" s="1313" t="s">
        <v>2279</v>
      </c>
      <c r="C232" s="1314" t="s">
        <v>551</v>
      </c>
      <c r="D232" s="1314" t="n">
        <v>55.7</v>
      </c>
      <c r="F232" s="1311" t="s">
        <v>2280</v>
      </c>
      <c r="G232" s="1311" t="s">
        <v>1969</v>
      </c>
      <c r="H232" s="1311" t="s">
        <v>2277</v>
      </c>
      <c r="I232" s="1315" t="n">
        <v>35.6</v>
      </c>
    </row>
    <row r="233" ht="12.75" customHeight="1">
      <c r="B233" s="1296" t="s">
        <v>2281</v>
      </c>
      <c r="C233" s="1321" t="s">
        <v>546</v>
      </c>
      <c r="D233" s="1321" t="n">
        <v>10.4</v>
      </c>
      <c r="F233" s="1311" t="s">
        <v>2282</v>
      </c>
      <c r="G233" s="1311" t="s">
        <v>1969</v>
      </c>
      <c r="H233" s="1311" t="s">
        <v>2277</v>
      </c>
      <c r="I233" s="1315" t="n">
        <v>32.3</v>
      </c>
    </row>
    <row r="234" ht="24.95" customHeight="1">
      <c r="B234" s="1296"/>
      <c r="C234" s="1321"/>
      <c r="D234" s="1321"/>
      <c r="F234" s="1311" t="s">
        <v>2283</v>
      </c>
      <c r="G234" s="1311" t="s">
        <v>1969</v>
      </c>
      <c r="H234" s="1311" t="s">
        <v>2277</v>
      </c>
      <c r="I234" s="1311"/>
    </row>
    <row r="235" ht="24.75" customHeight="1">
      <c r="B235" s="1313" t="s">
        <v>2284</v>
      </c>
      <c r="C235" s="1314" t="s">
        <v>546</v>
      </c>
      <c r="D235" s="1314" t="n">
        <v>10.4</v>
      </c>
      <c r="F235" s="1311" t="s">
        <v>2285</v>
      </c>
      <c r="G235" s="1311" t="s">
        <v>551</v>
      </c>
      <c r="H235" s="1311" t="s">
        <v>2277</v>
      </c>
      <c r="I235" s="1315" t="n">
        <v>28</v>
      </c>
    </row>
    <row r="236" ht="12.75" customHeight="1">
      <c r="B236" s="1322" t="s">
        <v>2286</v>
      </c>
      <c r="C236" s="1323"/>
      <c r="D236" t="s">
        <v>2287</v>
      </c>
      <c r="F236" s="1311" t="s">
        <v>2288</v>
      </c>
      <c r="G236" s="1311" t="s">
        <v>1969</v>
      </c>
      <c r="H236" s="1311" t="s">
        <v>2277</v>
      </c>
      <c r="I236" s="1311"/>
    </row>
    <row r="237" ht="12.75" customHeight="1">
      <c r="B237" s="1324"/>
      <c r="C237" s="1325"/>
      <c r="F237" s="1311" t="s">
        <v>2289</v>
      </c>
      <c r="G237" s="1311" t="s">
        <v>2290</v>
      </c>
      <c r="H237" s="1311" t="s">
        <v>2277</v>
      </c>
      <c r="I237" s="1315" t="n">
        <v>35000</v>
      </c>
    </row>
    <row r="238" ht="12.75" customHeight="1">
      <c r="B238" s="1324"/>
      <c r="C238" s="1325"/>
    </row>
    <row r="239" ht="12.75" customHeight="1">
      <c r="B239" s="1324"/>
      <c r="C239" s="1325"/>
      <c r="F239" s="1326" t="s">
        <v>2291</v>
      </c>
      <c r="G239" s="1326" t="s">
        <v>2292</v>
      </c>
    </row>
    <row r="240" ht="12.75" customHeight="1">
      <c r="B240" s="1327"/>
      <c r="C240" s="1327"/>
    </row>
    <row r="241" ht="15" customHeight="1">
      <c r="A241" s="357" t="s">
        <v>2293</v>
      </c>
      <c r="B241" t="s">
        <v>2294</v>
      </c>
      <c r="F241" s="1326"/>
      <c r="G241" s="1326"/>
      <c r="H241" s="1326"/>
      <c r="I241" s="1328"/>
    </row>
    <row r="242" ht="15" customHeight="1">
      <c r="A242" s="357"/>
      <c r="F242" s="1326"/>
      <c r="G242" s="1326"/>
      <c r="H242" s="1326"/>
      <c r="I242" s="1328"/>
    </row>
    <row r="243" ht="12.75" customHeight="1">
      <c r="B243" s="1296" t="s">
        <v>2295</v>
      </c>
      <c r="C243" s="1321" t="s">
        <v>2295</v>
      </c>
      <c r="D243" t="s">
        <v>2295</v>
      </c>
      <c r="E243" t="s">
        <v>2296</v>
      </c>
    </row>
    <row r="244" ht="25.5" customHeight="1">
      <c r="A244" s="1329" t="s">
        <v>416</v>
      </c>
      <c r="B244" s="1330" t="s">
        <v>406</v>
      </c>
      <c r="C244" s="1330" t="s">
        <v>407</v>
      </c>
      <c r="D244" s="1330" t="s">
        <v>408</v>
      </c>
      <c r="E244" s="1331" t="s">
        <v>2297</v>
      </c>
      <c r="H244" s="646" t="s">
        <v>2298</v>
      </c>
      <c r="I244" s="646" t="s">
        <v>2299</v>
      </c>
    </row>
    <row r="245" ht="38.25" customHeight="1">
      <c r="A245" s="1332"/>
      <c r="B245" s="1333" t="s">
        <v>2300</v>
      </c>
      <c r="C245" s="1333" t="s">
        <v>2300</v>
      </c>
      <c r="D245" s="1333" t="s">
        <v>2300</v>
      </c>
      <c r="H245" s="1171" t="s">
        <v>2301</v>
      </c>
      <c r="I245" s="1165" t="n">
        <v>5.7</v>
      </c>
      <c r="J245" t="s">
        <v>2302</v>
      </c>
    </row>
    <row r="246" ht="12.75" customHeight="1">
      <c r="A246" s="1334" t="s">
        <v>384</v>
      </c>
      <c r="B246" s="1335" t="n">
        <v>0</v>
      </c>
      <c r="C246" s="1335" t="n">
        <v>0</v>
      </c>
      <c r="D246" s="1335" t="n">
        <v>600</v>
      </c>
      <c r="H246" s="1165" t="s">
        <v>407</v>
      </c>
      <c r="I246" s="1165" t="n">
        <v>9.8</v>
      </c>
      <c r="J246" t="s">
        <v>2303</v>
      </c>
    </row>
    <row r="247" ht="25.5" customHeight="1">
      <c r="A247" s="1334" t="s">
        <v>385</v>
      </c>
      <c r="B247" s="1335" t="n">
        <v>0</v>
      </c>
      <c r="C247" s="1335" t="n">
        <v>0</v>
      </c>
      <c r="D247" s="1335" t="n">
        <v>300</v>
      </c>
      <c r="H247" s="1171" t="s">
        <v>2304</v>
      </c>
      <c r="I247" s="1165" t="n">
        <v>7.3</v>
      </c>
      <c r="J247" t="s">
        <v>2305</v>
      </c>
    </row>
    <row r="248" ht="25.5" customHeight="1">
      <c r="A248" s="1334" t="s">
        <v>386</v>
      </c>
      <c r="B248" s="1335" t="n">
        <v>0</v>
      </c>
      <c r="C248" s="1335" t="n">
        <v>0</v>
      </c>
      <c r="D248" s="1335" t="n">
        <v>500</v>
      </c>
      <c r="H248" s="1336" t="s">
        <v>2306</v>
      </c>
      <c r="I248" s="1165" t="n">
        <v>21</v>
      </c>
      <c r="J248" t="s">
        <v>2307</v>
      </c>
    </row>
    <row r="249" ht="12.75" customHeight="1">
      <c r="A249" s="1334" t="s">
        <v>387</v>
      </c>
      <c r="B249" s="1335" t="n">
        <v>335</v>
      </c>
      <c r="C249" s="1335" t="n">
        <v>0</v>
      </c>
      <c r="D249" s="1335" t="n">
        <v>0</v>
      </c>
      <c r="H249" s="1184" t="s">
        <v>2308</v>
      </c>
    </row>
    <row r="250" ht="12.75" customHeight="1">
      <c r="A250" s="1334" t="s">
        <v>388</v>
      </c>
      <c r="B250" s="1335" t="n">
        <v>200</v>
      </c>
      <c r="C250" s="1335" t="n">
        <v>0</v>
      </c>
      <c r="D250" s="1335" t="n">
        <v>0</v>
      </c>
    </row>
    <row r="251" ht="12.75" customHeight="1">
      <c r="A251" s="1334" t="s">
        <v>389</v>
      </c>
      <c r="B251" s="1335" t="n">
        <v>155</v>
      </c>
      <c r="C251" s="1335" t="n">
        <v>0</v>
      </c>
      <c r="D251" s="1335" t="n">
        <v>0</v>
      </c>
    </row>
    <row r="252" ht="25.5" customHeight="1">
      <c r="A252" s="1334" t="s">
        <v>390</v>
      </c>
      <c r="B252" s="1335" t="n">
        <v>150</v>
      </c>
      <c r="C252" s="1335" t="n">
        <v>0</v>
      </c>
      <c r="D252" s="1335" t="n">
        <v>0</v>
      </c>
    </row>
    <row r="253" ht="12.75" customHeight="1">
      <c r="A253" s="1334" t="s">
        <v>391</v>
      </c>
      <c r="B253" s="1335" t="n">
        <v>160</v>
      </c>
      <c r="C253" s="1335" t="n">
        <v>0</v>
      </c>
      <c r="D253" s="1335" t="n">
        <v>0</v>
      </c>
    </row>
    <row r="254" ht="12.75" customHeight="1">
      <c r="A254" s="1334" t="s">
        <v>392</v>
      </c>
      <c r="B254" s="1335" t="n">
        <v>100</v>
      </c>
      <c r="C254" s="1335" t="n">
        <v>0</v>
      </c>
      <c r="D254" s="1335" t="n">
        <v>0</v>
      </c>
    </row>
    <row r="255" ht="12.75" customHeight="1">
      <c r="A255" s="1334" t="s">
        <v>393</v>
      </c>
      <c r="B255" s="1335" t="n">
        <v>210</v>
      </c>
      <c r="C255" s="1335" t="n">
        <v>0</v>
      </c>
      <c r="D255" s="1335" t="n">
        <v>0</v>
      </c>
    </row>
    <row r="256" ht="12.75" customHeight="1">
      <c r="A256" s="1334" t="s">
        <v>394</v>
      </c>
      <c r="B256" s="1335" t="n">
        <v>260</v>
      </c>
      <c r="C256" s="1335" t="n">
        <v>0</v>
      </c>
      <c r="D256" s="1335" t="n">
        <v>0</v>
      </c>
    </row>
    <row r="257" ht="12.75" customHeight="1">
      <c r="A257" s="1334" t="s">
        <v>395</v>
      </c>
      <c r="B257" s="1335" t="n">
        <v>460</v>
      </c>
      <c r="C257" s="1335" t="n">
        <v>0</v>
      </c>
      <c r="D257" s="1335" t="n">
        <v>0</v>
      </c>
    </row>
    <row r="258" ht="12.75" customHeight="1">
      <c r="A258" s="1334" t="s">
        <v>396</v>
      </c>
      <c r="B258" s="1335" t="n">
        <v>130</v>
      </c>
      <c r="C258" s="1335" t="n">
        <v>0</v>
      </c>
      <c r="D258" s="1335" t="n">
        <v>440</v>
      </c>
    </row>
    <row r="259" ht="25.5" customHeight="1">
      <c r="A259" s="1334" t="s">
        <v>397</v>
      </c>
      <c r="B259" s="1335" t="n">
        <v>170</v>
      </c>
      <c r="C259" s="1335" t="n">
        <v>170</v>
      </c>
      <c r="D259" s="1335" t="n">
        <v>0</v>
      </c>
    </row>
    <row r="260" ht="12.75" customHeight="1">
      <c r="A260" s="1334" t="s">
        <v>398</v>
      </c>
      <c r="B260" s="1335" t="n">
        <v>110</v>
      </c>
      <c r="C260" s="1335" t="n">
        <v>60</v>
      </c>
      <c r="D260" s="1335" t="n">
        <v>20</v>
      </c>
    </row>
    <row r="261" ht="12.75" customHeight="1">
      <c r="A261" s="1334" t="s">
        <v>399</v>
      </c>
      <c r="B261" s="1335" t="n">
        <v>100</v>
      </c>
      <c r="C261" s="1335" t="n">
        <v>10</v>
      </c>
      <c r="D261" s="1335" t="n">
        <v>50</v>
      </c>
    </row>
    <row r="262" ht="12.75" customHeight="1">
      <c r="A262" s="1334" t="s">
        <v>400</v>
      </c>
      <c r="B262" s="1335" t="n">
        <v>5</v>
      </c>
      <c r="C262" s="1335" t="n">
        <v>4</v>
      </c>
      <c r="D262" s="1335" t="n">
        <v>4.5</v>
      </c>
    </row>
    <row r="263" ht="25.5" customHeight="1">
      <c r="A263" s="1334" t="s">
        <v>401</v>
      </c>
      <c r="B263" s="1335" t="n">
        <v>140</v>
      </c>
      <c r="C263" s="1335" t="n">
        <v>80</v>
      </c>
      <c r="D263" s="1335" t="n">
        <v>200</v>
      </c>
    </row>
    <row r="264" ht="12.75" customHeight="1">
      <c r="A264" s="1334" t="s">
        <v>402</v>
      </c>
      <c r="B264" s="1335" t="n">
        <v>100</v>
      </c>
      <c r="C264" s="1335" t="n">
        <v>40</v>
      </c>
      <c r="D264" s="1335" t="n">
        <v>20</v>
      </c>
    </row>
    <row r="265" ht="12.75" customHeight="1">
      <c r="A265" s="1334" t="s">
        <v>403</v>
      </c>
      <c r="B265" s="1335" t="n">
        <v>0</v>
      </c>
      <c r="C265" s="1335" t="n">
        <v>180</v>
      </c>
      <c r="D265" s="1335" t="n">
        <v>0</v>
      </c>
    </row>
    <row r="266" ht="12.75" customHeight="1">
      <c r="A266" s="1334" t="s">
        <v>404</v>
      </c>
      <c r="B266" s="1335" t="n">
        <v>0</v>
      </c>
      <c r="C266" s="1335" t="n">
        <v>180</v>
      </c>
      <c r="D266" s="1335" t="n">
        <v>0</v>
      </c>
    </row>
    <row r="267" ht="12.75" customHeight="1">
      <c r="A267" s="1334" t="s">
        <v>405</v>
      </c>
      <c r="B267" s="1335" t="n">
        <v>0</v>
      </c>
      <c r="C267" s="1335" t="n">
        <v>450</v>
      </c>
      <c r="D267" s="1335" t="n">
        <v>0</v>
      </c>
    </row>
    <row r="268" ht="12.75" customHeight="1">
      <c r="A268" s="1334" t="s">
        <v>409</v>
      </c>
      <c r="B268" s="1335" t="n">
        <v>0</v>
      </c>
      <c r="C268" s="1335" t="n">
        <v>150</v>
      </c>
      <c r="D268" s="1335" t="n">
        <v>250</v>
      </c>
    </row>
    <row r="269" ht="12.75" customHeight="1">
      <c r="A269" s="1334" t="s">
        <v>411</v>
      </c>
      <c r="B269" s="1335" t="n">
        <v>9</v>
      </c>
      <c r="C269" s="1335" t="n">
        <v>0</v>
      </c>
      <c r="D269" s="1335" t="n">
        <v>0</v>
      </c>
    </row>
    <row r="270" ht="12.75" customHeight="1">
      <c r="A270" s="1334" t="s">
        <v>1136</v>
      </c>
      <c r="B270" s="1335"/>
      <c r="C270" s="1335"/>
      <c r="D270" s="1335"/>
    </row>
    <row r="271" ht="12.75" customHeight="1">
      <c r="A271" s="1334" t="s">
        <v>1136</v>
      </c>
      <c r="B271" s="1335"/>
      <c r="C271" s="1335"/>
      <c r="D271" s="1335"/>
      <c r="K271" s="1128"/>
    </row>
    <row r="272" ht="12.75" customHeight="1">
      <c r="A272" s="1140"/>
      <c r="B272" s="1165"/>
      <c r="C272" s="1165"/>
      <c r="D272" s="1165"/>
      <c r="K272" s="1128"/>
    </row>
    <row r="273" ht="15" customHeight="1">
      <c r="A273" s="370" t="s">
        <v>2309</v>
      </c>
      <c r="B273" s="1337"/>
      <c r="C273" s="1337"/>
      <c r="D273" s="1337"/>
      <c r="E273" s="357"/>
      <c r="F273" s="357"/>
      <c r="G273" t="s">
        <v>2310</v>
      </c>
      <c r="K273" s="1128"/>
    </row>
    <row r="274" ht="15" customHeight="1">
      <c r="A274" s="264" t="s">
        <v>2311</v>
      </c>
      <c r="K274" s="1128"/>
    </row>
    <row r="275" ht="12.75" customHeight="1">
      <c r="A275" s="1338"/>
    </row>
    <row r="276" ht="12.75" customHeight="1">
      <c r="B276" s="646" t="s">
        <v>2312</v>
      </c>
      <c r="C276" s="646" t="s">
        <v>2313</v>
      </c>
      <c r="D276" t="s">
        <v>2314</v>
      </c>
    </row>
    <row r="277" ht="15" customHeight="1">
      <c r="B277" s="646" t="s">
        <v>2315</v>
      </c>
      <c r="C277" s="646" t="n">
        <v>5580</v>
      </c>
      <c r="D277" s="264" t="s">
        <v>2316</v>
      </c>
    </row>
    <row r="278" ht="15" customHeight="1">
      <c r="B278" s="646" t="s">
        <v>2317</v>
      </c>
      <c r="C278" s="646" t="n">
        <v>5580</v>
      </c>
      <c r="D278" s="264" t="s">
        <v>2318</v>
      </c>
    </row>
    <row r="279" ht="15" customHeight="1">
      <c r="B279" s="646" t="s">
        <v>2319</v>
      </c>
      <c r="C279" s="646" t="n">
        <v>3600</v>
      </c>
      <c r="D279" s="264" t="s">
        <v>2320</v>
      </c>
    </row>
    <row r="280" ht="12.75" customHeight="1">
      <c r="B280" s="646" t="s">
        <v>2321</v>
      </c>
      <c r="C280" s="646" t="n">
        <v>13200</v>
      </c>
    </row>
    <row r="281" ht="12.75" customHeight="1">
      <c r="B281" s="646" t="s">
        <v>2322</v>
      </c>
      <c r="C281" s="646" t="n">
        <v>7000</v>
      </c>
    </row>
    <row r="282" ht="12.75" customHeight="1">
      <c r="B282" s="1184" t="s">
        <v>2323</v>
      </c>
      <c r="C282" s="1184"/>
      <c r="D282" s="1184"/>
    </row>
    <row r="284" ht="15" customHeight="1">
      <c r="A284" s="357" t="s">
        <v>2324</v>
      </c>
      <c r="G284" t="s">
        <v>2325</v>
      </c>
      <c r="H284" t="s">
        <v>2326</v>
      </c>
    </row>
    <row r="291" ht="12.75" customHeight="1">
      <c r="B291" s="1326"/>
      <c r="C291" s="1326"/>
      <c r="D291" s="1326"/>
      <c r="E291" s="1328"/>
    </row>
    <row r="293" ht="12.75" customHeight="1">
      <c r="A293" t="s">
        <v>2327</v>
      </c>
    </row>
    <row r="295" ht="15" customHeight="1">
      <c r="A295" s="357" t="s">
        <v>2328</v>
      </c>
      <c r="H295" t="s">
        <v>2329</v>
      </c>
    </row>
    <row r="297" ht="12.75" customHeight="1">
      <c r="B297" s="646" t="s">
        <v>1409</v>
      </c>
      <c r="C297" s="646" t="s">
        <v>2330</v>
      </c>
    </row>
    <row r="298" ht="12.75" customHeight="1">
      <c r="B298" s="646" t="s">
        <v>2331</v>
      </c>
      <c r="C298" s="646" t="n">
        <v>90</v>
      </c>
      <c r="D298" t="s">
        <v>2332</v>
      </c>
    </row>
    <row r="299" ht="12.75" customHeight="1">
      <c r="B299" s="646" t="s">
        <v>2333</v>
      </c>
      <c r="C299" s="646" t="n">
        <v>3.3</v>
      </c>
      <c r="D299" t="s">
        <v>2334</v>
      </c>
    </row>
    <row r="300" ht="12.75" customHeight="1">
      <c r="B300" s="646" t="s">
        <v>2335</v>
      </c>
      <c r="C300" s="646" t="n">
        <v>18</v>
      </c>
      <c r="D300" t="s">
        <v>2334</v>
      </c>
    </row>
    <row r="302" ht="15" customHeight="1">
      <c r="A302" s="357" t="s">
        <v>2336</v>
      </c>
      <c r="C302" t="s">
        <v>2337</v>
      </c>
    </row>
    <row r="304" ht="12.75" customHeight="1">
      <c r="A304" s="646" t="s">
        <v>1302</v>
      </c>
      <c r="B304" s="646" t="s">
        <v>2338</v>
      </c>
    </row>
    <row r="305" ht="12.75" customHeight="1">
      <c r="A305" s="646" t="s">
        <v>1343</v>
      </c>
      <c r="B305" s="646" t="n">
        <v>5</v>
      </c>
    </row>
    <row r="307" ht="15.75" customHeight="1">
      <c r="A307" s="357" t="s">
        <v>2339</v>
      </c>
    </row>
    <row r="308" ht="16.5" customHeight="1">
      <c r="A308" s="1339" t="s">
        <v>2340</v>
      </c>
      <c r="G308" s="1340" t="s">
        <v>2341</v>
      </c>
      <c r="H308" s="1341" t="s">
        <v>2342</v>
      </c>
      <c r="I308" s="1342" t="s">
        <v>2343</v>
      </c>
    </row>
    <row r="309" ht="16.5" customHeight="1">
      <c r="A309" s="4"/>
      <c r="B309" s="1343" t="s">
        <v>2242</v>
      </c>
      <c r="C309" s="1343" t="s">
        <v>2243</v>
      </c>
      <c r="G309" s="1344" t="s">
        <v>1562</v>
      </c>
      <c r="H309" s="1345" t="s">
        <v>2344</v>
      </c>
      <c r="I309" s="1345" t="n">
        <v>600</v>
      </c>
    </row>
    <row r="310" ht="16.5" customHeight="1">
      <c r="A310" s="4" t="s">
        <v>1562</v>
      </c>
      <c r="B310" s="4" t="n">
        <v>100</v>
      </c>
      <c r="C310" s="4" t="n">
        <v>7000</v>
      </c>
      <c r="G310" s="1344"/>
      <c r="H310" s="1346" t="s">
        <v>2345</v>
      </c>
      <c r="I310" s="1346" t="n">
        <v>2000</v>
      </c>
    </row>
    <row r="311" ht="16.5" customHeight="1">
      <c r="A311" s="4" t="s">
        <v>2346</v>
      </c>
      <c r="B311" s="4" t="n">
        <v>100</v>
      </c>
      <c r="C311" s="4" t="n">
        <v>1200</v>
      </c>
      <c r="G311" s="1344"/>
      <c r="H311" s="1345" t="s">
        <v>2347</v>
      </c>
      <c r="I311" s="1345" t="n">
        <v>11000</v>
      </c>
    </row>
    <row r="312" ht="16.5" customHeight="1">
      <c r="A312" s="4" t="s">
        <v>2348</v>
      </c>
      <c r="B312" s="4" t="n">
        <v>100</v>
      </c>
      <c r="C312" s="4" t="n">
        <v>500</v>
      </c>
      <c r="G312" s="1344"/>
      <c r="H312" s="1346" t="s">
        <v>2349</v>
      </c>
      <c r="I312" s="1346" t="n">
        <v>13000</v>
      </c>
    </row>
    <row r="313" ht="16.5" customHeight="1">
      <c r="A313" s="4" t="s">
        <v>2350</v>
      </c>
      <c r="B313" s="4" t="n">
        <v>100</v>
      </c>
      <c r="C313" s="4" t="n">
        <v>10000</v>
      </c>
      <c r="G313" s="1347" t="s">
        <v>2351</v>
      </c>
      <c r="H313" s="1345" t="s">
        <v>2352</v>
      </c>
      <c r="I313" s="1345" t="n">
        <v>23000</v>
      </c>
    </row>
    <row r="314" ht="16.5" customHeight="1">
      <c r="G314" s="1348" t="s">
        <v>2353</v>
      </c>
      <c r="H314" s="1346" t="s">
        <v>2354</v>
      </c>
      <c r="I314" s="1346" t="n">
        <v>145</v>
      </c>
    </row>
    <row r="315" ht="16.5" customHeight="1">
      <c r="A315" s="1349"/>
      <c r="G315" s="1348"/>
      <c r="H315" s="1345" t="s">
        <v>2355</v>
      </c>
      <c r="I315" s="1345" t="n">
        <v>456</v>
      </c>
    </row>
    <row r="316" ht="16.5" customHeight="1">
      <c r="A316" s="1349"/>
      <c r="G316" s="1348"/>
      <c r="H316" s="1346" t="s">
        <v>2356</v>
      </c>
      <c r="I316" s="1346" t="n">
        <v>931</v>
      </c>
    </row>
    <row r="317" ht="16.5" customHeight="1">
      <c r="G317" s="1347" t="s">
        <v>2353</v>
      </c>
      <c r="H317" s="1345" t="s">
        <v>2357</v>
      </c>
      <c r="I317" s="1345"/>
    </row>
    <row r="318" ht="16.5" customHeight="1">
      <c r="G318" s="1348" t="s">
        <v>2358</v>
      </c>
      <c r="H318" s="1346" t="s">
        <v>2359</v>
      </c>
      <c r="I318" s="1346" t="n">
        <v>23200</v>
      </c>
    </row>
    <row r="319" ht="16.5" customHeight="1">
      <c r="G319" s="1348"/>
      <c r="H319" s="1345" t="s">
        <v>2360</v>
      </c>
      <c r="I319" s="1345" t="n">
        <v>23200</v>
      </c>
    </row>
    <row r="320" ht="16.5" customHeight="1">
      <c r="G320" s="1348" t="s">
        <v>2361</v>
      </c>
      <c r="H320" s="1346" t="s">
        <v>2362</v>
      </c>
      <c r="I320" s="1346" t="n">
        <v>10000</v>
      </c>
    </row>
    <row r="321" ht="16.5" customHeight="1">
      <c r="G321" s="1348"/>
      <c r="H321" s="1345" t="s">
        <v>2363</v>
      </c>
      <c r="I321" s="1345" t="n">
        <v>10000</v>
      </c>
    </row>
    <row r="322" ht="16.5" customHeight="1">
      <c r="G322" s="1348" t="s">
        <v>2364</v>
      </c>
      <c r="H322" s="1346" t="s">
        <v>2365</v>
      </c>
      <c r="I322" s="1346" t="n">
        <v>10000</v>
      </c>
    </row>
    <row r="323" ht="16.5" customHeight="1">
      <c r="G323" s="1348"/>
      <c r="H323" s="1345" t="s">
        <v>2366</v>
      </c>
      <c r="I323" s="1345" t="n">
        <v>1200</v>
      </c>
      <c r="K323" s="1350"/>
    </row>
    <row r="324" ht="16.5" customHeight="1">
      <c r="G324" s="1348"/>
      <c r="H324" s="1346" t="s">
        <v>2367</v>
      </c>
      <c r="I324" s="1346" t="n">
        <v>10000</v>
      </c>
    </row>
    <row r="325" ht="16.5" customHeight="1">
      <c r="G325" s="1348"/>
      <c r="H325" s="1345" t="s">
        <v>2368</v>
      </c>
      <c r="I325" s="1345" t="n">
        <v>10000</v>
      </c>
    </row>
    <row r="326" ht="16.5" customHeight="1">
      <c r="G326" s="1348"/>
      <c r="H326" s="1346" t="s">
        <v>2369</v>
      </c>
      <c r="I326" s="1346" t="n">
        <v>10000</v>
      </c>
    </row>
    <row r="327" ht="16.5" customHeight="1">
      <c r="G327" s="1348"/>
      <c r="H327" s="1345" t="s">
        <v>2370</v>
      </c>
      <c r="I327" s="1345" t="n">
        <v>100</v>
      </c>
    </row>
    <row r="328" ht="16.5" customHeight="1">
      <c r="G328" s="1348"/>
      <c r="H328" s="1346" t="s">
        <v>2371</v>
      </c>
      <c r="I328" s="1346" t="n">
        <v>10</v>
      </c>
    </row>
    <row r="329" ht="16.5" customHeight="1">
      <c r="G329" s="1348"/>
      <c r="H329" s="1345" t="s">
        <v>2372</v>
      </c>
      <c r="I329" s="1345" t="n">
        <v>10</v>
      </c>
    </row>
    <row r="330" ht="16.5" customHeight="1">
      <c r="G330" s="1348"/>
      <c r="H330" s="1346" t="s">
        <v>2373</v>
      </c>
      <c r="I330" s="1346" t="n">
        <v>55600</v>
      </c>
    </row>
    <row r="331" ht="16.5" customHeight="1">
      <c r="G331" s="1348"/>
      <c r="H331" s="1345" t="s">
        <v>2374</v>
      </c>
      <c r="I331" s="1345" t="n">
        <v>50160</v>
      </c>
    </row>
    <row r="332" ht="16.5" customHeight="1">
      <c r="G332" s="1348"/>
      <c r="H332" s="1346" t="s">
        <v>2375</v>
      </c>
      <c r="I332" s="1346" t="n">
        <v>5680</v>
      </c>
    </row>
    <row r="333" ht="12.75" customHeight="1">
      <c r="H333" t="s">
        <v>2376</v>
      </c>
    </row>
    <row r="336" ht="15" customHeight="1">
      <c r="A336" s="193" t="s">
        <v>2377</v>
      </c>
      <c r="D336" t="s">
        <v>2378</v>
      </c>
    </row>
    <row r="337" ht="45.75" customHeight="1"/>
    <row r="338" ht="15" customHeight="1">
      <c r="A338" s="357" t="s">
        <v>2379</v>
      </c>
      <c r="D338" t="s">
        <v>2380</v>
      </c>
    </row>
    <row r="348" ht="15.75" customHeight="1"/>
    <row r="361" ht="45.75" customHeight="1"/>
    <row r="366" ht="45.75" customHeight="1"/>
    <row r="384" ht="15" customHeight="1">
      <c r="A384" s="357" t="s">
        <v>2381</v>
      </c>
      <c r="C384" t="s">
        <v>2382</v>
      </c>
    </row>
    <row r="385" ht="15" customHeight="1">
      <c r="A385" s="357"/>
    </row>
    <row r="386" ht="20.25" customHeight="1">
      <c r="A386" s="1351" t="s">
        <v>2383</v>
      </c>
      <c r="D386" s="1192"/>
    </row>
    <row r="387" ht="12.75" customHeight="1">
      <c r="A387" s="646"/>
      <c r="D387" s="1192"/>
    </row>
    <row r="388" ht="18" customHeight="1">
      <c r="A388" s="1352" t="s">
        <v>2384</v>
      </c>
      <c r="D388" s="1192"/>
    </row>
    <row r="389" ht="12.75" customHeight="1">
      <c r="A389" s="646"/>
      <c r="D389" s="1192"/>
    </row>
    <row r="390" ht="15" customHeight="1">
      <c r="A390" s="1290" t="s">
        <v>2385</v>
      </c>
      <c r="D390" s="1192"/>
    </row>
    <row r="391" ht="12.75" customHeight="1">
      <c r="A391" s="646"/>
      <c r="D391" s="1192"/>
    </row>
    <row r="392" ht="12.75" customHeight="1">
      <c r="A392" s="1190" t="s">
        <v>1815</v>
      </c>
      <c r="B392" s="1189" t="s">
        <v>2386</v>
      </c>
      <c r="C392" s="1189"/>
      <c r="D392" s="1189" t="s">
        <v>1536</v>
      </c>
      <c r="E392" s="1189" t="s">
        <v>2387</v>
      </c>
      <c r="F392" s="1189"/>
      <c r="G392" s="1189"/>
    </row>
    <row r="393" ht="15.75" customHeight="1">
      <c r="A393" s="1190"/>
      <c r="B393" s="1189"/>
      <c r="C393" s="1189"/>
      <c r="D393" s="1189"/>
      <c r="E393" s="983" t="s">
        <v>406</v>
      </c>
      <c r="F393" s="983" t="s">
        <v>2388</v>
      </c>
      <c r="G393" s="983" t="s">
        <v>2389</v>
      </c>
    </row>
    <row r="394" ht="12.75" customHeight="1">
      <c r="A394" s="1192" t="n">
        <v>1</v>
      </c>
      <c r="B394" s="748" t="s">
        <v>2390</v>
      </c>
      <c r="C394" s="748"/>
      <c r="D394" s="1165" t="s">
        <v>2391</v>
      </c>
      <c r="E394" s="1353" t="n">
        <v>0</v>
      </c>
      <c r="F394" s="1353" t="n">
        <v>6</v>
      </c>
      <c r="G394" s="1353" t="n">
        <v>12</v>
      </c>
    </row>
    <row r="395" ht="12.75" customHeight="1">
      <c r="A395" s="1354" t="n">
        <v>2</v>
      </c>
      <c r="B395" s="748" t="s">
        <v>2392</v>
      </c>
      <c r="C395" s="748"/>
      <c r="D395" s="1165" t="s">
        <v>2391</v>
      </c>
      <c r="E395" s="1353" t="n">
        <v>0</v>
      </c>
      <c r="F395" s="1353" t="n">
        <v>14</v>
      </c>
      <c r="G395" s="1353" t="n">
        <v>42</v>
      </c>
    </row>
    <row r="396" ht="12.75" customHeight="1">
      <c r="A396" s="1192" t="n">
        <v>3</v>
      </c>
      <c r="B396" s="646" t="s">
        <v>2393</v>
      </c>
      <c r="C396" s="646"/>
      <c r="D396" s="1165" t="s">
        <v>2391</v>
      </c>
      <c r="E396" s="1353" t="n">
        <v>0</v>
      </c>
      <c r="F396" s="1353" t="n">
        <v>18</v>
      </c>
      <c r="G396" s="1353" t="n">
        <v>18</v>
      </c>
    </row>
    <row r="397" ht="12.75" customHeight="1">
      <c r="A397" s="1354" t="n">
        <v>4</v>
      </c>
      <c r="B397" s="646" t="s">
        <v>2394</v>
      </c>
      <c r="C397" s="646"/>
      <c r="D397" s="1165" t="s">
        <v>2391</v>
      </c>
      <c r="E397" s="1353" t="n">
        <v>0</v>
      </c>
      <c r="F397" s="1353" t="n">
        <v>25</v>
      </c>
      <c r="G397" s="1353" t="n">
        <v>25</v>
      </c>
    </row>
    <row r="398" ht="12.75" customHeight="1">
      <c r="A398" s="1192" t="n">
        <v>5</v>
      </c>
      <c r="B398" s="1355" t="s">
        <v>2395</v>
      </c>
      <c r="C398" s="1356"/>
      <c r="D398" s="1165" t="s">
        <v>2391</v>
      </c>
      <c r="E398" s="1357" t="n">
        <v>3</v>
      </c>
      <c r="F398" s="1357" t="n">
        <v>4</v>
      </c>
      <c r="G398" s="1357" t="n">
        <v>12</v>
      </c>
    </row>
    <row r="399" ht="12.75" customHeight="1">
      <c r="A399" s="1354" t="n">
        <v>6</v>
      </c>
      <c r="B399" s="1358" t="s">
        <v>2396</v>
      </c>
      <c r="C399" s="646"/>
      <c r="D399" s="1165" t="s">
        <v>2391</v>
      </c>
      <c r="E399" s="1353" t="n">
        <v>3</v>
      </c>
      <c r="F399" s="1353" t="n">
        <v>8</v>
      </c>
      <c r="G399" s="1353" t="n">
        <v>14</v>
      </c>
    </row>
    <row r="400" ht="12.75" customHeight="1">
      <c r="A400" s="1192" t="n">
        <v>7</v>
      </c>
      <c r="B400" s="1358" t="s">
        <v>2397</v>
      </c>
      <c r="C400" s="646"/>
      <c r="D400" s="1165" t="s">
        <v>2391</v>
      </c>
      <c r="E400" s="1353" t="n">
        <v>4</v>
      </c>
      <c r="F400" s="1353" t="n">
        <v>4</v>
      </c>
      <c r="G400" s="1353" t="n">
        <v>15</v>
      </c>
    </row>
    <row r="401" ht="12.75" customHeight="1">
      <c r="A401" s="1354" t="n">
        <v>8</v>
      </c>
      <c r="B401" s="1358" t="s">
        <v>2398</v>
      </c>
      <c r="C401" s="646"/>
      <c r="D401" s="1165" t="s">
        <v>2391</v>
      </c>
      <c r="E401" s="1353" t="n">
        <v>4</v>
      </c>
      <c r="F401" s="1353" t="n">
        <v>5</v>
      </c>
      <c r="G401" s="1353" t="n">
        <v>16</v>
      </c>
    </row>
    <row r="402" ht="12.75" customHeight="1">
      <c r="A402" s="1192" t="n">
        <v>9</v>
      </c>
      <c r="B402" s="1359" t="s">
        <v>2399</v>
      </c>
      <c r="C402" s="748"/>
      <c r="D402" s="1165" t="s">
        <v>2391</v>
      </c>
      <c r="E402" s="1353" t="n">
        <v>4</v>
      </c>
      <c r="F402" s="1353" t="n">
        <v>7</v>
      </c>
      <c r="G402" s="1353" t="n">
        <v>16</v>
      </c>
    </row>
    <row r="403" ht="12.75" customHeight="1">
      <c r="A403" s="1354" t="n">
        <v>10</v>
      </c>
      <c r="B403" s="646" t="s">
        <v>2400</v>
      </c>
      <c r="C403" s="646"/>
      <c r="D403" s="1165" t="s">
        <v>2391</v>
      </c>
      <c r="E403" s="1353" t="n">
        <v>4</v>
      </c>
      <c r="F403" s="1353" t="n">
        <v>20</v>
      </c>
      <c r="G403" s="1353" t="n">
        <v>20</v>
      </c>
    </row>
    <row r="404" ht="12.75" customHeight="1">
      <c r="A404" s="1192" t="n">
        <v>11</v>
      </c>
      <c r="B404" s="1358" t="s">
        <v>2401</v>
      </c>
      <c r="C404" s="646"/>
      <c r="D404" s="1165" t="s">
        <v>2391</v>
      </c>
      <c r="E404" s="1353" t="n">
        <v>5</v>
      </c>
      <c r="F404" s="1353" t="n">
        <v>8</v>
      </c>
      <c r="G404" s="1353" t="n">
        <v>12</v>
      </c>
    </row>
    <row r="405" ht="12.75" customHeight="1">
      <c r="A405" s="1354" t="n">
        <v>12</v>
      </c>
      <c r="B405" s="1358" t="s">
        <v>2402</v>
      </c>
      <c r="C405" s="646"/>
      <c r="D405" s="1165" t="s">
        <v>2391</v>
      </c>
      <c r="E405" s="1353" t="n">
        <v>5</v>
      </c>
      <c r="F405" s="1353" t="n">
        <v>12</v>
      </c>
      <c r="G405" s="1353" t="n">
        <v>24</v>
      </c>
    </row>
    <row r="406" ht="12.75" customHeight="1">
      <c r="A406" s="1354" t="n">
        <v>14</v>
      </c>
      <c r="B406" s="646" t="s">
        <v>2403</v>
      </c>
      <c r="C406" s="646"/>
      <c r="D406" s="1165" t="s">
        <v>2391</v>
      </c>
      <c r="E406" s="1353" t="n">
        <v>5</v>
      </c>
      <c r="F406" s="1353" t="n">
        <v>20</v>
      </c>
      <c r="G406" s="1353" t="n">
        <v>15</v>
      </c>
    </row>
    <row r="407" ht="12.75" customHeight="1">
      <c r="A407" s="1192" t="n">
        <v>15</v>
      </c>
      <c r="B407" s="646" t="s">
        <v>2404</v>
      </c>
      <c r="C407" s="646"/>
      <c r="D407" s="1165" t="s">
        <v>2391</v>
      </c>
      <c r="E407" s="1353" t="n">
        <v>6</v>
      </c>
      <c r="F407" s="1353" t="n">
        <v>15</v>
      </c>
      <c r="G407" s="1353" t="n">
        <v>30</v>
      </c>
    </row>
    <row r="408" ht="12.75" customHeight="1">
      <c r="A408" s="1354" t="n">
        <v>16</v>
      </c>
      <c r="B408" s="1358" t="s">
        <v>2405</v>
      </c>
      <c r="C408" s="646"/>
      <c r="D408" s="1165" t="s">
        <v>2391</v>
      </c>
      <c r="E408" s="1353" t="n">
        <v>7</v>
      </c>
      <c r="F408" s="1353" t="n">
        <v>7</v>
      </c>
      <c r="G408" s="1353" t="n">
        <v>10</v>
      </c>
    </row>
    <row r="409" ht="12.75" customHeight="1">
      <c r="A409" s="1192" t="n">
        <v>17</v>
      </c>
      <c r="B409" s="748" t="s">
        <v>2406</v>
      </c>
      <c r="C409" s="748"/>
      <c r="D409" s="1165" t="s">
        <v>2391</v>
      </c>
      <c r="E409" s="1353" t="n">
        <v>7</v>
      </c>
      <c r="F409" s="1353" t="n">
        <v>8</v>
      </c>
      <c r="G409" s="1353" t="n">
        <v>14</v>
      </c>
    </row>
    <row r="410" ht="12.75" customHeight="1">
      <c r="A410" s="1354" t="n">
        <v>18</v>
      </c>
      <c r="B410" s="646" t="s">
        <v>2407</v>
      </c>
      <c r="C410" s="646"/>
      <c r="D410" s="1165" t="s">
        <v>2391</v>
      </c>
      <c r="E410" s="1353" t="n">
        <v>7</v>
      </c>
      <c r="F410" s="1353" t="n">
        <v>18</v>
      </c>
      <c r="G410" s="1353" t="n">
        <v>30</v>
      </c>
    </row>
    <row r="411" ht="12.75" customHeight="1">
      <c r="A411" s="1192" t="n">
        <v>19</v>
      </c>
      <c r="B411" s="1358" t="s">
        <v>2408</v>
      </c>
      <c r="C411" s="646"/>
      <c r="D411" s="1165" t="s">
        <v>2391</v>
      </c>
      <c r="E411" s="1353" t="n">
        <v>8</v>
      </c>
      <c r="F411" s="1353" t="n">
        <v>5</v>
      </c>
      <c r="G411" s="1353" t="n">
        <v>5</v>
      </c>
    </row>
    <row r="412" ht="12.75" customHeight="1">
      <c r="A412" s="1354" t="n">
        <v>20</v>
      </c>
      <c r="B412" s="646" t="s">
        <v>2409</v>
      </c>
      <c r="C412" s="646"/>
      <c r="D412" s="1165" t="s">
        <v>2391</v>
      </c>
      <c r="E412" s="1353" t="n">
        <v>8</v>
      </c>
      <c r="F412" s="1353" t="n">
        <v>15</v>
      </c>
      <c r="G412" s="1353" t="n">
        <v>22</v>
      </c>
    </row>
    <row r="413" ht="12.75" customHeight="1">
      <c r="A413" s="1192" t="n">
        <v>21</v>
      </c>
      <c r="B413" s="646" t="s">
        <v>2410</v>
      </c>
      <c r="C413" s="646"/>
      <c r="D413" s="1165" t="s">
        <v>2391</v>
      </c>
      <c r="E413" s="1353" t="n">
        <v>8</v>
      </c>
      <c r="F413" s="1353" t="n">
        <v>15</v>
      </c>
      <c r="G413" s="1353" t="n">
        <v>22</v>
      </c>
    </row>
    <row r="414" ht="12.75" customHeight="1">
      <c r="A414" s="1354" t="n">
        <v>22</v>
      </c>
      <c r="B414" s="646" t="s">
        <v>2411</v>
      </c>
      <c r="C414" s="646"/>
      <c r="D414" s="1165" t="s">
        <v>2391</v>
      </c>
      <c r="E414" s="1353" t="n">
        <v>8</v>
      </c>
      <c r="F414" s="1353" t="n">
        <v>21</v>
      </c>
      <c r="G414" s="1353" t="n">
        <v>33</v>
      </c>
    </row>
    <row r="415" ht="12.75" customHeight="1">
      <c r="A415" s="1192" t="n">
        <v>23</v>
      </c>
      <c r="B415" s="646" t="s">
        <v>2412</v>
      </c>
      <c r="C415" s="646"/>
      <c r="D415" s="1165" t="s">
        <v>2391</v>
      </c>
      <c r="E415" s="1353" t="n">
        <v>9</v>
      </c>
      <c r="F415" s="1353" t="n">
        <v>16</v>
      </c>
      <c r="G415" s="1353" t="n">
        <v>18</v>
      </c>
    </row>
    <row r="416" ht="12.75" customHeight="1">
      <c r="A416" s="1354" t="n">
        <v>24</v>
      </c>
      <c r="B416" s="1358" t="s">
        <v>2413</v>
      </c>
      <c r="C416" s="646"/>
      <c r="D416" s="1165" t="s">
        <v>2391</v>
      </c>
      <c r="E416" s="1353" t="n">
        <v>1.8</v>
      </c>
      <c r="F416" s="1353" t="n">
        <f aca="false">9/0.437/10</f>
        <v>2.05949656750572</v>
      </c>
      <c r="G416" s="1353" t="n">
        <f aca="false">18/0.83/10</f>
        <v>2.16867469879518</v>
      </c>
    </row>
    <row r="417" ht="12.75" customHeight="1">
      <c r="A417" s="1192" t="n">
        <v>25</v>
      </c>
      <c r="B417" s="1359" t="s">
        <v>2414</v>
      </c>
      <c r="C417" s="748" t="s">
        <v>2415</v>
      </c>
      <c r="D417" s="1165" t="s">
        <v>2391</v>
      </c>
      <c r="E417" s="1353" t="n">
        <v>10</v>
      </c>
      <c r="F417" s="1353" t="n">
        <v>5</v>
      </c>
      <c r="G417" s="1353" t="n">
        <v>20</v>
      </c>
    </row>
    <row r="418" ht="12.75" customHeight="1">
      <c r="A418" s="1354" t="n">
        <v>26</v>
      </c>
      <c r="B418" s="1359" t="s">
        <v>2416</v>
      </c>
      <c r="C418" s="748"/>
      <c r="D418" s="1165" t="s">
        <v>2391</v>
      </c>
      <c r="E418" s="1353" t="n">
        <v>10</v>
      </c>
      <c r="F418" s="1353" t="n">
        <v>10</v>
      </c>
      <c r="G418" s="1353" t="n">
        <v>15</v>
      </c>
    </row>
    <row r="419" ht="12.75" customHeight="1">
      <c r="A419" s="1192" t="n">
        <v>27</v>
      </c>
      <c r="B419" s="1359" t="s">
        <v>2417</v>
      </c>
      <c r="C419" s="748"/>
      <c r="D419" s="1165" t="s">
        <v>2391</v>
      </c>
      <c r="E419" s="1353" t="n">
        <v>10</v>
      </c>
      <c r="F419" s="1353" t="n">
        <v>12</v>
      </c>
      <c r="G419" s="1353" t="n">
        <v>24</v>
      </c>
    </row>
    <row r="420" ht="12.75" customHeight="1">
      <c r="A420" s="1354" t="n">
        <v>28</v>
      </c>
      <c r="B420" s="1356" t="s">
        <v>2418</v>
      </c>
      <c r="C420" s="1356"/>
      <c r="D420" s="1165" t="s">
        <v>2391</v>
      </c>
      <c r="E420" s="1357" t="n">
        <v>10</v>
      </c>
      <c r="F420" s="1357" t="n">
        <v>20</v>
      </c>
      <c r="G420" s="1357" t="n">
        <v>20</v>
      </c>
    </row>
    <row r="421" ht="12.75" customHeight="1">
      <c r="A421" s="1192" t="n">
        <v>29</v>
      </c>
      <c r="B421" s="646" t="s">
        <v>2419</v>
      </c>
      <c r="C421" s="646"/>
      <c r="D421" s="1165" t="s">
        <v>2391</v>
      </c>
      <c r="E421" s="1353" t="n">
        <v>10</v>
      </c>
      <c r="F421" s="1353" t="n">
        <v>25</v>
      </c>
      <c r="G421" s="1353" t="n">
        <v>20</v>
      </c>
    </row>
    <row r="422" ht="12.75" customHeight="1">
      <c r="A422" s="1354" t="n">
        <v>30</v>
      </c>
      <c r="B422" s="1356" t="s">
        <v>2420</v>
      </c>
      <c r="C422" s="1356"/>
      <c r="D422" s="1165" t="s">
        <v>2391</v>
      </c>
      <c r="E422" s="1357" t="n">
        <v>10</v>
      </c>
      <c r="F422" s="1357" t="n">
        <v>26</v>
      </c>
      <c r="G422" s="1357" t="n">
        <v>26</v>
      </c>
    </row>
    <row r="423" ht="12.75" customHeight="1">
      <c r="A423" s="1192" t="n">
        <v>31</v>
      </c>
      <c r="B423" s="748" t="s">
        <v>2421</v>
      </c>
      <c r="C423" s="748"/>
      <c r="D423" s="1165" t="s">
        <v>2391</v>
      </c>
      <c r="E423" s="1353" t="n">
        <v>12</v>
      </c>
      <c r="F423" s="1353" t="n">
        <v>20</v>
      </c>
      <c r="G423" s="1353" t="n">
        <v>10</v>
      </c>
    </row>
    <row r="424" ht="12.75" customHeight="1">
      <c r="A424" s="1354" t="n">
        <v>32</v>
      </c>
      <c r="B424" s="1128" t="s">
        <v>2422</v>
      </c>
      <c r="C424" s="646"/>
      <c r="D424" s="1165" t="s">
        <v>2391</v>
      </c>
      <c r="E424" s="1357" t="n">
        <v>12</v>
      </c>
      <c r="F424" s="1357" t="n">
        <v>30</v>
      </c>
      <c r="G424" s="1357" t="n">
        <v>20</v>
      </c>
    </row>
    <row r="425" ht="12.75" customHeight="1">
      <c r="A425" s="1192" t="n">
        <v>33</v>
      </c>
      <c r="B425" s="646" t="s">
        <v>2423</v>
      </c>
      <c r="C425" s="646"/>
      <c r="D425" s="1165" t="s">
        <v>2391</v>
      </c>
      <c r="E425" s="1353" t="n">
        <v>13</v>
      </c>
      <c r="F425" s="1353" t="n">
        <v>13</v>
      </c>
      <c r="G425" s="1353" t="n">
        <v>26</v>
      </c>
    </row>
    <row r="426" ht="12.75" customHeight="1">
      <c r="A426" s="1354" t="n">
        <v>34</v>
      </c>
      <c r="B426" s="1359" t="s">
        <v>2424</v>
      </c>
      <c r="C426" s="748"/>
      <c r="D426" s="1165" t="s">
        <v>2391</v>
      </c>
      <c r="E426" s="1353" t="n">
        <v>14</v>
      </c>
      <c r="F426" s="1353" t="n">
        <v>9</v>
      </c>
      <c r="G426" s="1353" t="n">
        <v>18</v>
      </c>
    </row>
    <row r="427" ht="12.75" customHeight="1">
      <c r="A427" s="1192" t="n">
        <v>35</v>
      </c>
      <c r="B427" s="646" t="s">
        <v>2425</v>
      </c>
      <c r="C427" s="646"/>
      <c r="D427" s="1165" t="s">
        <v>2391</v>
      </c>
      <c r="E427" s="1353" t="n">
        <v>15</v>
      </c>
      <c r="F427" s="1353" t="n">
        <v>15</v>
      </c>
      <c r="G427" s="1353" t="n">
        <v>15</v>
      </c>
    </row>
    <row r="428" ht="12.75" customHeight="1">
      <c r="A428" s="1354" t="n">
        <v>36</v>
      </c>
      <c r="B428" s="1128" t="s">
        <v>2426</v>
      </c>
      <c r="C428" s="646"/>
      <c r="D428" s="1165" t="s">
        <v>2391</v>
      </c>
      <c r="E428" s="1357" t="n">
        <v>17</v>
      </c>
      <c r="F428" s="1357" t="n">
        <v>17</v>
      </c>
      <c r="G428" s="1357" t="n">
        <v>17</v>
      </c>
    </row>
    <row r="429" ht="12.75" customHeight="1">
      <c r="A429" s="1192" t="n">
        <v>37</v>
      </c>
      <c r="B429" s="1359" t="s">
        <v>2427</v>
      </c>
      <c r="C429" s="748"/>
      <c r="D429" s="1165" t="s">
        <v>2391</v>
      </c>
      <c r="E429" s="1353" t="n">
        <v>20</v>
      </c>
      <c r="F429" s="1353" t="n">
        <v>5</v>
      </c>
      <c r="G429" s="1353" t="n">
        <v>10</v>
      </c>
    </row>
    <row r="430" ht="12.75" customHeight="1">
      <c r="A430" s="1354" t="n">
        <v>38</v>
      </c>
      <c r="B430" s="1358" t="s">
        <v>2428</v>
      </c>
      <c r="C430" s="646"/>
      <c r="D430" s="1165" t="s">
        <v>2391</v>
      </c>
      <c r="E430" s="1353" t="n">
        <v>2.5</v>
      </c>
      <c r="F430" s="1353" t="n">
        <f aca="false">15/0.437/10</f>
        <v>3.4324942791762</v>
      </c>
      <c r="G430" s="1353" t="n">
        <f aca="false">20/0.83/10</f>
        <v>2.40963855421687</v>
      </c>
    </row>
    <row r="431" ht="12.75" customHeight="1">
      <c r="A431" s="1192" t="n">
        <v>39</v>
      </c>
      <c r="B431" s="1358" t="s">
        <v>2429</v>
      </c>
      <c r="C431" s="646"/>
      <c r="D431" s="1165" t="s">
        <v>2391</v>
      </c>
      <c r="E431" s="1353" t="s">
        <v>2430</v>
      </c>
      <c r="F431" s="1353" t="n">
        <v>4</v>
      </c>
      <c r="G431" s="1353" t="n">
        <v>15</v>
      </c>
    </row>
    <row r="432" ht="12.75" customHeight="1">
      <c r="A432" s="1354" t="n">
        <v>40</v>
      </c>
      <c r="B432" s="1358" t="s">
        <v>2431</v>
      </c>
      <c r="C432" s="1356"/>
      <c r="D432" s="1165" t="s">
        <v>2391</v>
      </c>
      <c r="E432" s="1353" t="n">
        <v>17</v>
      </c>
      <c r="F432" s="1353" t="n">
        <v>9</v>
      </c>
      <c r="G432" s="1353" t="n">
        <v>8</v>
      </c>
    </row>
    <row r="433" ht="12.75" customHeight="1">
      <c r="A433" s="1192" t="n">
        <v>41</v>
      </c>
      <c r="B433" s="1358" t="s">
        <v>2432</v>
      </c>
      <c r="C433" s="1356"/>
      <c r="D433" s="1165" t="s">
        <v>2391</v>
      </c>
      <c r="E433" s="1353" t="n">
        <v>11</v>
      </c>
      <c r="F433" s="1353" t="n">
        <v>22</v>
      </c>
      <c r="G433" s="1353" t="n">
        <v>9</v>
      </c>
    </row>
    <row r="434" ht="12.75" customHeight="1">
      <c r="A434" s="1354" t="n">
        <v>42</v>
      </c>
      <c r="B434" s="1358" t="s">
        <v>2433</v>
      </c>
      <c r="C434" s="646"/>
      <c r="D434" s="1165" t="s">
        <v>2391</v>
      </c>
      <c r="E434" s="1353" t="n">
        <v>2</v>
      </c>
      <c r="F434" s="1353" t="n">
        <f aca="false">10/0.437/10</f>
        <v>2.2883295194508</v>
      </c>
      <c r="G434" s="1353" t="n">
        <f aca="false">10/0.83/10</f>
        <v>1.20481927710843</v>
      </c>
    </row>
    <row r="435" ht="12.75" customHeight="1">
      <c r="A435" s="1192" t="n">
        <v>43</v>
      </c>
      <c r="B435" s="1356" t="s">
        <v>2434</v>
      </c>
      <c r="C435" s="1356"/>
      <c r="D435" s="1165" t="s">
        <v>2391</v>
      </c>
      <c r="E435" s="1353" t="n">
        <v>33.5</v>
      </c>
      <c r="F435" s="1353" t="n">
        <v>0</v>
      </c>
      <c r="G435" s="1353" t="n">
        <v>0</v>
      </c>
    </row>
    <row r="436" ht="12.75" customHeight="1">
      <c r="A436" s="1354" t="n">
        <v>44</v>
      </c>
      <c r="B436" s="1355" t="s">
        <v>2435</v>
      </c>
      <c r="C436" s="748"/>
      <c r="D436" s="1165" t="s">
        <v>2391</v>
      </c>
      <c r="E436" s="1357" t="n">
        <v>33</v>
      </c>
      <c r="F436" s="1357" t="n">
        <v>0</v>
      </c>
      <c r="G436" s="1357" t="n">
        <v>0</v>
      </c>
    </row>
    <row r="437" ht="12.75" customHeight="1">
      <c r="A437" s="1190" t="s">
        <v>1815</v>
      </c>
      <c r="B437" s="1189" t="s">
        <v>2386</v>
      </c>
      <c r="C437" s="1189"/>
      <c r="D437" s="1189" t="s">
        <v>1536</v>
      </c>
      <c r="E437" s="1189" t="s">
        <v>2436</v>
      </c>
      <c r="F437" s="1189"/>
      <c r="G437" s="1189"/>
    </row>
    <row r="438" ht="15.75" customHeight="1">
      <c r="A438" s="1190"/>
      <c r="B438" s="1189"/>
      <c r="C438" s="1189"/>
      <c r="D438" s="1189"/>
      <c r="E438" s="983" t="s">
        <v>406</v>
      </c>
      <c r="F438" s="983" t="s">
        <v>2388</v>
      </c>
      <c r="G438" s="983" t="s">
        <v>2389</v>
      </c>
    </row>
    <row r="439" ht="12.75" customHeight="1">
      <c r="A439" s="1192" t="n">
        <v>45</v>
      </c>
      <c r="B439" s="1358" t="s">
        <v>2437</v>
      </c>
      <c r="C439" s="646"/>
      <c r="D439" s="1165" t="s">
        <v>2391</v>
      </c>
      <c r="E439" s="1353" t="n">
        <v>1</v>
      </c>
      <c r="F439" s="1353" t="n">
        <f aca="false">3.5/0.437/10</f>
        <v>0.80091533180778</v>
      </c>
      <c r="G439" s="1353" t="n">
        <f aca="false">10/0.83/10</f>
        <v>1.20481927710843</v>
      </c>
    </row>
    <row r="440" ht="12.75" customHeight="1">
      <c r="A440" s="1354" t="n">
        <v>46</v>
      </c>
      <c r="B440" s="1360" t="s">
        <v>2438</v>
      </c>
      <c r="C440" s="1361" t="s">
        <v>2439</v>
      </c>
      <c r="D440" s="1165" t="s">
        <v>2391</v>
      </c>
      <c r="E440" s="1353" t="n">
        <v>16</v>
      </c>
      <c r="F440" s="1353" t="n">
        <v>8</v>
      </c>
      <c r="G440" s="1353" t="n">
        <v>12</v>
      </c>
    </row>
    <row r="441" ht="12.75" customHeight="1">
      <c r="A441" s="1192" t="n">
        <v>47</v>
      </c>
      <c r="B441" s="1358" t="s">
        <v>2440</v>
      </c>
      <c r="C441" s="748"/>
      <c r="D441" s="1165" t="s">
        <v>2391</v>
      </c>
      <c r="E441" s="1353" t="n">
        <v>1.5</v>
      </c>
      <c r="F441" s="1353" t="n">
        <f aca="false">10/0.437/10</f>
        <v>2.2883295194508</v>
      </c>
      <c r="G441" s="1353" t="n">
        <f aca="false">18/0.83/10</f>
        <v>2.16867469879518</v>
      </c>
    </row>
    <row r="442" ht="12.75" customHeight="1">
      <c r="A442" s="1354" t="n">
        <v>48</v>
      </c>
      <c r="B442" s="1358" t="s">
        <v>2441</v>
      </c>
      <c r="C442" s="1356"/>
      <c r="D442" s="1165" t="s">
        <v>2391</v>
      </c>
      <c r="E442" s="1353" t="n">
        <v>0.8</v>
      </c>
      <c r="F442" s="1353" t="n">
        <f aca="false">5/0.437/10</f>
        <v>1.1441647597254</v>
      </c>
      <c r="G442" s="1353" t="n">
        <f aca="false">8/0.83/10</f>
        <v>0.963855421686747</v>
      </c>
    </row>
    <row r="443" ht="12.75" customHeight="1">
      <c r="A443" s="1192" t="n">
        <v>49</v>
      </c>
      <c r="B443" s="1358" t="s">
        <v>2442</v>
      </c>
      <c r="C443" s="1356"/>
      <c r="D443" s="1165" t="s">
        <v>2391</v>
      </c>
      <c r="E443" s="1353" t="n">
        <v>0.13</v>
      </c>
      <c r="F443" s="1353" t="n">
        <f aca="false">0.2/0.437/10</f>
        <v>0.045766590389016</v>
      </c>
      <c r="G443" s="1353" t="n">
        <f aca="false">0.4/0.83/10</f>
        <v>0.0481927710843374</v>
      </c>
    </row>
    <row r="444" ht="12.75" customHeight="1">
      <c r="A444" s="1354" t="n">
        <v>50</v>
      </c>
      <c r="B444" s="1358" t="s">
        <v>2443</v>
      </c>
      <c r="C444" s="748"/>
      <c r="D444" s="1165" t="s">
        <v>2391</v>
      </c>
      <c r="E444" s="1353" t="n">
        <v>2.5</v>
      </c>
      <c r="F444" s="1353" t="n">
        <f aca="false">30/0.437/10</f>
        <v>6.8649885583524</v>
      </c>
      <c r="G444" s="1353" t="n">
        <f aca="false">30/0.83/10</f>
        <v>3.6144578313253</v>
      </c>
    </row>
    <row r="445" ht="12.75" customHeight="1">
      <c r="A445" s="1192" t="n">
        <v>51</v>
      </c>
      <c r="B445" s="1358" t="s">
        <v>2444</v>
      </c>
      <c r="C445" s="646"/>
      <c r="D445" s="1165" t="s">
        <v>2391</v>
      </c>
      <c r="E445" s="1353" t="n">
        <v>1.5</v>
      </c>
      <c r="F445" s="1353" t="n">
        <f aca="false">5/0.437/10</f>
        <v>1.1441647597254</v>
      </c>
      <c r="G445" s="1353" t="n">
        <f aca="false">13/0.83/10</f>
        <v>1.56626506024096</v>
      </c>
    </row>
    <row r="446" ht="12.75" customHeight="1">
      <c r="A446" s="1354" t="n">
        <v>52</v>
      </c>
      <c r="B446" s="748" t="s">
        <v>2445</v>
      </c>
      <c r="C446" s="748"/>
      <c r="D446" s="1165" t="s">
        <v>2391</v>
      </c>
      <c r="E446" s="1353" t="n">
        <v>0</v>
      </c>
      <c r="F446" s="1353" t="n">
        <v>0</v>
      </c>
      <c r="G446" s="1353" t="n">
        <v>60</v>
      </c>
    </row>
    <row r="447" ht="12.75" customHeight="1">
      <c r="A447" s="1192" t="n">
        <v>53</v>
      </c>
      <c r="B447" s="1355" t="s">
        <v>2446</v>
      </c>
      <c r="C447" s="1356"/>
      <c r="D447" s="1165" t="s">
        <v>2391</v>
      </c>
      <c r="E447" s="1357" t="n">
        <v>14</v>
      </c>
      <c r="F447" s="1357" t="n">
        <v>0</v>
      </c>
      <c r="G447" s="1357" t="n">
        <v>0</v>
      </c>
    </row>
    <row r="448" ht="12.75" customHeight="1">
      <c r="A448" s="1354" t="n">
        <v>54</v>
      </c>
      <c r="B448" s="1358" t="s">
        <v>2447</v>
      </c>
      <c r="C448" s="1356"/>
      <c r="D448" s="1165" t="s">
        <v>2391</v>
      </c>
      <c r="E448" s="1353" t="n">
        <v>0.86</v>
      </c>
      <c r="F448" s="1353" t="n">
        <f aca="false">4.1/0.437/10</f>
        <v>0.938215102974828</v>
      </c>
      <c r="G448" s="1353" t="n">
        <f aca="false">6.8/0.83/10</f>
        <v>0.819277108433735</v>
      </c>
    </row>
    <row r="449" ht="12.75" customHeight="1">
      <c r="A449" s="1192" t="n">
        <v>55</v>
      </c>
      <c r="B449" s="1358" t="s">
        <v>2448</v>
      </c>
      <c r="C449" s="1356"/>
      <c r="D449" s="1165" t="s">
        <v>2391</v>
      </c>
      <c r="E449" s="1353" t="n">
        <v>0.4</v>
      </c>
      <c r="F449" s="1353" t="n">
        <f aca="false">3/0.437/10</f>
        <v>0.68649885583524</v>
      </c>
      <c r="G449" s="1353" t="n">
        <f aca="false">6/0.83/10</f>
        <v>0.72289156626506</v>
      </c>
    </row>
    <row r="450" ht="12.75" customHeight="1">
      <c r="A450" s="1354" t="n">
        <v>56</v>
      </c>
      <c r="B450" s="1358" t="s">
        <v>2449</v>
      </c>
      <c r="C450" s="1356"/>
      <c r="D450" s="1165" t="s">
        <v>2391</v>
      </c>
      <c r="E450" s="1353" t="n">
        <v>0.36</v>
      </c>
      <c r="F450" s="1353" t="n">
        <f aca="false">1.3/0.437/10</f>
        <v>0.297482837528604</v>
      </c>
      <c r="G450" s="1353" t="n">
        <f aca="false">3.6/0.83/10</f>
        <v>0.433734939759036</v>
      </c>
    </row>
    <row r="451" ht="12.75" customHeight="1">
      <c r="A451" s="1192" t="n">
        <v>57</v>
      </c>
      <c r="B451" s="1358" t="s">
        <v>2450</v>
      </c>
      <c r="C451" s="1356"/>
      <c r="D451" s="1165" t="s">
        <v>2391</v>
      </c>
      <c r="E451" s="1353" t="n">
        <v>0.32</v>
      </c>
      <c r="F451" s="1353" t="n">
        <f aca="false">0.8/0.437/10</f>
        <v>0.183066361556064</v>
      </c>
      <c r="G451" s="1353" t="n">
        <f aca="false">3.9/0.83/10</f>
        <v>0.469879518072289</v>
      </c>
    </row>
    <row r="452" ht="12.75" customHeight="1">
      <c r="A452" s="1354" t="n">
        <v>58</v>
      </c>
      <c r="B452" s="1358" t="s">
        <v>2451</v>
      </c>
      <c r="C452" s="748"/>
      <c r="D452" s="1165" t="s">
        <v>2391</v>
      </c>
      <c r="E452" s="1353" t="n">
        <v>1.8</v>
      </c>
      <c r="F452" s="1353" t="n">
        <f aca="false">7/0.437/10</f>
        <v>1.60183066361556</v>
      </c>
      <c r="G452" s="1353" t="n">
        <f aca="false">15/0.83/10</f>
        <v>1.80722891566265</v>
      </c>
    </row>
    <row r="453" ht="12.75" customHeight="1">
      <c r="A453" s="1192" t="n">
        <v>59</v>
      </c>
      <c r="B453" s="1358" t="s">
        <v>2452</v>
      </c>
      <c r="C453" s="1356"/>
      <c r="D453" s="1165" t="s">
        <v>2391</v>
      </c>
      <c r="E453" s="1353" t="n">
        <v>19</v>
      </c>
      <c r="F453" s="1353" t="n">
        <v>7</v>
      </c>
      <c r="G453" s="1353" t="n">
        <v>10</v>
      </c>
    </row>
    <row r="454" ht="12.75" customHeight="1">
      <c r="A454" s="1354" t="n">
        <v>60</v>
      </c>
      <c r="B454" s="1362" t="s">
        <v>2453</v>
      </c>
      <c r="C454" s="646"/>
      <c r="D454" s="1165" t="s">
        <v>2391</v>
      </c>
      <c r="E454" s="1357" t="n">
        <v>15</v>
      </c>
      <c r="F454" s="1357" t="n">
        <v>9</v>
      </c>
      <c r="G454" s="1357" t="n">
        <v>15</v>
      </c>
    </row>
    <row r="455" ht="12.75" customHeight="1">
      <c r="A455" s="1192" t="n">
        <v>61</v>
      </c>
      <c r="B455" s="1362" t="s">
        <v>2453</v>
      </c>
      <c r="C455" s="646"/>
      <c r="D455" s="1165" t="s">
        <v>2391</v>
      </c>
      <c r="E455" s="1353" t="n">
        <v>20</v>
      </c>
      <c r="F455" s="1353" t="n">
        <v>5</v>
      </c>
      <c r="G455" s="1353" t="n">
        <v>8</v>
      </c>
    </row>
    <row r="456" ht="12.75" customHeight="1">
      <c r="A456" s="1354" t="n">
        <v>62</v>
      </c>
      <c r="B456" s="1362" t="s">
        <v>2453</v>
      </c>
      <c r="C456" s="646"/>
      <c r="D456" s="1165" t="s">
        <v>2391</v>
      </c>
      <c r="E456" s="1353" t="n">
        <v>6</v>
      </c>
      <c r="F456" s="1353" t="n">
        <v>5</v>
      </c>
      <c r="G456" s="1353" t="n">
        <v>10</v>
      </c>
    </row>
    <row r="457" ht="12.75" customHeight="1">
      <c r="A457" s="1192" t="n">
        <v>63</v>
      </c>
      <c r="B457" s="1359" t="s">
        <v>2454</v>
      </c>
      <c r="C457" s="748"/>
      <c r="D457" s="1165" t="s">
        <v>2391</v>
      </c>
      <c r="E457" s="1353" t="n">
        <v>16</v>
      </c>
      <c r="F457" s="1353" t="n">
        <v>8</v>
      </c>
      <c r="G457" s="1353" t="n">
        <v>10</v>
      </c>
    </row>
    <row r="458" ht="12.75" customHeight="1">
      <c r="A458" s="1354" t="n">
        <v>64</v>
      </c>
      <c r="B458" s="1355" t="s">
        <v>2455</v>
      </c>
      <c r="C458" s="1356"/>
      <c r="D458" s="1165" t="s">
        <v>2391</v>
      </c>
      <c r="E458" s="1357" t="n">
        <v>15</v>
      </c>
      <c r="F458" s="1357" t="n">
        <v>8</v>
      </c>
      <c r="G458" s="1357" t="n">
        <v>12</v>
      </c>
    </row>
    <row r="459" ht="12.75" customHeight="1">
      <c r="A459" s="1192" t="n">
        <v>65</v>
      </c>
      <c r="B459" s="1358" t="s">
        <v>2456</v>
      </c>
      <c r="C459" s="646"/>
      <c r="D459" s="1165" t="s">
        <v>2391</v>
      </c>
      <c r="E459" s="1353" t="n">
        <v>11</v>
      </c>
      <c r="F459" s="1353" t="n">
        <v>4</v>
      </c>
      <c r="G459" s="1353" t="n">
        <v>24</v>
      </c>
    </row>
    <row r="460" ht="12.75" customHeight="1">
      <c r="A460" s="1354" t="n">
        <v>66</v>
      </c>
      <c r="B460" s="1358" t="s">
        <v>2457</v>
      </c>
      <c r="C460" s="1356"/>
      <c r="D460" s="1165" t="s">
        <v>2391</v>
      </c>
      <c r="E460" s="1353" t="n">
        <v>0.45</v>
      </c>
      <c r="F460" s="1353" t="n">
        <f aca="false">1.1/0.437/10</f>
        <v>0.251716247139588</v>
      </c>
      <c r="G460" s="1353" t="n">
        <f aca="false">2.8/0.83/10</f>
        <v>0.337349397590361</v>
      </c>
    </row>
    <row r="461" ht="12.75" customHeight="1">
      <c r="A461" s="1165" t="n">
        <v>67</v>
      </c>
      <c r="B461" s="1358" t="s">
        <v>2458</v>
      </c>
      <c r="C461" s="1356"/>
      <c r="D461" s="1165" t="s">
        <v>2391</v>
      </c>
      <c r="E461" s="1353" t="n">
        <v>2.5</v>
      </c>
      <c r="F461" s="1353" t="n">
        <f aca="false">18/0.437/10</f>
        <v>4.11899313501144</v>
      </c>
      <c r="G461" s="1353" t="n">
        <f aca="false">30/0.83/10</f>
        <v>3.6144578313253</v>
      </c>
    </row>
    <row r="462" ht="12.75" customHeight="1">
      <c r="A462" s="1354" t="n">
        <v>68</v>
      </c>
      <c r="B462" s="1355" t="s">
        <v>2459</v>
      </c>
      <c r="C462" s="1356"/>
      <c r="D462" s="1165" t="s">
        <v>2391</v>
      </c>
      <c r="E462" s="1357" t="s">
        <v>2460</v>
      </c>
      <c r="F462" s="1357" t="n">
        <v>3</v>
      </c>
      <c r="G462" s="1357" t="n">
        <v>20</v>
      </c>
    </row>
    <row r="463" ht="12.75" customHeight="1">
      <c r="A463" s="1192" t="n">
        <v>69</v>
      </c>
      <c r="B463" s="748" t="s">
        <v>2461</v>
      </c>
      <c r="C463" s="748"/>
      <c r="D463" s="1165" t="s">
        <v>2391</v>
      </c>
      <c r="E463" s="1353" t="n">
        <v>3</v>
      </c>
      <c r="F463" s="1353" t="n">
        <v>2</v>
      </c>
      <c r="G463" s="1353" t="n">
        <v>2</v>
      </c>
    </row>
    <row r="464" ht="12.75" customHeight="1">
      <c r="A464" s="1354" t="n">
        <v>70</v>
      </c>
      <c r="B464" s="1358" t="s">
        <v>2462</v>
      </c>
      <c r="C464" s="646"/>
      <c r="D464" s="1165" t="s">
        <v>2463</v>
      </c>
      <c r="E464" s="1353" t="n">
        <v>9</v>
      </c>
      <c r="F464" s="1353" t="n">
        <v>6</v>
      </c>
      <c r="G464" s="1353" t="n">
        <v>21</v>
      </c>
    </row>
    <row r="465" ht="12.75" customHeight="1">
      <c r="A465" s="1192" t="n">
        <v>71</v>
      </c>
      <c r="B465" s="1358" t="s">
        <v>2464</v>
      </c>
      <c r="C465" s="646"/>
      <c r="D465" s="1165" t="s">
        <v>2463</v>
      </c>
      <c r="E465" s="1353" t="n">
        <v>3</v>
      </c>
      <c r="F465" s="1353" t="n">
        <v>6</v>
      </c>
      <c r="G465" s="1353" t="n">
        <v>14</v>
      </c>
    </row>
    <row r="466" ht="12.75" customHeight="1">
      <c r="A466" s="1354" t="n">
        <v>72</v>
      </c>
      <c r="B466" s="1362" t="s">
        <v>2465</v>
      </c>
      <c r="C466" s="646"/>
      <c r="D466" s="1165" t="s">
        <v>2391</v>
      </c>
      <c r="E466" s="1363" t="s">
        <v>2466</v>
      </c>
      <c r="F466" s="1363" t="n">
        <v>6</v>
      </c>
      <c r="G466" s="1363" t="n">
        <v>10</v>
      </c>
    </row>
    <row r="467" ht="12.75" customHeight="1">
      <c r="A467" s="1192" t="n">
        <v>73</v>
      </c>
      <c r="B467" s="1358" t="s">
        <v>2467</v>
      </c>
      <c r="C467" s="1356"/>
      <c r="D467" s="1165" t="s">
        <v>2391</v>
      </c>
      <c r="E467" s="1353" t="n">
        <v>1.5</v>
      </c>
      <c r="F467" s="1353" t="n">
        <f aca="false">3/0.437/10</f>
        <v>0.68649885583524</v>
      </c>
      <c r="G467" s="1353" t="n">
        <f aca="false">24/0.83/10</f>
        <v>2.89156626506024</v>
      </c>
    </row>
    <row r="468" ht="12.75" customHeight="1">
      <c r="A468" s="1354" t="n">
        <v>74</v>
      </c>
      <c r="B468" s="1358" t="s">
        <v>2468</v>
      </c>
      <c r="C468" s="1356"/>
      <c r="D468" s="1165" t="s">
        <v>2391</v>
      </c>
      <c r="E468" s="1353" t="n">
        <v>0.6</v>
      </c>
      <c r="F468" s="1353" t="n">
        <f aca="false">1/0.437/10</f>
        <v>0.22883295194508</v>
      </c>
      <c r="G468" s="1353" t="n">
        <f aca="false">4/0.83/10</f>
        <v>0.481927710843373</v>
      </c>
    </row>
    <row r="469" ht="12.75" customHeight="1">
      <c r="A469" s="1192" t="n">
        <v>75</v>
      </c>
      <c r="B469" s="1358" t="s">
        <v>2469</v>
      </c>
      <c r="C469" s="1356"/>
      <c r="D469" s="1165" t="s">
        <v>2391</v>
      </c>
      <c r="E469" s="1353" t="n">
        <v>1.6</v>
      </c>
      <c r="F469" s="1353" t="n">
        <f aca="false">5/0.437/10</f>
        <v>1.1441647597254</v>
      </c>
      <c r="G469" s="1353" t="n">
        <f aca="false">13/0.83/10</f>
        <v>1.56626506024096</v>
      </c>
    </row>
    <row r="470" ht="12.75" customHeight="1">
      <c r="A470" s="1354" t="n">
        <v>76</v>
      </c>
      <c r="B470" s="1358" t="s">
        <v>2470</v>
      </c>
      <c r="C470" s="646"/>
      <c r="D470" s="1165" t="s">
        <v>2391</v>
      </c>
      <c r="E470" s="1353" t="n">
        <v>2</v>
      </c>
      <c r="F470" s="1353" t="n">
        <f aca="false">10/0.437/10</f>
        <v>2.2883295194508</v>
      </c>
      <c r="G470" s="1353" t="n">
        <f aca="false">10/0.83/10</f>
        <v>1.20481927710843</v>
      </c>
    </row>
    <row r="471" ht="12.75" customHeight="1">
      <c r="A471" s="1192" t="n">
        <v>77</v>
      </c>
      <c r="B471" s="1358" t="s">
        <v>2471</v>
      </c>
      <c r="C471" s="646"/>
      <c r="D471" s="1165" t="s">
        <v>2391</v>
      </c>
      <c r="E471" s="1353" t="n">
        <v>1.2</v>
      </c>
      <c r="F471" s="1353" t="n">
        <f aca="false">8/0.437/10</f>
        <v>1.83066361556064</v>
      </c>
      <c r="G471" s="1353" t="n">
        <f aca="false">8/0.83/10</f>
        <v>0.963855421686747</v>
      </c>
    </row>
    <row r="472" ht="12.75" customHeight="1">
      <c r="A472" s="1354" t="n">
        <v>78</v>
      </c>
      <c r="B472" s="1358" t="s">
        <v>2472</v>
      </c>
      <c r="C472" s="646"/>
      <c r="D472" s="1165" t="s">
        <v>2391</v>
      </c>
      <c r="E472" s="1353" t="n">
        <v>1.35</v>
      </c>
      <c r="F472" s="1353" t="n">
        <f aca="false">8/0.437/10</f>
        <v>1.83066361556064</v>
      </c>
      <c r="G472" s="1353" t="n">
        <f aca="false">8/0.83/10</f>
        <v>0.963855421686747</v>
      </c>
    </row>
    <row r="473" ht="12.75" customHeight="1">
      <c r="A473" s="1192" t="n">
        <v>79</v>
      </c>
      <c r="B473" s="1358" t="s">
        <v>2473</v>
      </c>
      <c r="C473" s="646"/>
      <c r="D473" s="1165" t="s">
        <v>2391</v>
      </c>
      <c r="E473" s="1353" t="n">
        <v>1.2</v>
      </c>
      <c r="F473" s="1353" t="n">
        <f aca="false">4/0.437/10</f>
        <v>0.91533180778032</v>
      </c>
      <c r="G473" s="1353" t="n">
        <f aca="false">12/0.83/10</f>
        <v>1.44578313253012</v>
      </c>
    </row>
    <row r="474" ht="12.75" customHeight="1">
      <c r="A474" s="1354" t="n">
        <v>80</v>
      </c>
      <c r="B474" s="1358" t="s">
        <v>2474</v>
      </c>
      <c r="C474" s="646"/>
      <c r="D474" s="1165" t="s">
        <v>2391</v>
      </c>
      <c r="E474" s="1353" t="n">
        <v>2</v>
      </c>
      <c r="F474" s="1353" t="n">
        <f aca="false">5/0.437/10</f>
        <v>1.1441647597254</v>
      </c>
      <c r="G474" s="1353" t="n">
        <f aca="false">5/0.83/10</f>
        <v>0.602409638554217</v>
      </c>
    </row>
    <row r="475" ht="12.75" customHeight="1">
      <c r="A475" s="1192" t="n">
        <v>81</v>
      </c>
      <c r="B475" s="1355" t="s">
        <v>2475</v>
      </c>
      <c r="C475" s="748"/>
      <c r="D475" s="1165" t="s">
        <v>2391</v>
      </c>
      <c r="E475" s="1357" t="n">
        <v>12</v>
      </c>
      <c r="F475" s="1357" t="n">
        <v>6</v>
      </c>
      <c r="G475" s="1357" t="n">
        <v>26</v>
      </c>
    </row>
    <row r="476" ht="12.75" customHeight="1">
      <c r="A476" s="1354" t="n">
        <v>82</v>
      </c>
      <c r="B476" s="748" t="s">
        <v>2476</v>
      </c>
      <c r="C476" s="748"/>
      <c r="D476" s="1165" t="s">
        <v>2391</v>
      </c>
      <c r="E476" s="1353" t="n">
        <v>82</v>
      </c>
      <c r="F476" s="1353" t="n">
        <v>0</v>
      </c>
      <c r="G476" s="1353" t="n">
        <v>0</v>
      </c>
    </row>
    <row r="477" ht="12.75" customHeight="1">
      <c r="A477" s="1192" t="n">
        <v>83</v>
      </c>
      <c r="B477" s="1356" t="s">
        <v>2477</v>
      </c>
      <c r="C477" s="1356"/>
      <c r="D477" s="1165" t="s">
        <v>2391</v>
      </c>
      <c r="E477" s="1357" t="n">
        <v>15</v>
      </c>
      <c r="F477" s="1357" t="n">
        <v>0</v>
      </c>
      <c r="G477" s="1357" t="n">
        <v>0</v>
      </c>
    </row>
    <row r="478" ht="12.75" customHeight="1">
      <c r="A478" s="1354" t="n">
        <v>84</v>
      </c>
      <c r="B478" s="646" t="s">
        <v>2478</v>
      </c>
      <c r="C478" s="646"/>
      <c r="D478" s="1165" t="s">
        <v>2391</v>
      </c>
      <c r="E478" s="1353" t="n">
        <v>13</v>
      </c>
      <c r="F478" s="1353" t="n">
        <v>0</v>
      </c>
      <c r="G478" s="1353" t="n">
        <v>46</v>
      </c>
    </row>
    <row r="479" ht="12.75" customHeight="1">
      <c r="A479" s="1354" t="n">
        <v>85</v>
      </c>
      <c r="B479" s="1359" t="s">
        <v>2479</v>
      </c>
      <c r="C479" s="748"/>
      <c r="D479" s="1165" t="s">
        <v>2391</v>
      </c>
      <c r="E479" s="1353" t="n">
        <v>12</v>
      </c>
      <c r="F479" s="1353" t="n">
        <v>12</v>
      </c>
      <c r="G479" s="1353" t="n">
        <v>17</v>
      </c>
    </row>
    <row r="480" ht="12.75" customHeight="1">
      <c r="A480" s="1354" t="n">
        <v>86</v>
      </c>
      <c r="B480" s="1359" t="s">
        <v>2480</v>
      </c>
      <c r="C480" s="748"/>
      <c r="D480" s="1165" t="s">
        <v>2391</v>
      </c>
      <c r="E480" s="1353" t="n">
        <v>15</v>
      </c>
      <c r="F480" s="1353" t="n">
        <v>5</v>
      </c>
      <c r="G480" s="1353" t="n">
        <v>20</v>
      </c>
    </row>
    <row r="481" ht="12.75" customHeight="1">
      <c r="A481" s="1354" t="n">
        <v>87</v>
      </c>
      <c r="B481" s="646" t="s">
        <v>2481</v>
      </c>
      <c r="C481" s="646"/>
      <c r="D481" s="1165" t="s">
        <v>2391</v>
      </c>
      <c r="E481" s="1353" t="n">
        <v>30</v>
      </c>
      <c r="F481" s="1353" t="n">
        <v>0</v>
      </c>
      <c r="G481" s="1353" t="n">
        <v>0</v>
      </c>
    </row>
    <row r="482" ht="12.75" customHeight="1">
      <c r="A482" s="1354" t="n">
        <v>88</v>
      </c>
      <c r="B482" s="1358" t="s">
        <v>2482</v>
      </c>
      <c r="C482" s="1356"/>
      <c r="D482" s="1165" t="s">
        <v>2391</v>
      </c>
      <c r="E482" s="1353" t="n">
        <v>16</v>
      </c>
      <c r="F482" s="1353" t="n">
        <v>10</v>
      </c>
      <c r="G482" s="1353" t="n">
        <v>10</v>
      </c>
    </row>
    <row r="483" ht="12.75" customHeight="1">
      <c r="A483" s="1354" t="n">
        <v>89</v>
      </c>
      <c r="B483" s="1358" t="s">
        <v>2483</v>
      </c>
      <c r="C483" s="646"/>
      <c r="D483" s="1165" t="s">
        <v>2391</v>
      </c>
      <c r="E483" s="1353" t="n">
        <v>2.4</v>
      </c>
      <c r="F483" s="1353" t="n">
        <f aca="false">20/0.437/10</f>
        <v>4.5766590389016</v>
      </c>
      <c r="G483" s="1353" t="n">
        <f aca="false">18/0.83/10</f>
        <v>2.16867469879518</v>
      </c>
    </row>
    <row r="484" ht="12.75" customHeight="1">
      <c r="A484" s="1354" t="n">
        <v>90</v>
      </c>
      <c r="B484" s="1359" t="s">
        <v>2484</v>
      </c>
      <c r="C484" s="748"/>
      <c r="D484" s="1165" t="s">
        <v>2391</v>
      </c>
      <c r="E484" s="1353" t="n">
        <v>14</v>
      </c>
      <c r="F484" s="1353" t="n">
        <v>14</v>
      </c>
      <c r="G484" s="1353" t="n">
        <v>14</v>
      </c>
    </row>
    <row r="485" ht="12.75" customHeight="1">
      <c r="A485" s="1354" t="n">
        <v>91</v>
      </c>
      <c r="B485" s="1358" t="s">
        <v>2485</v>
      </c>
      <c r="C485" s="646"/>
      <c r="D485" s="1165" t="s">
        <v>2391</v>
      </c>
      <c r="E485" s="1353" t="n">
        <v>1.6</v>
      </c>
      <c r="F485" s="1353" t="n">
        <f aca="false">1/0.437/10</f>
        <v>0.22883295194508</v>
      </c>
      <c r="G485" s="1353" t="n">
        <f aca="false">7.5/0.83/10</f>
        <v>0.903614457831325</v>
      </c>
    </row>
    <row r="486" ht="12.75" customHeight="1">
      <c r="A486" s="1354" t="n">
        <v>92</v>
      </c>
      <c r="B486" s="1355" t="s">
        <v>2486</v>
      </c>
      <c r="C486" s="1356"/>
      <c r="D486" s="1165" t="s">
        <v>2391</v>
      </c>
      <c r="E486" s="1357" t="n">
        <v>0</v>
      </c>
      <c r="F486" s="1357" t="n">
        <v>0</v>
      </c>
      <c r="G486" s="1357" t="n">
        <v>18</v>
      </c>
    </row>
    <row r="487" ht="12.75" customHeight="1">
      <c r="A487" s="1354" t="n">
        <v>93</v>
      </c>
      <c r="B487" s="1356" t="s">
        <v>2487</v>
      </c>
      <c r="C487" s="1356"/>
      <c r="D487" s="1165" t="s">
        <v>2391</v>
      </c>
      <c r="E487" s="1357" t="n">
        <v>0</v>
      </c>
      <c r="F487" s="1357" t="n">
        <v>0</v>
      </c>
      <c r="G487" s="1357" t="n">
        <v>30</v>
      </c>
    </row>
    <row r="488" ht="12.75" customHeight="1">
      <c r="A488" s="1190" t="s">
        <v>1815</v>
      </c>
      <c r="B488" s="1189" t="s">
        <v>2386</v>
      </c>
      <c r="C488" s="1189"/>
      <c r="D488" s="1189" t="s">
        <v>1536</v>
      </c>
      <c r="E488" s="1189" t="s">
        <v>2436</v>
      </c>
      <c r="F488" s="1189"/>
      <c r="G488" s="1189"/>
    </row>
    <row r="489" ht="15.75" customHeight="1">
      <c r="A489" s="1190"/>
      <c r="B489" s="1189"/>
      <c r="C489" s="1189"/>
      <c r="D489" s="1189"/>
      <c r="E489" s="983" t="s">
        <v>406</v>
      </c>
      <c r="F489" s="983" t="s">
        <v>2388</v>
      </c>
      <c r="G489" s="983" t="s">
        <v>2389</v>
      </c>
    </row>
    <row r="490" ht="12.75" customHeight="1">
      <c r="A490" s="1354" t="n">
        <v>94</v>
      </c>
      <c r="B490" s="646" t="s">
        <v>2488</v>
      </c>
      <c r="C490" s="646"/>
      <c r="D490" s="1165" t="s">
        <v>2391</v>
      </c>
      <c r="E490" s="1353" t="n">
        <v>46</v>
      </c>
      <c r="F490" s="1353" t="n">
        <v>0</v>
      </c>
      <c r="G490" s="1353" t="n">
        <v>0</v>
      </c>
    </row>
    <row r="491" ht="12.75" customHeight="1">
      <c r="A491" s="1354" t="n">
        <v>95</v>
      </c>
      <c r="B491" s="1359" t="s">
        <v>2489</v>
      </c>
      <c r="C491" s="748"/>
      <c r="D491" s="1165" t="s">
        <v>2391</v>
      </c>
      <c r="E491" s="1353" t="n">
        <v>3</v>
      </c>
      <c r="F491" s="1353" t="n">
        <v>6</v>
      </c>
      <c r="G491" s="1353" t="n">
        <v>16</v>
      </c>
    </row>
    <row r="492" ht="12.75" customHeight="1">
      <c r="A492" s="1354" t="n">
        <v>96</v>
      </c>
      <c r="B492" s="748" t="s">
        <v>2490</v>
      </c>
      <c r="C492" s="646"/>
      <c r="D492" s="1165" t="s">
        <v>2391</v>
      </c>
      <c r="E492" s="1357" t="n">
        <v>0</v>
      </c>
      <c r="F492" s="1357" t="n">
        <v>18</v>
      </c>
      <c r="G492" s="1357" t="n">
        <v>10</v>
      </c>
    </row>
    <row r="493" ht="12.75" customHeight="1">
      <c r="A493" s="1354" t="n">
        <v>97</v>
      </c>
      <c r="B493" s="1359" t="s">
        <v>2491</v>
      </c>
      <c r="C493" s="748"/>
      <c r="D493" s="1165" t="s">
        <v>2391</v>
      </c>
      <c r="E493" s="1353" t="n">
        <v>0</v>
      </c>
      <c r="F493" s="1353" t="n">
        <v>27</v>
      </c>
      <c r="G493" s="1353" t="n">
        <v>0</v>
      </c>
    </row>
    <row r="494" ht="12.75" customHeight="1">
      <c r="A494" s="1354" t="n">
        <v>98</v>
      </c>
      <c r="B494" s="1356" t="s">
        <v>2492</v>
      </c>
      <c r="C494" s="1356"/>
      <c r="D494" s="1165" t="s">
        <v>2391</v>
      </c>
      <c r="E494" s="1357" t="n">
        <v>18</v>
      </c>
      <c r="F494" s="1357" t="n">
        <v>46</v>
      </c>
      <c r="G494" s="1357" t="n">
        <v>0</v>
      </c>
    </row>
    <row r="495" ht="12.75" customHeight="1">
      <c r="A495" s="1354" t="n">
        <v>99</v>
      </c>
      <c r="B495" s="1358" t="s">
        <v>2493</v>
      </c>
      <c r="C495" s="1356"/>
      <c r="D495" s="1165" t="s">
        <v>2391</v>
      </c>
      <c r="E495" s="1353" t="n">
        <v>10</v>
      </c>
      <c r="F495" s="1353" t="n">
        <v>52</v>
      </c>
      <c r="G495" s="1353" t="n">
        <v>10</v>
      </c>
    </row>
    <row r="496" ht="12.75" customHeight="1">
      <c r="A496" s="1354" t="n">
        <v>100</v>
      </c>
      <c r="B496" s="646" t="s">
        <v>2494</v>
      </c>
      <c r="C496" s="646"/>
      <c r="D496" s="1165" t="s">
        <v>2391</v>
      </c>
      <c r="E496" s="1353" t="n">
        <v>0</v>
      </c>
      <c r="F496" s="1353" t="n">
        <v>0</v>
      </c>
      <c r="G496" s="1353" t="n">
        <v>40</v>
      </c>
    </row>
    <row r="497" ht="12.75" customHeight="1">
      <c r="A497" s="1354" t="n">
        <v>101</v>
      </c>
      <c r="B497" s="1358" t="s">
        <v>2495</v>
      </c>
      <c r="C497" s="646"/>
      <c r="D497" s="1165" t="s">
        <v>2391</v>
      </c>
      <c r="E497" s="1353" t="n">
        <v>2</v>
      </c>
      <c r="F497" s="1353" t="n">
        <f aca="false">7/0.437/10</f>
        <v>1.60183066361556</v>
      </c>
      <c r="G497" s="1353" t="n">
        <f aca="false">10/0.83/10</f>
        <v>1.20481927710843</v>
      </c>
    </row>
    <row r="498" ht="12.75" customHeight="1">
      <c r="A498" s="1354" t="n">
        <v>102</v>
      </c>
      <c r="B498" s="1358" t="s">
        <v>2496</v>
      </c>
      <c r="C498" s="1356"/>
      <c r="D498" s="1165" t="s">
        <v>2391</v>
      </c>
      <c r="E498" s="1353" t="n">
        <v>1</v>
      </c>
      <c r="F498" s="1353" t="n">
        <f aca="false">5/0.437/10</f>
        <v>1.1441647597254</v>
      </c>
      <c r="G498" s="1353" t="n">
        <f aca="false">5/0.83/10</f>
        <v>0.602409638554217</v>
      </c>
    </row>
    <row r="499" ht="12.75" customHeight="1">
      <c r="A499" s="1354" t="n">
        <v>103</v>
      </c>
      <c r="B499" s="1362" t="s">
        <v>2497</v>
      </c>
      <c r="C499" s="646"/>
      <c r="D499" s="1165" t="s">
        <v>2391</v>
      </c>
      <c r="E499" s="1357" t="s">
        <v>2498</v>
      </c>
      <c r="F499" s="1357" t="n">
        <v>6</v>
      </c>
      <c r="G499" s="1357" t="n">
        <v>15</v>
      </c>
    </row>
    <row r="500" ht="12.75" customHeight="1">
      <c r="A500" s="1354" t="n">
        <v>104</v>
      </c>
      <c r="B500" s="646" t="s">
        <v>2499</v>
      </c>
      <c r="C500" s="646"/>
      <c r="D500" s="1165" t="s">
        <v>2391</v>
      </c>
      <c r="E500" s="1353" t="n">
        <v>0</v>
      </c>
      <c r="F500" s="1353" t="n">
        <v>12</v>
      </c>
      <c r="G500" s="1353" t="n">
        <v>0</v>
      </c>
    </row>
    <row r="501" ht="12.75" customHeight="1">
      <c r="A501" s="1354" t="n">
        <v>105</v>
      </c>
      <c r="B501" s="646" t="s">
        <v>2500</v>
      </c>
      <c r="C501" s="646"/>
      <c r="D501" s="1165" t="s">
        <v>2391</v>
      </c>
      <c r="E501" s="1353" t="n">
        <v>0</v>
      </c>
      <c r="F501" s="1353" t="n">
        <v>16</v>
      </c>
      <c r="G501" s="1353" t="n">
        <v>0</v>
      </c>
    </row>
    <row r="502" ht="12.75" customHeight="1">
      <c r="A502" s="1354" t="n">
        <v>106</v>
      </c>
      <c r="B502" s="646" t="s">
        <v>2501</v>
      </c>
      <c r="C502" s="646"/>
      <c r="D502" s="1165" t="s">
        <v>2391</v>
      </c>
      <c r="E502" s="1353" t="n">
        <v>0</v>
      </c>
      <c r="F502" s="1353" t="n">
        <v>18</v>
      </c>
      <c r="G502" s="1353" t="n">
        <v>0</v>
      </c>
    </row>
    <row r="503" ht="12.75" customHeight="1">
      <c r="A503" s="1354" t="n">
        <v>107</v>
      </c>
      <c r="B503" s="748" t="s">
        <v>2502</v>
      </c>
      <c r="C503" s="748"/>
      <c r="D503" s="1165" t="s">
        <v>2391</v>
      </c>
      <c r="E503" s="1353" t="n">
        <v>0</v>
      </c>
      <c r="F503" s="1353" t="n">
        <v>7</v>
      </c>
      <c r="G503" s="1353" t="n">
        <v>21</v>
      </c>
    </row>
    <row r="504" ht="12.75" customHeight="1">
      <c r="A504" s="1354" t="n">
        <v>108</v>
      </c>
      <c r="B504" s="1358" t="s">
        <v>2503</v>
      </c>
      <c r="C504" s="646"/>
      <c r="D504" s="1165" t="s">
        <v>2391</v>
      </c>
      <c r="E504" s="1353" t="n">
        <v>0</v>
      </c>
      <c r="F504" s="1353" t="n">
        <v>8</v>
      </c>
      <c r="G504" s="1353" t="n">
        <v>24</v>
      </c>
    </row>
    <row r="505" ht="12.75" customHeight="1">
      <c r="A505" s="1354" t="n">
        <v>109</v>
      </c>
      <c r="B505" s="748" t="s">
        <v>2504</v>
      </c>
      <c r="C505" s="748"/>
      <c r="D505" s="1165" t="s">
        <v>2391</v>
      </c>
      <c r="E505" s="1353" t="n">
        <v>0</v>
      </c>
      <c r="F505" s="1353" t="n">
        <v>10</v>
      </c>
      <c r="G505" s="1353" t="n">
        <v>10</v>
      </c>
    </row>
    <row r="506" ht="12.75" customHeight="1">
      <c r="A506" s="1354" t="n">
        <v>110</v>
      </c>
      <c r="B506" s="748" t="s">
        <v>2505</v>
      </c>
      <c r="C506" s="748"/>
      <c r="D506" s="1165" t="s">
        <v>2391</v>
      </c>
      <c r="E506" s="1353" t="n">
        <v>0</v>
      </c>
      <c r="F506" s="1353" t="n">
        <v>10</v>
      </c>
      <c r="G506" s="1353" t="n">
        <v>15</v>
      </c>
    </row>
    <row r="507" ht="12.75" customHeight="1">
      <c r="A507" s="1354" t="n">
        <v>111</v>
      </c>
      <c r="B507" s="748" t="s">
        <v>2506</v>
      </c>
      <c r="C507" s="748"/>
      <c r="D507" s="1165" t="s">
        <v>2391</v>
      </c>
      <c r="E507" s="1353" t="n">
        <v>0</v>
      </c>
      <c r="F507" s="1353" t="n">
        <v>10</v>
      </c>
      <c r="G507" s="1353" t="n">
        <v>20</v>
      </c>
    </row>
    <row r="508" ht="12.75" customHeight="1">
      <c r="A508" s="1354" t="n">
        <v>112</v>
      </c>
      <c r="B508" s="748" t="s">
        <v>2507</v>
      </c>
      <c r="C508" s="748"/>
      <c r="D508" s="1165" t="s">
        <v>2391</v>
      </c>
      <c r="E508" s="1353" t="n">
        <v>0</v>
      </c>
      <c r="F508" s="1353" t="n">
        <v>12</v>
      </c>
      <c r="G508" s="1353" t="n">
        <v>12</v>
      </c>
    </row>
    <row r="509" ht="12.75" customHeight="1">
      <c r="A509" s="1354" t="n">
        <v>113</v>
      </c>
      <c r="B509" s="748" t="s">
        <v>2508</v>
      </c>
      <c r="C509" s="646"/>
      <c r="D509" s="1165" t="s">
        <v>2391</v>
      </c>
      <c r="E509" s="1353" t="n">
        <v>0</v>
      </c>
      <c r="F509" s="1353" t="n">
        <v>15</v>
      </c>
      <c r="G509" s="1353" t="n">
        <v>15</v>
      </c>
    </row>
    <row r="510" ht="12.75" customHeight="1">
      <c r="A510" s="1354" t="n">
        <v>114</v>
      </c>
      <c r="B510" s="748" t="s">
        <v>2509</v>
      </c>
      <c r="C510" s="748"/>
      <c r="D510" s="1165" t="s">
        <v>2391</v>
      </c>
      <c r="E510" s="1353" t="n">
        <v>0</v>
      </c>
      <c r="F510" s="1353" t="n">
        <v>6</v>
      </c>
      <c r="G510" s="1353" t="n">
        <v>18</v>
      </c>
    </row>
    <row r="511" ht="12.75" customHeight="1">
      <c r="A511" s="1354" t="n">
        <v>115</v>
      </c>
      <c r="B511" s="1355" t="s">
        <v>2510</v>
      </c>
      <c r="C511" s="1356"/>
      <c r="D511" s="1165" t="s">
        <v>2391</v>
      </c>
      <c r="E511" s="1357" t="n">
        <v>8</v>
      </c>
      <c r="F511" s="1357" t="n">
        <v>5</v>
      </c>
      <c r="G511" s="1357" t="n">
        <v>20</v>
      </c>
    </row>
    <row r="512" ht="12.75" customHeight="1">
      <c r="A512" s="1354" t="n">
        <v>116</v>
      </c>
      <c r="B512" s="646" t="s">
        <v>2511</v>
      </c>
      <c r="C512" s="646"/>
      <c r="D512" s="1165" t="s">
        <v>2391</v>
      </c>
      <c r="E512" s="1353" t="n">
        <v>30</v>
      </c>
      <c r="F512" s="1353" t="n">
        <v>0</v>
      </c>
      <c r="G512" s="1353" t="n">
        <v>0</v>
      </c>
    </row>
    <row r="513" ht="12.75" customHeight="1">
      <c r="A513" s="1354" t="n">
        <v>117</v>
      </c>
      <c r="B513" s="1355" t="s">
        <v>2512</v>
      </c>
      <c r="C513" s="1140"/>
      <c r="D513" s="1165" t="s">
        <v>2391</v>
      </c>
      <c r="E513" s="1353" t="n">
        <v>7</v>
      </c>
      <c r="F513" s="1353" t="n">
        <v>5</v>
      </c>
      <c r="G513" s="1353" t="n">
        <v>20</v>
      </c>
    </row>
    <row r="514" ht="12.75" customHeight="1">
      <c r="A514" s="1354" t="n">
        <v>118</v>
      </c>
      <c r="B514" s="1355" t="s">
        <v>2513</v>
      </c>
      <c r="C514" s="1140"/>
      <c r="D514" s="1165" t="s">
        <v>2391</v>
      </c>
      <c r="E514" s="1353" t="n">
        <v>10</v>
      </c>
      <c r="F514" s="1353" t="n">
        <v>3</v>
      </c>
      <c r="G514" s="1353" t="n">
        <v>30</v>
      </c>
    </row>
    <row r="515" ht="12.75" customHeight="1">
      <c r="A515" s="1354" t="n">
        <v>119</v>
      </c>
      <c r="B515" s="1358" t="s">
        <v>2514</v>
      </c>
      <c r="C515" s="646"/>
      <c r="D515" s="1165" t="s">
        <v>2391</v>
      </c>
      <c r="E515" s="1353" t="n">
        <v>0</v>
      </c>
      <c r="F515" s="1353" t="n">
        <v>10</v>
      </c>
      <c r="G515" s="1353" t="n">
        <v>26</v>
      </c>
    </row>
    <row r="516" ht="12.75" customHeight="1">
      <c r="A516" s="1354" t="n">
        <v>120</v>
      </c>
      <c r="B516" s="646" t="s">
        <v>2515</v>
      </c>
      <c r="C516" s="646"/>
      <c r="D516" s="1165" t="s">
        <v>2391</v>
      </c>
      <c r="E516" s="1353" t="n">
        <v>21</v>
      </c>
      <c r="F516" s="1353" t="n">
        <v>0</v>
      </c>
      <c r="G516" s="1353" t="n">
        <v>0</v>
      </c>
    </row>
    <row r="517" ht="12.75" customHeight="1">
      <c r="A517" s="1364" t="n">
        <v>121</v>
      </c>
      <c r="B517" s="1140" t="s">
        <v>2516</v>
      </c>
      <c r="C517" s="1140"/>
      <c r="D517" s="1165" t="s">
        <v>2391</v>
      </c>
      <c r="E517" s="1357" t="n">
        <v>0</v>
      </c>
      <c r="F517" s="1357" t="n">
        <v>0</v>
      </c>
      <c r="G517" s="1357" t="n">
        <v>50</v>
      </c>
    </row>
    <row r="518" ht="12.75" customHeight="1">
      <c r="A518" s="1354" t="n">
        <v>122</v>
      </c>
      <c r="B518" s="646" t="s">
        <v>2517</v>
      </c>
      <c r="C518" s="646"/>
      <c r="D518" s="1165" t="s">
        <v>2391</v>
      </c>
      <c r="E518" s="1353" t="n">
        <v>0</v>
      </c>
      <c r="F518" s="1353" t="n">
        <v>18</v>
      </c>
      <c r="G518" s="1353" t="n">
        <v>0</v>
      </c>
    </row>
    <row r="519" ht="12.75" customHeight="1">
      <c r="A519" s="1354" t="n">
        <v>123</v>
      </c>
      <c r="B519" s="646" t="s">
        <v>2518</v>
      </c>
      <c r="C519" s="646"/>
      <c r="D519" s="1165" t="s">
        <v>2391</v>
      </c>
      <c r="E519" s="1353" t="n">
        <v>0</v>
      </c>
      <c r="F519" s="1353" t="n">
        <v>25</v>
      </c>
      <c r="G519" s="1353" t="n">
        <v>0</v>
      </c>
    </row>
    <row r="520" ht="12.75" customHeight="1">
      <c r="A520" s="1354" t="n">
        <v>124</v>
      </c>
      <c r="B520" s="646" t="s">
        <v>2519</v>
      </c>
      <c r="C520" s="646"/>
      <c r="D520" s="1165" t="s">
        <v>2391</v>
      </c>
      <c r="E520" s="1353" t="n">
        <v>0</v>
      </c>
      <c r="F520" s="1353" t="n">
        <v>45</v>
      </c>
      <c r="G520" s="1353" t="n">
        <v>0</v>
      </c>
    </row>
    <row r="521" ht="12.75" customHeight="1">
      <c r="A521" s="1354" t="n">
        <v>125</v>
      </c>
      <c r="B521" s="748" t="s">
        <v>2520</v>
      </c>
      <c r="C521" s="646"/>
      <c r="D521" s="1165" t="s">
        <v>2391</v>
      </c>
      <c r="E521" s="1353" t="n">
        <v>0</v>
      </c>
      <c r="F521" s="1353" t="n">
        <v>12</v>
      </c>
      <c r="G521" s="1353" t="n">
        <v>24</v>
      </c>
    </row>
    <row r="522" ht="12.75" customHeight="1">
      <c r="A522" s="1354" t="n">
        <v>126</v>
      </c>
      <c r="B522" s="748" t="s">
        <v>2521</v>
      </c>
      <c r="C522" s="646"/>
      <c r="D522" s="1165" t="s">
        <v>2391</v>
      </c>
      <c r="E522" s="1353" t="n">
        <v>0</v>
      </c>
      <c r="F522" s="1353" t="n">
        <v>13</v>
      </c>
      <c r="G522" s="1353" t="n">
        <v>18</v>
      </c>
    </row>
    <row r="523" ht="12.75" customHeight="1">
      <c r="A523" s="1354" t="n">
        <v>127</v>
      </c>
      <c r="B523" s="748" t="s">
        <v>2522</v>
      </c>
      <c r="C523" s="748"/>
      <c r="D523" s="1165" t="s">
        <v>2391</v>
      </c>
      <c r="E523" s="1353" t="n">
        <v>0</v>
      </c>
      <c r="F523" s="1353" t="n">
        <v>14</v>
      </c>
      <c r="G523" s="1353" t="n">
        <v>28</v>
      </c>
    </row>
    <row r="524" ht="12.75" customHeight="1">
      <c r="A524" s="1354" t="n">
        <v>128</v>
      </c>
      <c r="B524" s="748" t="s">
        <v>2523</v>
      </c>
      <c r="C524" s="748"/>
      <c r="D524" s="1165" t="s">
        <v>2391</v>
      </c>
      <c r="E524" s="1353" t="n">
        <v>0</v>
      </c>
      <c r="F524" s="1353" t="n">
        <v>20</v>
      </c>
      <c r="G524" s="1353" t="n">
        <v>20</v>
      </c>
    </row>
    <row r="525" ht="12.75" customHeight="1">
      <c r="A525" s="1354" t="n">
        <v>129</v>
      </c>
      <c r="B525" s="748" t="s">
        <v>2524</v>
      </c>
      <c r="C525" s="1356"/>
      <c r="D525" s="1165" t="s">
        <v>2391</v>
      </c>
      <c r="E525" s="1353" t="n">
        <v>0</v>
      </c>
      <c r="F525" s="1353" t="n">
        <v>25</v>
      </c>
      <c r="G525" s="1353" t="n">
        <v>25</v>
      </c>
    </row>
    <row r="526" ht="12.75" customHeight="1">
      <c r="A526" s="1354" t="n">
        <v>130</v>
      </c>
      <c r="B526" s="1358" t="s">
        <v>2525</v>
      </c>
      <c r="C526" s="1356"/>
      <c r="D526" s="1165" t="s">
        <v>2391</v>
      </c>
      <c r="E526" s="1353" t="n">
        <v>0.6</v>
      </c>
      <c r="F526" s="1353" t="n">
        <f aca="false">2/0.437/10</f>
        <v>0.45766590389016</v>
      </c>
      <c r="G526" s="1353" t="n">
        <f aca="false">3/0.83/10</f>
        <v>0.36144578313253</v>
      </c>
    </row>
    <row r="527" ht="12.75" customHeight="1">
      <c r="A527" s="1354" t="n">
        <v>131</v>
      </c>
      <c r="B527" s="1358" t="s">
        <v>2526</v>
      </c>
      <c r="C527" s="1356"/>
      <c r="D527" s="1165" t="s">
        <v>2391</v>
      </c>
      <c r="E527" s="1353" t="n">
        <v>0.5</v>
      </c>
      <c r="F527" s="1353" t="n">
        <f aca="false">3/0.437/10</f>
        <v>0.68649885583524</v>
      </c>
      <c r="G527" s="1353" t="n">
        <f aca="false">1/0.83/10</f>
        <v>0.120481927710843</v>
      </c>
    </row>
    <row r="528" ht="12.75" customHeight="1">
      <c r="A528" s="1354" t="n">
        <v>132</v>
      </c>
      <c r="B528" s="1358" t="s">
        <v>2527</v>
      </c>
      <c r="C528" s="646"/>
      <c r="D528" s="1165" t="s">
        <v>2391</v>
      </c>
      <c r="E528" s="1353" t="n">
        <v>2.3</v>
      </c>
      <c r="F528" s="1353" t="n">
        <f aca="false">7/0.437/10</f>
        <v>1.60183066361556</v>
      </c>
      <c r="G528" s="1353" t="n">
        <f aca="false">13/0.83/10</f>
        <v>1.56626506024096</v>
      </c>
    </row>
    <row r="529" ht="12.75" customHeight="1">
      <c r="A529" s="1354" t="n">
        <v>133</v>
      </c>
      <c r="B529" s="1356" t="s">
        <v>2528</v>
      </c>
      <c r="C529" s="1356"/>
      <c r="D529" s="1165" t="s">
        <v>2391</v>
      </c>
      <c r="E529" s="1353" t="n">
        <v>2.3</v>
      </c>
      <c r="F529" s="1353" t="n">
        <v>1.6</v>
      </c>
      <c r="G529" s="1353" t="n">
        <v>1.6</v>
      </c>
    </row>
    <row r="530" ht="12.75" customHeight="1">
      <c r="A530" s="646"/>
      <c r="D530" s="1192"/>
    </row>
    <row r="531" ht="15" customHeight="1">
      <c r="A531" s="1290" t="s">
        <v>2529</v>
      </c>
      <c r="D531" s="1192"/>
    </row>
    <row r="532" ht="12.75" customHeight="1">
      <c r="A532" s="646"/>
      <c r="D532" s="1192"/>
    </row>
    <row r="533" ht="12.75" customHeight="1">
      <c r="A533" s="1365" t="s">
        <v>2530</v>
      </c>
      <c r="B533" s="1189" t="s">
        <v>2531</v>
      </c>
      <c r="C533" s="1189"/>
      <c r="D533" s="1189" t="s">
        <v>2532</v>
      </c>
      <c r="E533" s="1189"/>
      <c r="F533" s="1189"/>
    </row>
    <row r="534" ht="15.75" customHeight="1">
      <c r="A534" s="1365"/>
      <c r="B534" s="1189"/>
      <c r="C534" s="1189"/>
      <c r="D534" s="983" t="s">
        <v>406</v>
      </c>
      <c r="E534" s="983" t="s">
        <v>2388</v>
      </c>
      <c r="F534" s="983" t="s">
        <v>2389</v>
      </c>
    </row>
    <row r="535" ht="12.75" customHeight="1">
      <c r="A535" s="1365"/>
      <c r="B535" s="42" t="s">
        <v>2533</v>
      </c>
      <c r="C535" s="42"/>
      <c r="D535" s="1366" t="n">
        <v>8</v>
      </c>
      <c r="E535" s="1366" t="n">
        <v>5</v>
      </c>
      <c r="F535" s="1366" t="n">
        <v>14</v>
      </c>
    </row>
    <row r="536" ht="12.75" customHeight="1">
      <c r="A536" s="1365"/>
      <c r="B536" s="42" t="s">
        <v>2534</v>
      </c>
      <c r="C536" s="42"/>
      <c r="D536" s="1366" t="n">
        <v>11.5</v>
      </c>
      <c r="E536" s="1366" t="n">
        <v>7</v>
      </c>
      <c r="F536" s="1366" t="n">
        <v>2.3</v>
      </c>
    </row>
    <row r="537" ht="12.75" customHeight="1">
      <c r="A537" s="1365"/>
      <c r="B537" s="42" t="s">
        <v>439</v>
      </c>
      <c r="C537" s="42"/>
      <c r="D537" s="1366" t="n">
        <v>7</v>
      </c>
      <c r="E537" s="1366" t="n">
        <v>5</v>
      </c>
      <c r="F537" s="1366" t="n">
        <v>5</v>
      </c>
    </row>
    <row r="538" ht="12.75" customHeight="1">
      <c r="A538" s="1365"/>
      <c r="B538" s="42" t="s">
        <v>2535</v>
      </c>
      <c r="C538" s="42"/>
      <c r="D538" s="1366" t="n">
        <v>2.3</v>
      </c>
      <c r="E538" s="1366" t="n">
        <v>2.8</v>
      </c>
      <c r="F538" s="1366" t="n">
        <v>2.4</v>
      </c>
    </row>
    <row r="539" ht="21.95" customHeight="1">
      <c r="A539" s="1365"/>
      <c r="B539" s="1367" t="s">
        <v>2536</v>
      </c>
      <c r="C539" s="1367"/>
      <c r="D539" s="1242" t="n">
        <v>2.2</v>
      </c>
      <c r="E539" s="1242" t="n">
        <v>2.2</v>
      </c>
      <c r="F539" s="1242" t="n">
        <v>1.9</v>
      </c>
      <c r="G539" s="1128"/>
    </row>
    <row r="541" ht="12.75" customHeight="1">
      <c r="A541" s="1365" t="s">
        <v>2537</v>
      </c>
      <c r="B541" s="1189" t="s">
        <v>2531</v>
      </c>
      <c r="C541" s="1189" t="s">
        <v>2538</v>
      </c>
      <c r="D541" s="1189" t="s">
        <v>2532</v>
      </c>
      <c r="E541" s="1189"/>
      <c r="F541" s="1189"/>
    </row>
    <row r="542" ht="15.75" customHeight="1">
      <c r="A542" s="1365"/>
      <c r="B542" s="1189"/>
      <c r="C542" s="1189"/>
      <c r="D542" s="983" t="s">
        <v>406</v>
      </c>
      <c r="E542" s="983" t="s">
        <v>2388</v>
      </c>
      <c r="F542" s="983" t="s">
        <v>2389</v>
      </c>
    </row>
    <row r="543" ht="12.75" customHeight="1">
      <c r="A543" s="1365"/>
      <c r="B543" s="42" t="s">
        <v>2539</v>
      </c>
      <c r="C543" s="42"/>
      <c r="D543" s="1366" t="n">
        <v>29</v>
      </c>
      <c r="E543" s="1366" t="n">
        <v>25</v>
      </c>
      <c r="F543" s="1366" t="n">
        <v>20</v>
      </c>
    </row>
    <row r="544" ht="12.75" customHeight="1">
      <c r="A544" s="1365"/>
      <c r="B544" s="42" t="s">
        <v>2540</v>
      </c>
      <c r="C544" s="42"/>
      <c r="D544" s="1366" t="n">
        <v>26</v>
      </c>
      <c r="E544" s="1366" t="n">
        <v>24</v>
      </c>
      <c r="F544" s="1366" t="n">
        <v>19</v>
      </c>
    </row>
    <row r="545" ht="26.1" customHeight="1">
      <c r="A545" s="1365"/>
      <c r="B545" s="1368" t="s">
        <v>2541</v>
      </c>
      <c r="C545" s="1368"/>
      <c r="D545" s="1242" t="n">
        <v>22</v>
      </c>
      <c r="E545" s="1242" t="n">
        <v>23</v>
      </c>
      <c r="F545" s="1242" t="n">
        <v>18</v>
      </c>
      <c r="G545" s="1128"/>
    </row>
    <row r="546" ht="23.1" customHeight="1">
      <c r="A546" s="1365"/>
      <c r="B546" s="42" t="s">
        <v>2542</v>
      </c>
      <c r="C546" s="42"/>
      <c r="D546" s="1366" t="n">
        <v>22</v>
      </c>
      <c r="E546" s="1366" t="n">
        <v>22</v>
      </c>
      <c r="F546" s="1366" t="n">
        <v>15</v>
      </c>
    </row>
    <row r="547" ht="12.75" customHeight="1">
      <c r="A547" s="1365"/>
      <c r="B547" s="1369"/>
      <c r="C547" s="1369"/>
      <c r="D547" s="1370"/>
      <c r="E547" s="1370"/>
      <c r="F547" s="1370"/>
    </row>
    <row r="548" ht="12.75" customHeight="1">
      <c r="A548" s="1365"/>
      <c r="B548" s="1189" t="s">
        <v>2531</v>
      </c>
      <c r="C548" s="1189" t="s">
        <v>2543</v>
      </c>
      <c r="D548" s="1189" t="s">
        <v>2532</v>
      </c>
      <c r="E548" s="1189"/>
      <c r="F548" s="1189"/>
    </row>
    <row r="549" ht="15.75" customHeight="1">
      <c r="A549" s="1365"/>
      <c r="B549" s="1189"/>
      <c r="C549" s="1189"/>
      <c r="D549" s="983" t="s">
        <v>406</v>
      </c>
      <c r="E549" s="983" t="s">
        <v>2388</v>
      </c>
      <c r="F549" s="983" t="s">
        <v>2389</v>
      </c>
    </row>
    <row r="550" ht="12.75" customHeight="1">
      <c r="A550" s="1365"/>
      <c r="B550" s="42" t="s">
        <v>2539</v>
      </c>
      <c r="C550" s="42"/>
      <c r="D550" s="1366" t="n">
        <v>20</v>
      </c>
      <c r="E550" s="1366" t="n">
        <v>18</v>
      </c>
      <c r="F550" s="1366" t="n">
        <v>15</v>
      </c>
    </row>
    <row r="551" ht="12.75" customHeight="1">
      <c r="A551" s="1365"/>
      <c r="B551" s="42" t="s">
        <v>2540</v>
      </c>
      <c r="C551" s="42"/>
      <c r="D551" s="1366" t="n">
        <v>18</v>
      </c>
      <c r="E551" s="1366" t="n">
        <v>17</v>
      </c>
      <c r="F551" s="1366" t="n">
        <v>15</v>
      </c>
    </row>
    <row r="552" ht="21" customHeight="1">
      <c r="A552" s="1365"/>
      <c r="B552" s="1368" t="s">
        <v>2541</v>
      </c>
      <c r="C552" s="1368"/>
      <c r="D552" s="1242" t="n">
        <v>15</v>
      </c>
      <c r="E552" s="1242" t="n">
        <v>17</v>
      </c>
      <c r="F552" s="1242" t="n">
        <v>14</v>
      </c>
      <c r="G552" s="1128"/>
    </row>
    <row r="553" ht="12.75" customHeight="1">
      <c r="A553" s="1365"/>
      <c r="B553" s="42" t="s">
        <v>2542</v>
      </c>
      <c r="C553" s="42"/>
      <c r="D553" s="1366" t="n">
        <v>15</v>
      </c>
      <c r="E553" s="1366" t="n">
        <v>16</v>
      </c>
      <c r="F553" s="1366" t="n">
        <v>12</v>
      </c>
    </row>
    <row r="554" ht="12.75" customHeight="1">
      <c r="A554" s="1365"/>
    </row>
    <row r="555" ht="12.75" customHeight="1">
      <c r="A555" s="1365"/>
      <c r="B555" s="1189" t="s">
        <v>2531</v>
      </c>
      <c r="C555" s="1189" t="s">
        <v>2544</v>
      </c>
      <c r="D555" s="1189" t="s">
        <v>2532</v>
      </c>
      <c r="E555" s="1189"/>
      <c r="F555" s="1189"/>
    </row>
    <row r="556" ht="15.75" customHeight="1">
      <c r="A556" s="1365"/>
      <c r="B556" s="1189"/>
      <c r="C556" s="1189"/>
      <c r="D556" s="983" t="s">
        <v>406</v>
      </c>
      <c r="E556" s="983" t="s">
        <v>2388</v>
      </c>
      <c r="F556" s="983" t="s">
        <v>2389</v>
      </c>
    </row>
    <row r="557" ht="12.75" customHeight="1">
      <c r="A557" s="1365"/>
      <c r="B557" s="42" t="s">
        <v>2539</v>
      </c>
      <c r="C557" s="42"/>
      <c r="D557" s="1366" t="n">
        <v>27</v>
      </c>
      <c r="E557" s="1366" t="n">
        <v>27</v>
      </c>
      <c r="F557" s="1366" t="n">
        <v>20</v>
      </c>
    </row>
    <row r="558" ht="12.75" customHeight="1">
      <c r="A558" s="1365"/>
      <c r="B558" s="42" t="s">
        <v>2540</v>
      </c>
      <c r="C558" s="42"/>
      <c r="D558" s="1366" t="n">
        <v>25</v>
      </c>
      <c r="E558" s="1366" t="n">
        <v>26</v>
      </c>
      <c r="F558" s="1366" t="n">
        <v>19</v>
      </c>
    </row>
    <row r="559" ht="20.1" customHeight="1">
      <c r="A559" s="1365"/>
      <c r="B559" s="1368" t="s">
        <v>2541</v>
      </c>
      <c r="C559" s="1368"/>
      <c r="D559" s="1242" t="n">
        <v>21</v>
      </c>
      <c r="E559" s="1242" t="n">
        <v>25</v>
      </c>
      <c r="F559" s="1242" t="n">
        <v>18</v>
      </c>
      <c r="G559" s="1128"/>
    </row>
    <row r="560" ht="12.75" customHeight="1">
      <c r="A560" s="1365"/>
      <c r="B560" s="42" t="s">
        <v>2542</v>
      </c>
      <c r="C560" s="42"/>
      <c r="D560" s="1366" t="n">
        <v>21</v>
      </c>
      <c r="E560" s="1366" t="n">
        <v>23</v>
      </c>
      <c r="F560" s="1366" t="n">
        <v>15</v>
      </c>
    </row>
    <row r="561" ht="12.75" customHeight="1">
      <c r="A561" s="1365"/>
    </row>
    <row r="562" ht="12.75" customHeight="1">
      <c r="A562" s="1365"/>
      <c r="B562" s="1189" t="s">
        <v>2531</v>
      </c>
      <c r="C562" s="1189" t="s">
        <v>2545</v>
      </c>
      <c r="D562" s="1189" t="s">
        <v>2532</v>
      </c>
      <c r="E562" s="1189"/>
      <c r="F562" s="1189"/>
    </row>
    <row r="563" ht="15.75" customHeight="1">
      <c r="A563" s="1365"/>
      <c r="B563" s="1189"/>
      <c r="C563" s="1189"/>
      <c r="D563" s="983" t="s">
        <v>406</v>
      </c>
      <c r="E563" s="983" t="s">
        <v>2388</v>
      </c>
      <c r="F563" s="983" t="s">
        <v>2389</v>
      </c>
    </row>
    <row r="564" ht="12.75" customHeight="1">
      <c r="A564" s="1365"/>
      <c r="B564" s="42" t="s">
        <v>2539</v>
      </c>
      <c r="C564" s="42"/>
      <c r="D564" s="1366" t="n">
        <v>32</v>
      </c>
      <c r="E564" s="1366" t="n">
        <v>25</v>
      </c>
      <c r="F564" s="1366" t="n">
        <v>20</v>
      </c>
    </row>
    <row r="565" ht="12.75" customHeight="1">
      <c r="A565" s="1365"/>
      <c r="B565" s="42" t="s">
        <v>2540</v>
      </c>
      <c r="C565" s="42"/>
      <c r="D565" s="1366" t="n">
        <v>29</v>
      </c>
      <c r="E565" s="1366" t="n">
        <v>24</v>
      </c>
      <c r="F565" s="1366" t="n">
        <v>19</v>
      </c>
    </row>
    <row r="566" ht="21" customHeight="1">
      <c r="A566" s="1365"/>
      <c r="B566" s="1368" t="s">
        <v>2541</v>
      </c>
      <c r="C566" s="1368"/>
      <c r="D566" s="1242" t="n">
        <v>24</v>
      </c>
      <c r="E566" s="1242" t="n">
        <v>23</v>
      </c>
      <c r="F566" s="1242" t="n">
        <v>18</v>
      </c>
      <c r="G566" s="1128"/>
    </row>
    <row r="567" ht="15.75" customHeight="1">
      <c r="A567" s="1365"/>
      <c r="B567" s="42" t="s">
        <v>2542</v>
      </c>
      <c r="C567" s="42"/>
      <c r="D567" s="1366" t="n">
        <v>24</v>
      </c>
      <c r="E567" s="1366" t="n">
        <v>22</v>
      </c>
      <c r="F567" s="1366" t="n">
        <v>15</v>
      </c>
      <c r="H567" s="1371" t="s">
        <v>2546</v>
      </c>
      <c r="I567" s="1372" t="s">
        <v>2547</v>
      </c>
      <c r="J567" s="1373"/>
      <c r="K567" s="1373"/>
      <c r="L567" s="1373"/>
      <c r="M567" s="1374" t="s">
        <v>2548</v>
      </c>
      <c r="N567" s="1375"/>
    </row>
    <row r="568" ht="12.75" customHeight="1">
      <c r="H568" s="1376" t="s">
        <v>1006</v>
      </c>
      <c r="I568" s="1377" t="s">
        <v>2549</v>
      </c>
      <c r="J568" s="1378"/>
      <c r="K568" s="1378"/>
      <c r="L568" s="1379"/>
      <c r="M568" s="1378" t="n">
        <v>5.8</v>
      </c>
      <c r="N568" s="1379"/>
    </row>
    <row r="569" ht="12.75" customHeight="1">
      <c r="A569" s="1365" t="s">
        <v>2550</v>
      </c>
      <c r="B569" s="1189" t="s">
        <v>2531</v>
      </c>
      <c r="C569" s="1189" t="s">
        <v>2551</v>
      </c>
      <c r="D569" s="1189" t="s">
        <v>2532</v>
      </c>
      <c r="E569" s="1189"/>
      <c r="F569" s="1189"/>
      <c r="H569" s="1376"/>
      <c r="I569" s="1380" t="s">
        <v>2552</v>
      </c>
      <c r="J569" s="646"/>
      <c r="K569" s="646"/>
      <c r="L569" s="1381"/>
      <c r="M569" s="646" t="n">
        <v>5</v>
      </c>
      <c r="N569" s="1381"/>
    </row>
    <row r="570" ht="15.75" customHeight="1">
      <c r="A570" s="1365"/>
      <c r="B570" s="1189"/>
      <c r="C570" s="1189"/>
      <c r="D570" s="983" t="s">
        <v>406</v>
      </c>
      <c r="E570" s="983" t="s">
        <v>2388</v>
      </c>
      <c r="F570" s="983" t="s">
        <v>2389</v>
      </c>
      <c r="H570" s="1376"/>
      <c r="I570" s="1382" t="s">
        <v>2553</v>
      </c>
      <c r="J570" s="646"/>
      <c r="K570" s="646"/>
      <c r="L570" s="1381"/>
      <c r="M570" s="646" t="n">
        <v>5.1</v>
      </c>
      <c r="N570" s="1381"/>
    </row>
    <row r="571" ht="12.75" customHeight="1">
      <c r="A571" s="1365"/>
      <c r="B571" s="42" t="s">
        <v>2554</v>
      </c>
      <c r="C571" s="42"/>
      <c r="D571" s="1366" t="n">
        <v>15</v>
      </c>
      <c r="E571" s="1366" t="n">
        <v>14</v>
      </c>
      <c r="F571" s="1366" t="n">
        <v>12</v>
      </c>
      <c r="H571" s="1376"/>
      <c r="I571" s="1380" t="s">
        <v>421</v>
      </c>
      <c r="J571" s="646"/>
      <c r="K571" s="646"/>
      <c r="L571" s="1381"/>
      <c r="M571" s="646" t="n">
        <v>5.2</v>
      </c>
      <c r="N571" s="1381"/>
    </row>
    <row r="572" ht="12.75" customHeight="1">
      <c r="A572" s="1365"/>
      <c r="B572" s="42" t="s">
        <v>429</v>
      </c>
      <c r="C572" s="42"/>
      <c r="D572" s="1366" t="n">
        <v>22</v>
      </c>
      <c r="E572" s="1366" t="n">
        <v>20</v>
      </c>
      <c r="F572" s="1366" t="n">
        <v>12</v>
      </c>
      <c r="H572" s="1376"/>
      <c r="I572" s="1380" t="s">
        <v>422</v>
      </c>
      <c r="J572" s="646"/>
      <c r="K572" s="646"/>
      <c r="L572" s="1381"/>
      <c r="M572" s="646" t="n">
        <v>3.5</v>
      </c>
      <c r="N572" s="1381"/>
    </row>
    <row r="573" ht="12.75" customHeight="1">
      <c r="A573" s="1365"/>
      <c r="B573" s="1383" t="s">
        <v>2555</v>
      </c>
      <c r="C573" s="1383"/>
      <c r="D573" s="1242" t="n">
        <v>30</v>
      </c>
      <c r="E573" s="1242" t="n">
        <v>40</v>
      </c>
      <c r="F573" s="1242" t="n">
        <v>28</v>
      </c>
      <c r="G573" s="1128"/>
      <c r="H573" s="1376"/>
      <c r="I573" s="1380" t="s">
        <v>2556</v>
      </c>
      <c r="J573" s="646"/>
      <c r="K573" s="646"/>
      <c r="L573" s="1381"/>
      <c r="M573" s="646" t="n">
        <v>2.7</v>
      </c>
      <c r="N573" s="1381"/>
    </row>
    <row r="574" ht="12.75" customHeight="1">
      <c r="A574" s="1365"/>
      <c r="B574" s="42" t="s">
        <v>430</v>
      </c>
      <c r="C574" s="42"/>
      <c r="D574" s="1366" t="n">
        <v>40</v>
      </c>
      <c r="E574" s="1366" t="n">
        <v>40</v>
      </c>
      <c r="F574" s="1366" t="n">
        <v>28</v>
      </c>
      <c r="H574" s="1376"/>
      <c r="I574" s="1380" t="s">
        <v>2557</v>
      </c>
      <c r="J574" s="646"/>
      <c r="K574" s="646"/>
      <c r="L574" s="1381"/>
      <c r="M574" s="646" t="n">
        <v>1.6</v>
      </c>
      <c r="N574" s="1381"/>
    </row>
    <row r="575" ht="12.75" customHeight="1">
      <c r="H575" s="1376"/>
      <c r="I575" s="1380" t="s">
        <v>2558</v>
      </c>
      <c r="J575" s="646"/>
      <c r="K575" s="646"/>
      <c r="L575" s="1381"/>
      <c r="M575" s="646" t="n">
        <v>3</v>
      </c>
      <c r="N575" s="1381"/>
    </row>
    <row r="576" ht="13.5" customHeight="1">
      <c r="A576" s="1384" t="s">
        <v>2559</v>
      </c>
      <c r="B576" s="1189" t="s">
        <v>2560</v>
      </c>
      <c r="C576" s="1189" t="s">
        <v>1077</v>
      </c>
      <c r="D576" s="1189" t="s">
        <v>2532</v>
      </c>
      <c r="E576" s="1189"/>
      <c r="F576" s="1189"/>
      <c r="H576" s="1376"/>
      <c r="I576" s="1385" t="s">
        <v>2561</v>
      </c>
      <c r="J576" s="1386"/>
      <c r="K576" s="1386"/>
      <c r="L576" s="1387"/>
      <c r="M576" s="1386" t="n">
        <v>0.4</v>
      </c>
      <c r="N576" s="1387"/>
    </row>
    <row r="577" ht="15.75" customHeight="1">
      <c r="A577" s="1384"/>
      <c r="B577" s="1189"/>
      <c r="C577" s="1189"/>
      <c r="D577" s="983" t="s">
        <v>406</v>
      </c>
      <c r="E577" s="983" t="s">
        <v>2388</v>
      </c>
      <c r="F577" s="983" t="s">
        <v>2389</v>
      </c>
      <c r="H577" s="1388" t="s">
        <v>1846</v>
      </c>
      <c r="I577" s="1389" t="s">
        <v>427</v>
      </c>
      <c r="J577" s="1378"/>
      <c r="K577" s="1378"/>
      <c r="L577" s="1379"/>
      <c r="M577" s="1378" t="n">
        <v>6.8</v>
      </c>
      <c r="N577" s="1379"/>
    </row>
    <row r="578" ht="12.75" customHeight="1">
      <c r="A578" s="1384"/>
      <c r="B578" s="42" t="s">
        <v>2562</v>
      </c>
      <c r="C578" s="42"/>
      <c r="D578" s="1366" t="n">
        <v>4.4</v>
      </c>
      <c r="E578" s="1366" t="n">
        <v>1.7</v>
      </c>
      <c r="F578" s="1366" t="n">
        <v>2.5</v>
      </c>
      <c r="H578" s="1388"/>
      <c r="I578" s="1380" t="s">
        <v>428</v>
      </c>
      <c r="J578" s="646"/>
      <c r="K578" s="646"/>
      <c r="L578" s="1381"/>
      <c r="M578" s="646" t="n">
        <v>22</v>
      </c>
      <c r="N578" s="1381"/>
    </row>
    <row r="579" ht="12.75" customHeight="1">
      <c r="A579" s="1384"/>
      <c r="B579" s="42" t="s">
        <v>2563</v>
      </c>
      <c r="C579" s="42"/>
      <c r="D579" s="1366" t="n">
        <v>5.9</v>
      </c>
      <c r="E579" s="1366" t="n">
        <v>5.9</v>
      </c>
      <c r="F579" s="1366" t="n">
        <v>4.1</v>
      </c>
      <c r="H579" s="1388"/>
      <c r="I579" s="1380" t="s">
        <v>429</v>
      </c>
      <c r="J579" s="646"/>
      <c r="K579" s="646"/>
      <c r="L579" s="1381"/>
      <c r="M579" s="646" t="n">
        <v>40</v>
      </c>
      <c r="N579" s="1381"/>
    </row>
    <row r="580" ht="13.5" customHeight="1">
      <c r="A580" s="1384"/>
      <c r="B580" s="1383" t="s">
        <v>2564</v>
      </c>
      <c r="C580" s="1383"/>
      <c r="D580" s="1242" t="n">
        <v>8.6</v>
      </c>
      <c r="E580" s="1242" t="n">
        <v>8.6</v>
      </c>
      <c r="F580" s="1242" t="n">
        <v>8.4</v>
      </c>
      <c r="G580" s="1128"/>
      <c r="H580" s="1388"/>
      <c r="I580" s="1385" t="s">
        <v>430</v>
      </c>
      <c r="J580" s="1386"/>
      <c r="K580" s="1386"/>
      <c r="L580" s="1387"/>
      <c r="M580" s="1386" t="n">
        <v>22</v>
      </c>
      <c r="N580" s="1387"/>
    </row>
    <row r="581" ht="12.75" customHeight="1">
      <c r="A581" s="1384"/>
      <c r="B581" s="1140"/>
      <c r="C581" s="1140"/>
      <c r="D581" s="1242"/>
      <c r="E581" s="1242"/>
      <c r="F581" s="1242"/>
      <c r="G581" s="1128"/>
      <c r="H581" s="1390" t="s">
        <v>2565</v>
      </c>
      <c r="I581" s="1380" t="s">
        <v>431</v>
      </c>
      <c r="J581" s="646"/>
      <c r="K581" s="646"/>
      <c r="L581" s="1381"/>
      <c r="M581" s="646" t="n">
        <v>9.6</v>
      </c>
      <c r="N581" s="1381"/>
    </row>
    <row r="582" ht="12.75" customHeight="1">
      <c r="A582" s="1384"/>
      <c r="B582" s="1189" t="s">
        <v>2560</v>
      </c>
      <c r="C582" s="1189" t="s">
        <v>2566</v>
      </c>
      <c r="D582" s="1189" t="s">
        <v>2532</v>
      </c>
      <c r="E582" s="1189"/>
      <c r="F582" s="1189"/>
      <c r="G582" s="1128"/>
      <c r="H582" s="1390"/>
      <c r="I582" s="1380" t="s">
        <v>2567</v>
      </c>
      <c r="J582" s="646"/>
      <c r="K582" s="646"/>
      <c r="L582" s="1381"/>
      <c r="M582" s="646" t="n">
        <v>4.3</v>
      </c>
      <c r="N582" s="1381"/>
    </row>
    <row r="583" ht="15.75" customHeight="1">
      <c r="A583" s="1384"/>
      <c r="B583" s="1189"/>
      <c r="C583" s="1189"/>
      <c r="D583" s="983" t="s">
        <v>406</v>
      </c>
      <c r="E583" s="983" t="s">
        <v>2388</v>
      </c>
      <c r="F583" s="983" t="s">
        <v>2389</v>
      </c>
      <c r="H583" s="1390"/>
      <c r="I583" s="1382" t="s">
        <v>2568</v>
      </c>
      <c r="J583" s="646"/>
      <c r="K583" s="646"/>
      <c r="L583" s="1381"/>
      <c r="M583" s="646" t="n">
        <v>7.2</v>
      </c>
      <c r="N583" s="1381"/>
    </row>
    <row r="584" ht="13.5" customHeight="1">
      <c r="A584" s="1384"/>
      <c r="B584" s="42" t="s">
        <v>2569</v>
      </c>
      <c r="C584" s="42"/>
      <c r="D584" s="1366" t="n">
        <v>3</v>
      </c>
      <c r="E584" s="1366" t="n">
        <v>1.5</v>
      </c>
      <c r="F584" s="1366" t="n">
        <v>1</v>
      </c>
      <c r="H584" s="1390"/>
      <c r="I584" s="1385" t="s">
        <v>2570</v>
      </c>
      <c r="J584" s="1386"/>
      <c r="K584" s="1386"/>
      <c r="L584" s="1387"/>
      <c r="M584" s="1386" t="n">
        <v>9.1</v>
      </c>
      <c r="N584" s="1387"/>
    </row>
    <row r="585" ht="12.75" customHeight="1">
      <c r="A585" s="1384"/>
      <c r="B585" s="1140"/>
      <c r="C585" s="1140"/>
      <c r="D585" s="1242"/>
      <c r="E585" s="1242"/>
      <c r="F585" s="1242"/>
      <c r="G585" s="1128"/>
      <c r="H585" t="s">
        <v>2571</v>
      </c>
    </row>
    <row r="586" ht="12.75" customHeight="1">
      <c r="A586" s="1384"/>
      <c r="B586" s="1189" t="s">
        <v>2560</v>
      </c>
      <c r="C586" s="1189" t="s">
        <v>2551</v>
      </c>
      <c r="D586" s="1189" t="s">
        <v>2532</v>
      </c>
      <c r="E586" s="1189"/>
      <c r="F586" s="1189"/>
      <c r="G586" s="1128"/>
    </row>
    <row r="587" ht="15.75" customHeight="1">
      <c r="A587" s="1384"/>
      <c r="B587" s="1189"/>
      <c r="C587" s="1189"/>
      <c r="D587" s="983" t="s">
        <v>406</v>
      </c>
      <c r="E587" s="983" t="s">
        <v>2388</v>
      </c>
      <c r="F587" s="983" t="s">
        <v>2389</v>
      </c>
    </row>
    <row r="588" ht="12.75" customHeight="1">
      <c r="A588" s="1384"/>
      <c r="B588" s="42" t="s">
        <v>2572</v>
      </c>
      <c r="C588" s="42"/>
      <c r="D588" s="1192" t="n">
        <v>6.8</v>
      </c>
      <c r="E588" s="1192" t="n">
        <v>9.5</v>
      </c>
      <c r="F588" s="1192" t="n">
        <v>5.5</v>
      </c>
    </row>
    <row r="590" ht="12.75" customHeight="1">
      <c r="A590" s="1384" t="s">
        <v>2573</v>
      </c>
      <c r="B590" s="1189" t="s">
        <v>2531</v>
      </c>
      <c r="C590" s="1189" t="s">
        <v>1841</v>
      </c>
      <c r="D590" s="1189" t="s">
        <v>2532</v>
      </c>
      <c r="E590" s="1189"/>
      <c r="F590" s="1189"/>
    </row>
    <row r="591" ht="15.75" customHeight="1">
      <c r="A591" s="1384"/>
      <c r="B591" s="1189"/>
      <c r="C591" s="1189"/>
      <c r="D591" s="983" t="s">
        <v>406</v>
      </c>
      <c r="E591" s="983" t="s">
        <v>2388</v>
      </c>
      <c r="F591" s="983" t="s">
        <v>2389</v>
      </c>
    </row>
    <row r="592" ht="12.75" customHeight="1">
      <c r="A592" s="1384"/>
      <c r="B592" s="1383" t="s">
        <v>2574</v>
      </c>
      <c r="C592" s="1383"/>
      <c r="D592" s="1242" t="n">
        <v>5.3</v>
      </c>
      <c r="E592" s="1242" t="n">
        <v>1.7</v>
      </c>
      <c r="F592" s="1242" t="n">
        <v>7.1</v>
      </c>
    </row>
    <row r="593" ht="12.75" customHeight="1">
      <c r="A593" s="1384"/>
      <c r="B593" s="1383" t="s">
        <v>2575</v>
      </c>
      <c r="C593" s="1383"/>
      <c r="D593" s="1242" t="n">
        <v>5.1</v>
      </c>
      <c r="E593" s="1242" t="n">
        <v>2.3</v>
      </c>
      <c r="F593" s="1242" t="n">
        <v>6.2</v>
      </c>
    </row>
    <row r="594" ht="12.75" customHeight="1">
      <c r="A594" s="1384"/>
      <c r="B594" s="1391" t="s">
        <v>2576</v>
      </c>
      <c r="C594" s="1391"/>
      <c r="D594" s="1242" t="n">
        <v>5.8</v>
      </c>
      <c r="E594" s="1242" t="n">
        <v>2.3</v>
      </c>
      <c r="F594" s="1242" t="n">
        <v>9.6</v>
      </c>
    </row>
    <row r="595" ht="12.75" customHeight="1">
      <c r="A595" s="1384"/>
      <c r="B595" s="1383" t="s">
        <v>2577</v>
      </c>
      <c r="C595" s="1383"/>
      <c r="D595" s="1242" t="n">
        <v>4.9</v>
      </c>
      <c r="E595" s="1242" t="n">
        <v>2.3</v>
      </c>
      <c r="F595" s="1242" t="n">
        <v>9</v>
      </c>
    </row>
    <row r="596" ht="12.75" customHeight="1">
      <c r="A596" s="1392"/>
      <c r="B596" s="1393"/>
      <c r="C596" s="1393"/>
      <c r="D596" s="1394"/>
      <c r="E596" s="1394"/>
      <c r="F596" s="1394"/>
    </row>
    <row r="597" ht="12.75" customHeight="1">
      <c r="A597" s="1384" t="s">
        <v>2578</v>
      </c>
      <c r="B597" s="1189" t="s">
        <v>2531</v>
      </c>
      <c r="C597" s="1189" t="s">
        <v>2579</v>
      </c>
      <c r="D597" s="1189" t="s">
        <v>2532</v>
      </c>
      <c r="E597" s="1189"/>
      <c r="F597" s="1189"/>
    </row>
    <row r="598" ht="15.75" customHeight="1">
      <c r="A598" s="1384"/>
      <c r="B598" s="1189"/>
      <c r="C598" s="1189"/>
      <c r="D598" s="983" t="s">
        <v>406</v>
      </c>
      <c r="E598" s="983" t="s">
        <v>2388</v>
      </c>
      <c r="F598" s="983" t="s">
        <v>2389</v>
      </c>
    </row>
    <row r="599" ht="12.75" customHeight="1">
      <c r="A599" s="1384"/>
      <c r="B599" s="1395" t="s">
        <v>2580</v>
      </c>
      <c r="C599" s="1395"/>
      <c r="D599" s="1242" t="n">
        <v>6.1</v>
      </c>
      <c r="E599" s="1242" t="n">
        <v>5.2</v>
      </c>
      <c r="F599" s="1242" t="n">
        <v>7</v>
      </c>
      <c r="G599" s="1356"/>
    </row>
    <row r="600" ht="12.75" customHeight="1">
      <c r="A600" s="1384"/>
      <c r="B600" s="1395" t="s">
        <v>2581</v>
      </c>
      <c r="C600" s="1395"/>
      <c r="D600" s="1242" t="n">
        <v>6.7</v>
      </c>
      <c r="E600" s="1242" t="n">
        <v>4</v>
      </c>
      <c r="F600" s="1242" t="n">
        <v>12</v>
      </c>
      <c r="G600" s="1356"/>
    </row>
    <row r="601" ht="12.75" customHeight="1">
      <c r="A601" s="1384"/>
      <c r="B601" s="1356"/>
      <c r="C601" s="1356"/>
      <c r="D601" s="1242"/>
      <c r="E601" s="1242"/>
      <c r="F601" s="1242"/>
      <c r="G601" s="1356"/>
    </row>
    <row r="602" ht="12.75" customHeight="1">
      <c r="A602" s="1384"/>
      <c r="B602" s="1189" t="s">
        <v>2531</v>
      </c>
      <c r="C602" s="1189" t="s">
        <v>2582</v>
      </c>
      <c r="D602" s="1189" t="s">
        <v>2532</v>
      </c>
      <c r="E602" s="1189"/>
      <c r="F602" s="1189"/>
      <c r="G602" s="1356"/>
    </row>
    <row r="603" ht="15.75" customHeight="1">
      <c r="A603" s="1384"/>
      <c r="B603" s="1189"/>
      <c r="C603" s="1189"/>
      <c r="D603" s="983" t="s">
        <v>406</v>
      </c>
      <c r="E603" s="983" t="s">
        <v>2388</v>
      </c>
      <c r="F603" s="983" t="s">
        <v>2389</v>
      </c>
      <c r="G603" s="1356"/>
    </row>
    <row r="604" ht="12.75" customHeight="1">
      <c r="A604" s="1384"/>
      <c r="B604" s="1383" t="s">
        <v>2583</v>
      </c>
      <c r="C604" s="1383"/>
      <c r="D604" s="1242" t="n">
        <v>7.2</v>
      </c>
      <c r="E604" s="1242" t="n">
        <v>7</v>
      </c>
      <c r="F604" s="1242" t="n">
        <v>10.2</v>
      </c>
      <c r="G604" s="1356"/>
    </row>
    <row r="605" ht="12.75" customHeight="1">
      <c r="A605" s="1384"/>
      <c r="B605" s="1395" t="s">
        <v>2584</v>
      </c>
      <c r="C605" s="1395"/>
      <c r="D605" s="1242" t="n">
        <v>9.1</v>
      </c>
      <c r="E605" s="1242" t="n">
        <v>10.9</v>
      </c>
      <c r="F605" s="1242" t="n">
        <v>11.2</v>
      </c>
      <c r="G605" s="1356"/>
    </row>
    <row r="606" ht="12.75" customHeight="1">
      <c r="A606" s="1396"/>
      <c r="B606" s="1356"/>
      <c r="C606" s="1356"/>
      <c r="D606" s="1242"/>
      <c r="E606" s="1242"/>
      <c r="F606" s="1242"/>
      <c r="G606" s="1356"/>
    </row>
    <row r="607" ht="12.75" customHeight="1">
      <c r="A607" s="1384" t="s">
        <v>2585</v>
      </c>
      <c r="B607" s="1189" t="s">
        <v>2560</v>
      </c>
      <c r="C607" s="1189" t="s">
        <v>1841</v>
      </c>
      <c r="D607" s="1189" t="s">
        <v>2532</v>
      </c>
      <c r="E607" s="1189"/>
      <c r="F607" s="1189"/>
    </row>
    <row r="608" ht="15.75" customHeight="1">
      <c r="A608" s="1384"/>
      <c r="B608" s="1189"/>
      <c r="C608" s="1189"/>
      <c r="D608" s="983" t="s">
        <v>406</v>
      </c>
      <c r="E608" s="983" t="s">
        <v>2388</v>
      </c>
      <c r="F608" s="983" t="s">
        <v>2389</v>
      </c>
    </row>
    <row r="609" ht="12.75" customHeight="1">
      <c r="A609" s="1384"/>
      <c r="B609" s="42" t="s">
        <v>2586</v>
      </c>
      <c r="C609" s="42"/>
      <c r="D609" s="1366" t="n">
        <v>5.2</v>
      </c>
      <c r="E609" s="1366" t="n">
        <v>1.7</v>
      </c>
      <c r="F609" s="1366" t="n">
        <v>4</v>
      </c>
    </row>
    <row r="610" ht="12.75" customHeight="1">
      <c r="A610" s="1384"/>
      <c r="B610" s="42" t="s">
        <v>2587</v>
      </c>
      <c r="C610" s="42"/>
      <c r="D610" s="1366" t="n">
        <v>1.6</v>
      </c>
      <c r="E610" s="1366" t="n">
        <v>0.8</v>
      </c>
      <c r="F610" s="1366" t="n">
        <v>2.4</v>
      </c>
    </row>
    <row r="611" ht="12.75" customHeight="1">
      <c r="A611" s="1384"/>
      <c r="B611" s="42" t="s">
        <v>2588</v>
      </c>
      <c r="C611" s="42"/>
      <c r="D611" s="1366" t="n">
        <v>2.7</v>
      </c>
      <c r="E611" s="1366" t="n">
        <v>1.1</v>
      </c>
      <c r="F611" s="1366" t="n">
        <v>3.3</v>
      </c>
    </row>
    <row r="612" ht="12.75" customHeight="1">
      <c r="A612" s="1384"/>
      <c r="B612" s="42" t="s">
        <v>2589</v>
      </c>
      <c r="C612" s="42"/>
      <c r="D612" s="1366" t="n">
        <v>2.5</v>
      </c>
      <c r="E612" s="1366" t="n">
        <v>1.1</v>
      </c>
      <c r="F612" s="1366" t="n">
        <v>3.3</v>
      </c>
    </row>
    <row r="613" ht="12.75" customHeight="1">
      <c r="A613" s="1384"/>
      <c r="B613" s="1383" t="s">
        <v>2590</v>
      </c>
      <c r="C613" s="1383"/>
      <c r="D613" s="1242" t="n">
        <v>4</v>
      </c>
      <c r="E613" s="1242" t="n">
        <v>2</v>
      </c>
      <c r="F613" s="1242" t="n">
        <v>5</v>
      </c>
      <c r="G613" s="1128"/>
    </row>
    <row r="614" ht="12.75" customHeight="1">
      <c r="A614" s="1384"/>
      <c r="B614" s="42" t="s">
        <v>2591</v>
      </c>
      <c r="C614" s="42"/>
      <c r="D614" s="1366" t="n">
        <v>3.5</v>
      </c>
      <c r="E614" s="1366" t="n">
        <v>1.2</v>
      </c>
      <c r="F614" s="1366" t="n">
        <v>3.8</v>
      </c>
    </row>
    <row r="615" ht="12.75" customHeight="1">
      <c r="A615" s="1384"/>
      <c r="B615" s="646"/>
      <c r="C615" s="646"/>
      <c r="D615" s="1366"/>
      <c r="E615" s="1366"/>
      <c r="F615" s="1366"/>
    </row>
    <row r="616" ht="12.75" customHeight="1">
      <c r="A616" s="1384"/>
      <c r="B616" s="1189" t="s">
        <v>2560</v>
      </c>
      <c r="C616" s="1189" t="s">
        <v>2592</v>
      </c>
      <c r="D616" s="1189" t="s">
        <v>2532</v>
      </c>
      <c r="E616" s="1189"/>
      <c r="F616" s="1189"/>
    </row>
    <row r="617" ht="15.75" customHeight="1">
      <c r="A617" s="1384"/>
      <c r="B617" s="1189"/>
      <c r="C617" s="1189"/>
      <c r="D617" s="983" t="s">
        <v>406</v>
      </c>
      <c r="E617" s="983" t="s">
        <v>2388</v>
      </c>
      <c r="F617" s="983" t="s">
        <v>2389</v>
      </c>
    </row>
    <row r="618" ht="12.75" customHeight="1">
      <c r="A618" s="1384"/>
      <c r="B618" s="42" t="s">
        <v>2593</v>
      </c>
      <c r="C618" s="42"/>
      <c r="D618" s="1366" t="n">
        <v>3</v>
      </c>
      <c r="E618" s="1366" t="n">
        <v>2</v>
      </c>
      <c r="F618" s="1366" t="n">
        <v>3</v>
      </c>
    </row>
    <row r="619" ht="12.75" customHeight="1">
      <c r="A619" s="1397"/>
    </row>
    <row r="620" ht="12.75" customHeight="1">
      <c r="A620" s="1384" t="s">
        <v>2594</v>
      </c>
      <c r="B620" s="1189" t="s">
        <v>2560</v>
      </c>
      <c r="C620" s="1189" t="s">
        <v>2582</v>
      </c>
      <c r="D620" s="1189" t="s">
        <v>2532</v>
      </c>
      <c r="E620" s="1189"/>
      <c r="F620" s="1189"/>
    </row>
    <row r="621" ht="15.75" customHeight="1">
      <c r="A621" s="1384"/>
      <c r="B621" s="1189"/>
      <c r="C621" s="1189"/>
      <c r="D621" s="983" t="s">
        <v>406</v>
      </c>
      <c r="E621" s="983" t="s">
        <v>2388</v>
      </c>
      <c r="F621" s="983" t="s">
        <v>2389</v>
      </c>
    </row>
    <row r="622" ht="12.75" customHeight="1">
      <c r="A622" s="1384"/>
      <c r="B622" s="1395" t="s">
        <v>2595</v>
      </c>
      <c r="C622" s="1395"/>
      <c r="D622" s="1242" t="n">
        <v>3</v>
      </c>
      <c r="E622" s="1242" t="n">
        <v>2.1</v>
      </c>
      <c r="F622" s="1242" t="n">
        <v>3</v>
      </c>
      <c r="G622" s="1356"/>
    </row>
    <row r="623" ht="12.75" customHeight="1">
      <c r="A623" s="1384"/>
      <c r="B623" s="1395" t="s">
        <v>2596</v>
      </c>
      <c r="C623" s="1395"/>
      <c r="D623" s="1242" t="n">
        <v>4.6</v>
      </c>
      <c r="E623" s="1242" t="n">
        <v>3.8</v>
      </c>
      <c r="F623" s="1242" t="n">
        <v>3</v>
      </c>
      <c r="G623" s="1356"/>
    </row>
    <row r="624" ht="12.75" customHeight="1">
      <c r="A624" s="1384"/>
      <c r="B624" s="1395" t="s">
        <v>2597</v>
      </c>
      <c r="C624" s="1395"/>
      <c r="D624" s="1242" t="n">
        <v>9.6</v>
      </c>
      <c r="E624" s="1242" t="n">
        <v>4.8</v>
      </c>
      <c r="F624" s="1242" t="n">
        <v>5.9</v>
      </c>
      <c r="G624" s="1356"/>
    </row>
    <row r="625" ht="12.75" customHeight="1">
      <c r="A625" s="1384"/>
      <c r="B625" s="1395" t="s">
        <v>2598</v>
      </c>
      <c r="C625" s="1395"/>
      <c r="D625" s="1242" t="n">
        <v>4.3</v>
      </c>
      <c r="E625" s="1242" t="n">
        <v>3.8</v>
      </c>
      <c r="F625" s="1242" t="n">
        <v>2.6</v>
      </c>
      <c r="G625" s="1356"/>
    </row>
    <row r="626" ht="12.75" customHeight="1">
      <c r="A626" s="1384"/>
      <c r="B626" s="1383" t="s">
        <v>2599</v>
      </c>
      <c r="C626" s="1383"/>
      <c r="D626" s="1242" t="n">
        <v>3</v>
      </c>
      <c r="E626" s="1242" t="n">
        <v>0.9</v>
      </c>
      <c r="F626" s="1242" t="n">
        <v>5.7</v>
      </c>
      <c r="G626" s="1356"/>
    </row>
    <row r="627" ht="12.75" customHeight="1">
      <c r="A627" s="1384"/>
      <c r="B627" s="1395" t="s">
        <v>2600</v>
      </c>
      <c r="C627" s="1395"/>
      <c r="D627" s="1242" t="n">
        <v>0.4</v>
      </c>
      <c r="E627" s="1242" t="n">
        <v>0.2</v>
      </c>
      <c r="F627" s="1242" t="n">
        <v>1.5</v>
      </c>
      <c r="G627" s="1356"/>
    </row>
    <row r="629" ht="12.75" customHeight="1">
      <c r="A629" s="1384" t="s">
        <v>2601</v>
      </c>
      <c r="B629" s="1189" t="s">
        <v>2531</v>
      </c>
      <c r="C629" s="1189" t="s">
        <v>2602</v>
      </c>
      <c r="D629" s="1189" t="s">
        <v>2532</v>
      </c>
      <c r="E629" s="1189"/>
      <c r="F629" s="1189"/>
    </row>
    <row r="630" ht="15.75" customHeight="1">
      <c r="A630" s="1384"/>
      <c r="B630" s="1189"/>
      <c r="C630" s="1189"/>
      <c r="D630" s="983" t="s">
        <v>406</v>
      </c>
      <c r="E630" s="983" t="s">
        <v>2388</v>
      </c>
      <c r="F630" s="983" t="s">
        <v>2389</v>
      </c>
    </row>
    <row r="631" ht="12.75" customHeight="1">
      <c r="A631" s="1384"/>
      <c r="B631" s="1395" t="s">
        <v>2603</v>
      </c>
      <c r="C631" s="1395"/>
      <c r="D631" s="1242" t="n">
        <v>6.5</v>
      </c>
      <c r="E631" s="1242" t="n">
        <v>3.5</v>
      </c>
      <c r="F631" s="1242" t="n">
        <v>8.5</v>
      </c>
      <c r="G631" s="1356"/>
    </row>
    <row r="632" ht="12.75" customHeight="1">
      <c r="A632" s="1384"/>
      <c r="B632" s="1395" t="s">
        <v>2604</v>
      </c>
      <c r="C632" s="1395"/>
      <c r="D632" s="1242" t="n">
        <v>6</v>
      </c>
      <c r="E632" s="1242" t="n">
        <v>3</v>
      </c>
      <c r="F632" s="1242" t="n">
        <v>9</v>
      </c>
      <c r="G632" s="1356"/>
    </row>
    <row r="633" ht="12.75" customHeight="1">
      <c r="A633" s="1384"/>
      <c r="B633" s="1395" t="s">
        <v>2605</v>
      </c>
      <c r="C633" s="1395"/>
      <c r="D633" s="1242" t="n">
        <v>9</v>
      </c>
      <c r="E633" s="1242" t="n">
        <v>5.5</v>
      </c>
      <c r="F633" s="1242" t="n">
        <v>12</v>
      </c>
      <c r="G633" s="1356"/>
    </row>
    <row r="634" ht="12.75" customHeight="1">
      <c r="A634" s="1384"/>
      <c r="B634" s="1395" t="s">
        <v>2606</v>
      </c>
      <c r="C634" s="1395"/>
      <c r="D634" s="1242" t="n">
        <v>26</v>
      </c>
      <c r="E634" s="1242" t="n">
        <v>22.5</v>
      </c>
      <c r="F634" s="1242" t="n">
        <v>22.5</v>
      </c>
      <c r="G634" s="1356"/>
    </row>
    <row r="635" ht="12.75" customHeight="1">
      <c r="A635" s="1384"/>
      <c r="B635" s="1395" t="s">
        <v>2607</v>
      </c>
      <c r="C635" s="1395"/>
      <c r="D635" s="1242" t="n">
        <v>8.2</v>
      </c>
      <c r="E635" s="1242" t="n">
        <v>3.2</v>
      </c>
      <c r="F635" s="1242" t="n">
        <v>9</v>
      </c>
      <c r="G635" s="1356"/>
    </row>
    <row r="636" ht="12.75" customHeight="1">
      <c r="A636" s="1384"/>
      <c r="B636" s="1383" t="s">
        <v>2608</v>
      </c>
      <c r="C636" s="1383"/>
      <c r="D636" s="1242" t="n">
        <v>8</v>
      </c>
      <c r="E636" s="1242" t="n">
        <v>8</v>
      </c>
      <c r="F636" s="1242" t="n">
        <v>11</v>
      </c>
      <c r="G636" s="1356"/>
    </row>
    <row r="637" ht="12.75" customHeight="1">
      <c r="A637" s="1384"/>
      <c r="B637" s="646"/>
      <c r="C637" s="646"/>
      <c r="D637" s="646"/>
      <c r="E637" s="646"/>
      <c r="F637" s="646"/>
    </row>
    <row r="638" ht="12.75" customHeight="1">
      <c r="A638" s="1384"/>
      <c r="B638" s="1189" t="s">
        <v>2560</v>
      </c>
      <c r="C638" s="1189" t="s">
        <v>2609</v>
      </c>
      <c r="D638" s="1189" t="s">
        <v>2532</v>
      </c>
      <c r="E638" s="1189"/>
      <c r="F638" s="1189"/>
    </row>
    <row r="639" ht="15.75" customHeight="1">
      <c r="A639" s="1384"/>
      <c r="B639" s="1189"/>
      <c r="C639" s="1189"/>
      <c r="D639" s="983" t="s">
        <v>406</v>
      </c>
      <c r="E639" s="983" t="s">
        <v>2388</v>
      </c>
      <c r="F639" s="983" t="s">
        <v>2389</v>
      </c>
    </row>
    <row r="640" ht="12.75" customHeight="1">
      <c r="A640" s="1384"/>
      <c r="B640" s="1395" t="s">
        <v>2608</v>
      </c>
      <c r="C640" s="1395"/>
      <c r="D640" s="1242" t="n">
        <v>3</v>
      </c>
      <c r="E640" s="1242" t="n">
        <v>1.5</v>
      </c>
      <c r="F640" s="1242" t="n">
        <v>2</v>
      </c>
      <c r="G640" s="1356"/>
    </row>
    <row r="641" ht="12.75" customHeight="1">
      <c r="A641" s="1384"/>
      <c r="B641" s="1395" t="s">
        <v>2610</v>
      </c>
      <c r="C641" s="1395"/>
      <c r="D641" s="1242" t="n">
        <v>3.5</v>
      </c>
      <c r="E641" s="1242" t="n">
        <v>2</v>
      </c>
      <c r="F641" s="1242" t="n">
        <v>4</v>
      </c>
      <c r="G641" s="1356"/>
    </row>
    <row r="642" ht="12.75" customHeight="1">
      <c r="A642" s="1384"/>
      <c r="B642" s="1356"/>
      <c r="C642" s="1356"/>
      <c r="D642" s="1242"/>
      <c r="E642" s="1242"/>
      <c r="F642" s="1242"/>
      <c r="G642" s="1356"/>
    </row>
    <row r="643" ht="12.75" customHeight="1">
      <c r="A643" s="1384"/>
      <c r="B643" s="1189" t="s">
        <v>2560</v>
      </c>
      <c r="C643" s="1189" t="s">
        <v>2611</v>
      </c>
      <c r="D643" s="1189" t="s">
        <v>2532</v>
      </c>
      <c r="E643" s="1189"/>
      <c r="F643" s="1189"/>
      <c r="G643" s="1356"/>
    </row>
    <row r="644" ht="15.75" customHeight="1">
      <c r="A644" s="1384"/>
      <c r="B644" s="1189"/>
      <c r="C644" s="1189"/>
      <c r="D644" s="983" t="s">
        <v>406</v>
      </c>
      <c r="E644" s="983" t="s">
        <v>2388</v>
      </c>
      <c r="F644" s="983" t="s">
        <v>2389</v>
      </c>
      <c r="G644" s="1356"/>
    </row>
    <row r="645" ht="12.75" customHeight="1">
      <c r="A645" s="1384"/>
      <c r="B645" s="1395" t="s">
        <v>2610</v>
      </c>
      <c r="C645" s="1395"/>
      <c r="D645" s="1242" t="n">
        <v>0.8</v>
      </c>
      <c r="E645" s="1242" t="n">
        <v>0.3</v>
      </c>
      <c r="F645" s="1242" t="n">
        <v>2.2</v>
      </c>
      <c r="G645" s="1356"/>
    </row>
    <row r="647" ht="12.75" customHeight="1">
      <c r="A647" s="1384" t="s">
        <v>2612</v>
      </c>
      <c r="B647" s="1189" t="s">
        <v>2531</v>
      </c>
      <c r="C647" s="1189" t="s">
        <v>2613</v>
      </c>
      <c r="D647" s="1189" t="s">
        <v>2532</v>
      </c>
      <c r="E647" s="1189"/>
      <c r="F647" s="1189"/>
    </row>
    <row r="648" ht="15.75" customHeight="1">
      <c r="A648" s="1384"/>
      <c r="B648" s="1189"/>
      <c r="C648" s="1189"/>
      <c r="D648" s="983" t="s">
        <v>406</v>
      </c>
      <c r="E648" s="983" t="s">
        <v>2388</v>
      </c>
      <c r="F648" s="983" t="s">
        <v>2389</v>
      </c>
    </row>
    <row r="649" ht="12.75" customHeight="1">
      <c r="A649" s="1384"/>
      <c r="B649" s="1395" t="s">
        <v>2614</v>
      </c>
      <c r="C649" s="1395"/>
      <c r="D649" s="1398" t="s">
        <v>2615</v>
      </c>
      <c r="E649" s="1398" t="s">
        <v>2616</v>
      </c>
      <c r="F649" s="1398" t="s">
        <v>2617</v>
      </c>
      <c r="G649" s="1356"/>
    </row>
    <row r="650" ht="12.75" customHeight="1">
      <c r="A650" s="1384"/>
      <c r="B650" s="1395" t="s">
        <v>2618</v>
      </c>
      <c r="C650" s="1395"/>
      <c r="D650" s="1398" t="s">
        <v>2619</v>
      </c>
      <c r="E650" s="1398" t="s">
        <v>2620</v>
      </c>
      <c r="F650" s="1398" t="s">
        <v>2621</v>
      </c>
      <c r="G650" s="1356"/>
    </row>
    <row r="651" ht="12.75" customHeight="1">
      <c r="A651" s="1384"/>
      <c r="B651" s="1395" t="s">
        <v>2622</v>
      </c>
      <c r="C651" s="1395"/>
      <c r="D651" s="1398" t="s">
        <v>2623</v>
      </c>
      <c r="E651" s="1398" t="s">
        <v>2624</v>
      </c>
      <c r="F651" s="1398" t="s">
        <v>2625</v>
      </c>
      <c r="G651" s="1356"/>
    </row>
    <row r="652" ht="12.75" customHeight="1">
      <c r="A652" s="1384"/>
      <c r="B652" s="1395" t="s">
        <v>2626</v>
      </c>
      <c r="C652" s="1395"/>
      <c r="D652" s="1398" t="s">
        <v>2620</v>
      </c>
      <c r="E652" s="1398" t="s">
        <v>2627</v>
      </c>
      <c r="F652" s="1398" t="s">
        <v>2628</v>
      </c>
      <c r="G652" s="1356"/>
    </row>
    <row r="653" ht="12.75" customHeight="1">
      <c r="A653" s="1384"/>
      <c r="B653" s="1395" t="s">
        <v>2629</v>
      </c>
      <c r="C653" s="1395"/>
      <c r="D653" s="1398" t="s">
        <v>2630</v>
      </c>
      <c r="E653" s="1398" t="s">
        <v>2631</v>
      </c>
      <c r="F653" s="1398" t="s">
        <v>2632</v>
      </c>
      <c r="G653" s="1356"/>
    </row>
    <row r="654" ht="12.75" customHeight="1">
      <c r="A654" s="646"/>
      <c r="D654" s="1192"/>
    </row>
    <row r="675" ht="12.75" customHeight="1">
      <c r="P675" t="s">
        <v>2633</v>
      </c>
    </row>
    <row r="680" ht="12.75" customHeight="1">
      <c r="A680" s="646"/>
      <c r="D680" s="1192"/>
    </row>
    <row r="681" ht="12.75" customHeight="1">
      <c r="A681" s="646"/>
      <c r="D681" s="1192"/>
    </row>
    <row r="682" ht="15" customHeight="1">
      <c r="A682" s="1290" t="s">
        <v>2634</v>
      </c>
      <c r="D682" s="1192"/>
    </row>
    <row r="683" ht="12.75" customHeight="1">
      <c r="A683" s="646"/>
      <c r="D683" s="1192"/>
    </row>
    <row r="684" ht="12.75" customHeight="1">
      <c r="A684" s="646"/>
      <c r="C684" s="42" t="s">
        <v>2635</v>
      </c>
      <c r="D684" s="983" t="s">
        <v>406</v>
      </c>
      <c r="E684" s="983" t="s">
        <v>407</v>
      </c>
      <c r="F684" s="983" t="s">
        <v>408</v>
      </c>
    </row>
    <row r="685" ht="12.75" customHeight="1">
      <c r="A685" s="646"/>
      <c r="C685" s="42" t="s">
        <v>192</v>
      </c>
      <c r="D685" s="1192" t="n">
        <v>12.5</v>
      </c>
      <c r="E685" s="1366" t="n">
        <f aca="false">H685/0.437</f>
        <v>5.49199084668192</v>
      </c>
      <c r="F685" s="1366" t="n">
        <f aca="false">I685/0.83</f>
        <v>12.5301204819277</v>
      </c>
      <c r="H685" t="n">
        <v>2.4</v>
      </c>
      <c r="I685" t="n">
        <v>10.4</v>
      </c>
    </row>
    <row r="686" ht="12.75" customHeight="1">
      <c r="A686" s="646"/>
      <c r="C686" s="42" t="s">
        <v>194</v>
      </c>
      <c r="D686" s="1192" t="n">
        <v>20</v>
      </c>
      <c r="E686" s="1366" t="n">
        <f aca="false">H686/0.437</f>
        <v>5.94965675057208</v>
      </c>
      <c r="F686" s="1366" t="n">
        <f aca="false">I686/0.83</f>
        <v>24.9397590361446</v>
      </c>
      <c r="H686" t="n">
        <v>2.6</v>
      </c>
      <c r="I686" t="n">
        <v>20.7</v>
      </c>
    </row>
    <row r="687" ht="12.75" customHeight="1">
      <c r="A687" s="646"/>
      <c r="C687" s="42" t="s">
        <v>196</v>
      </c>
      <c r="D687" s="1192" t="n">
        <v>15</v>
      </c>
      <c r="E687" s="1366" t="n">
        <f aca="false">H687/0.437</f>
        <v>5.94965675057208</v>
      </c>
      <c r="F687" s="1366" t="n">
        <f aca="false">I687/0.83</f>
        <v>22.0481927710843</v>
      </c>
      <c r="H687" t="n">
        <v>2.6</v>
      </c>
      <c r="I687" t="n">
        <v>18.3</v>
      </c>
    </row>
    <row r="688" ht="12.75" customHeight="1">
      <c r="A688" s="646"/>
      <c r="C688" s="42" t="s">
        <v>198</v>
      </c>
      <c r="D688" s="1192" t="n">
        <v>28</v>
      </c>
      <c r="E688" s="1366" t="n">
        <f aca="false">H688/0.437</f>
        <v>5.94965675057208</v>
      </c>
      <c r="F688" s="1366" t="n">
        <f aca="false">I688/0.83</f>
        <v>24.9397590361446</v>
      </c>
      <c r="H688" t="n">
        <v>2.6</v>
      </c>
      <c r="I688" t="n">
        <v>20.7</v>
      </c>
    </row>
    <row r="689" ht="12.75" customHeight="1">
      <c r="A689" s="646"/>
      <c r="C689" s="42" t="s">
        <v>200</v>
      </c>
      <c r="D689" s="1192" t="n">
        <v>25</v>
      </c>
      <c r="E689" s="1366" t="n">
        <v>8</v>
      </c>
      <c r="F689" s="1366" t="n">
        <f aca="false">I689/0.83</f>
        <v>33.0120481927711</v>
      </c>
      <c r="H689" t="n">
        <v>3.5</v>
      </c>
      <c r="I689" t="n">
        <v>27.4</v>
      </c>
    </row>
    <row r="690" ht="12.75" customHeight="1">
      <c r="A690" s="646"/>
      <c r="C690" s="42" t="s">
        <v>202</v>
      </c>
      <c r="D690" s="1192" t="n">
        <v>15</v>
      </c>
      <c r="E690" s="1366" t="n">
        <f aca="false">H690/0.437</f>
        <v>5.94965675057208</v>
      </c>
      <c r="F690" s="1366" t="n">
        <f aca="false">I690/0.83</f>
        <v>20</v>
      </c>
      <c r="H690" t="n">
        <v>2.6</v>
      </c>
      <c r="I690" t="n">
        <v>16.6</v>
      </c>
    </row>
    <row r="691" ht="12.75" customHeight="1">
      <c r="A691" s="646"/>
      <c r="C691" s="42" t="s">
        <v>204</v>
      </c>
      <c r="D691" s="1192" t="n">
        <v>35</v>
      </c>
      <c r="E691" s="1366" t="n">
        <f aca="false">H691/0.437</f>
        <v>8.0091533180778</v>
      </c>
      <c r="F691" s="1366" t="n">
        <f aca="false">I691/0.83</f>
        <v>40</v>
      </c>
      <c r="H691" t="n">
        <v>3.5</v>
      </c>
      <c r="I691" t="n">
        <v>33.2</v>
      </c>
    </row>
    <row r="692" ht="12.75" customHeight="1">
      <c r="A692" s="646"/>
      <c r="C692" s="42" t="s">
        <v>206</v>
      </c>
      <c r="D692" s="1192" t="n">
        <v>16</v>
      </c>
      <c r="E692" s="1366" t="n">
        <f aca="false">H692/0.437</f>
        <v>3.4324942791762</v>
      </c>
      <c r="F692" s="1366" t="n">
        <f aca="false">I692/0.83</f>
        <v>34.9397590361446</v>
      </c>
      <c r="H692" t="n">
        <v>1.5</v>
      </c>
      <c r="I692" t="n">
        <v>29</v>
      </c>
    </row>
    <row r="693" ht="12.75" customHeight="1">
      <c r="A693" s="646"/>
      <c r="C693" s="42" t="s">
        <v>208</v>
      </c>
      <c r="D693" s="1192" t="n">
        <v>16</v>
      </c>
      <c r="E693" s="1366" t="n">
        <f aca="false">H693/0.437</f>
        <v>2.2883295194508</v>
      </c>
      <c r="F693" s="1366" t="n">
        <f aca="false">I693/0.83</f>
        <v>7.46987951807229</v>
      </c>
      <c r="H693" t="n">
        <v>1</v>
      </c>
      <c r="I693" t="n">
        <v>6.2</v>
      </c>
    </row>
    <row r="694" ht="12.75" customHeight="1">
      <c r="A694" s="646"/>
      <c r="C694" s="42" t="s">
        <v>2636</v>
      </c>
      <c r="D694" s="1192" t="n">
        <v>16</v>
      </c>
      <c r="E694" s="1366" t="n">
        <f aca="false">H694/0.437</f>
        <v>2.2883295194508</v>
      </c>
      <c r="F694" s="1366" t="n">
        <f aca="false">I694/0.83</f>
        <v>7.46987951807229</v>
      </c>
      <c r="H694" t="n">
        <v>1</v>
      </c>
      <c r="I694" t="n">
        <v>6.2</v>
      </c>
    </row>
    <row r="695" ht="12.75" customHeight="1">
      <c r="A695" s="646"/>
      <c r="C695" s="42" t="s">
        <v>210</v>
      </c>
      <c r="D695" s="1192" t="n">
        <v>23.3</v>
      </c>
      <c r="E695" s="1366" t="n">
        <f aca="false">H695/0.437</f>
        <v>1.1441647597254</v>
      </c>
      <c r="F695" s="1366" t="n">
        <f aca="false">I695/0.83</f>
        <v>47.9518072289157</v>
      </c>
      <c r="H695" t="n">
        <v>0.5</v>
      </c>
      <c r="I695" t="n">
        <v>39.8</v>
      </c>
    </row>
    <row r="696" ht="12.75" customHeight="1">
      <c r="A696" s="646"/>
      <c r="C696" s="42" t="s">
        <v>212</v>
      </c>
      <c r="D696" s="1192" t="n">
        <v>48</v>
      </c>
      <c r="E696" s="1366" t="n">
        <f aca="false">H696/0.437</f>
        <v>13.0434782608696</v>
      </c>
      <c r="F696" s="1366" t="n">
        <f aca="false">I696/0.83</f>
        <v>0.963855421686747</v>
      </c>
      <c r="H696" t="n">
        <v>5.7</v>
      </c>
      <c r="I696" t="n">
        <v>0.8</v>
      </c>
    </row>
    <row r="697" ht="12.75" customHeight="1">
      <c r="A697" s="646"/>
      <c r="C697" s="42" t="s">
        <v>2637</v>
      </c>
      <c r="D697" s="1192" t="n">
        <v>26</v>
      </c>
      <c r="E697" s="1366" t="n">
        <f aca="false">H697/0.437</f>
        <v>6.17848970251716</v>
      </c>
      <c r="F697" s="1366" t="n">
        <f aca="false">I697/0.83</f>
        <v>18.0722891566265</v>
      </c>
      <c r="H697" t="n">
        <v>2.7</v>
      </c>
      <c r="I697" t="n">
        <v>15</v>
      </c>
    </row>
    <row r="698" ht="12.75" customHeight="1">
      <c r="A698" s="646"/>
      <c r="C698" s="42" t="s">
        <v>316</v>
      </c>
      <c r="D698" s="1192" t="n">
        <v>16</v>
      </c>
      <c r="E698" s="1366" t="n">
        <f aca="false">H698/0.437</f>
        <v>2.51716247139588</v>
      </c>
      <c r="F698" s="1366" t="n">
        <f aca="false">I698/0.83</f>
        <v>12.0481927710843</v>
      </c>
      <c r="H698" t="n">
        <v>1.1</v>
      </c>
      <c r="I698" t="n">
        <v>10</v>
      </c>
    </row>
    <row r="699" ht="12.75" customHeight="1">
      <c r="A699" s="646"/>
      <c r="C699" s="42" t="s">
        <v>2638</v>
      </c>
      <c r="D699" s="1192" t="n">
        <v>6</v>
      </c>
      <c r="E699" s="1366" t="n">
        <f aca="false">H699/0.437</f>
        <v>2.51716247139588</v>
      </c>
      <c r="F699" s="1366" t="n">
        <f aca="false">I699/0.83</f>
        <v>12.0481927710843</v>
      </c>
      <c r="H699" t="n">
        <v>1.1</v>
      </c>
      <c r="I699" t="n">
        <v>10</v>
      </c>
    </row>
    <row r="700" ht="12.75" customHeight="1">
      <c r="A700" s="646"/>
      <c r="C700" s="42" t="s">
        <v>218</v>
      </c>
      <c r="D700" s="1192" t="n">
        <v>14</v>
      </c>
      <c r="E700" s="1366" t="n">
        <f aca="false">H700/0.437</f>
        <v>2.97482837528604</v>
      </c>
      <c r="F700" s="1366" t="n">
        <f aca="false">I700/0.83</f>
        <v>24.9397590361446</v>
      </c>
      <c r="H700" t="n">
        <v>1.3</v>
      </c>
      <c r="I700" t="n">
        <v>20.7</v>
      </c>
    </row>
    <row r="701" ht="12.75" customHeight="1">
      <c r="A701" s="646"/>
      <c r="D701" s="1192"/>
      <c r="E701" s="1192"/>
      <c r="F701" s="1192"/>
    </row>
    <row r="702" ht="15" customHeight="1">
      <c r="A702" s="1290" t="s">
        <v>2639</v>
      </c>
      <c r="D702" s="1192"/>
    </row>
    <row r="703" ht="12.75" customHeight="1">
      <c r="A703" s="646"/>
      <c r="D703" s="1192"/>
    </row>
    <row r="704" ht="12.75" customHeight="1">
      <c r="A704" s="646"/>
      <c r="C704" s="42" t="s">
        <v>2640</v>
      </c>
      <c r="D704" s="983" t="s">
        <v>406</v>
      </c>
      <c r="E704" s="983" t="s">
        <v>407</v>
      </c>
      <c r="F704" s="983" t="s">
        <v>408</v>
      </c>
    </row>
    <row r="705" ht="12.75" customHeight="1">
      <c r="A705" s="646"/>
      <c r="B705" s="1384" t="s">
        <v>2641</v>
      </c>
      <c r="C705" s="42" t="s">
        <v>343</v>
      </c>
      <c r="D705" s="1192" t="n">
        <v>15.5</v>
      </c>
      <c r="E705" s="1366" t="n">
        <f aca="false">H705/0.437</f>
        <v>8.0091533180778</v>
      </c>
      <c r="F705" s="1366" t="n">
        <f aca="false">I705/0.83</f>
        <v>5.18072289156626</v>
      </c>
      <c r="H705" t="n">
        <v>3.5</v>
      </c>
      <c r="I705" t="n">
        <v>4.3</v>
      </c>
    </row>
    <row r="706" ht="12.75" customHeight="1">
      <c r="A706" s="646"/>
      <c r="B706" s="1384"/>
      <c r="C706" s="42" t="s">
        <v>2642</v>
      </c>
      <c r="D706" s="1192" t="n">
        <v>13</v>
      </c>
      <c r="E706" s="1366" t="n">
        <f aca="false">H706/0.437</f>
        <v>8.0091533180778</v>
      </c>
      <c r="F706" s="1366" t="n">
        <f aca="false">I706/0.83</f>
        <v>6.98795180722891</v>
      </c>
      <c r="H706" t="n">
        <v>3.5</v>
      </c>
      <c r="I706" t="n">
        <v>5.8</v>
      </c>
    </row>
    <row r="707" ht="12.75" customHeight="1">
      <c r="A707" s="646"/>
      <c r="B707" s="1384"/>
      <c r="C707" s="42" t="s">
        <v>346</v>
      </c>
      <c r="D707" s="1192" t="n">
        <v>13</v>
      </c>
      <c r="E707" s="1366" t="n">
        <f aca="false">H707/0.437</f>
        <v>6.8649885583524</v>
      </c>
      <c r="F707" s="1366" t="n">
        <f aca="false">I707/0.83</f>
        <v>4.33734939759036</v>
      </c>
      <c r="H707" t="n">
        <v>3</v>
      </c>
      <c r="I707" t="n">
        <v>3.6</v>
      </c>
    </row>
    <row r="708" ht="12.75" customHeight="1">
      <c r="A708" s="646"/>
      <c r="B708" s="1384"/>
      <c r="C708" s="42" t="s">
        <v>2643</v>
      </c>
      <c r="D708" s="1192" t="n">
        <v>73</v>
      </c>
      <c r="E708" s="1366" t="n">
        <f aca="false">H708/0.437</f>
        <v>16.0183066361556</v>
      </c>
      <c r="F708" s="1366" t="n">
        <f aca="false">I708/0.83</f>
        <v>20.9638554216867</v>
      </c>
      <c r="H708" t="n">
        <v>7</v>
      </c>
      <c r="I708" t="n">
        <v>17.4</v>
      </c>
    </row>
    <row r="709" ht="12.75" customHeight="1">
      <c r="A709" s="646"/>
      <c r="B709" s="1384"/>
      <c r="C709" s="42" t="s">
        <v>2644</v>
      </c>
      <c r="D709" s="1192" t="n">
        <v>71</v>
      </c>
      <c r="E709" s="1366" t="n">
        <v>8</v>
      </c>
      <c r="F709" s="1366" t="n">
        <f aca="false">I709/0.83</f>
        <v>20.9638554216867</v>
      </c>
      <c r="H709" t="n">
        <v>7</v>
      </c>
      <c r="I709" t="n">
        <v>17.4</v>
      </c>
    </row>
    <row r="710" ht="12.75" customHeight="1">
      <c r="A710" s="646"/>
      <c r="B710" s="1384"/>
      <c r="C710" s="42" t="s">
        <v>2645</v>
      </c>
      <c r="D710" s="1192" t="n">
        <v>68</v>
      </c>
      <c r="E710" s="1366" t="n">
        <f aca="false">H710/0.437</f>
        <v>13.9588100686499</v>
      </c>
      <c r="F710" s="1366" t="n">
        <f aca="false">I710/0.83</f>
        <v>20.9638554216867</v>
      </c>
      <c r="H710" t="n">
        <v>6.1</v>
      </c>
      <c r="I710" t="n">
        <v>17.4</v>
      </c>
    </row>
    <row r="711" ht="12.75" customHeight="1">
      <c r="A711" s="646"/>
      <c r="B711" s="1384"/>
      <c r="C711" s="42" t="s">
        <v>2646</v>
      </c>
      <c r="D711" s="1192" t="n">
        <v>56</v>
      </c>
      <c r="E711" s="1366" t="n">
        <f aca="false">H711/0.437</f>
        <v>25.1716247139588</v>
      </c>
      <c r="F711" s="1366" t="n">
        <f aca="false">I711/0.83</f>
        <v>13.0120481927711</v>
      </c>
      <c r="H711" t="n">
        <v>11</v>
      </c>
      <c r="I711" t="n">
        <v>10.8</v>
      </c>
    </row>
    <row r="712" ht="12.75" customHeight="1">
      <c r="A712" s="646"/>
      <c r="B712" s="1384"/>
      <c r="C712" s="42" t="s">
        <v>1871</v>
      </c>
      <c r="D712" s="1192" t="n">
        <v>32.5</v>
      </c>
      <c r="E712" s="1366" t="n">
        <f aca="false">H712/0.437</f>
        <v>8.69565217391304</v>
      </c>
      <c r="F712" s="1366" t="n">
        <f aca="false">I712/0.83</f>
        <v>11.2048192771084</v>
      </c>
      <c r="H712" t="n">
        <v>3.8</v>
      </c>
      <c r="I712" t="n">
        <v>9.3</v>
      </c>
    </row>
    <row r="713" ht="12.75" customHeight="1">
      <c r="A713" s="646"/>
      <c r="B713" s="1384"/>
      <c r="C713" s="42" t="s">
        <v>2647</v>
      </c>
      <c r="D713" s="1192" t="n">
        <v>55.5</v>
      </c>
      <c r="E713" s="1366" t="n">
        <f aca="false">H713/0.437</f>
        <v>8.92448512585812</v>
      </c>
      <c r="F713" s="1366" t="n">
        <f aca="false">I713/0.83</f>
        <v>16.9879518072289</v>
      </c>
      <c r="H713" t="n">
        <v>3.9</v>
      </c>
      <c r="I713" t="n">
        <v>14.1</v>
      </c>
    </row>
    <row r="714" ht="12.75" customHeight="1">
      <c r="A714" s="646"/>
      <c r="B714" s="1384"/>
      <c r="C714" s="42" t="s">
        <v>217</v>
      </c>
      <c r="D714" s="1192" t="n">
        <v>16</v>
      </c>
      <c r="E714" s="1366" t="n">
        <f aca="false">H714/0.437</f>
        <v>2.2883295194508</v>
      </c>
      <c r="F714" s="1366" t="n">
        <f aca="false">I714/0.83</f>
        <v>7.46987951807229</v>
      </c>
      <c r="H714" t="n">
        <v>1</v>
      </c>
      <c r="I714" t="n">
        <v>6.2</v>
      </c>
    </row>
    <row r="715" ht="12.75" customHeight="1">
      <c r="A715" s="646"/>
      <c r="B715" s="1384"/>
      <c r="C715" s="42" t="s">
        <v>2648</v>
      </c>
      <c r="D715" s="1192" t="n">
        <v>25.6</v>
      </c>
      <c r="E715" s="1366" t="n">
        <f aca="false">H715/0.437</f>
        <v>6.17848970251716</v>
      </c>
      <c r="F715" s="1366" t="n">
        <f aca="false">I715/0.83</f>
        <v>18.0722891566265</v>
      </c>
      <c r="H715" t="n">
        <v>2.7</v>
      </c>
      <c r="I715" t="n">
        <v>15</v>
      </c>
    </row>
    <row r="716" ht="12.75" customHeight="1">
      <c r="A716" s="646"/>
      <c r="B716" s="1384"/>
      <c r="C716" s="42" t="s">
        <v>2649</v>
      </c>
      <c r="D716" s="1192" t="n">
        <v>28.8</v>
      </c>
      <c r="E716" s="1366" t="n">
        <f aca="false">H716/0.437</f>
        <v>6.17848970251716</v>
      </c>
      <c r="F716" s="1366" t="n">
        <f aca="false">I716/0.83</f>
        <v>18.0722891566265</v>
      </c>
      <c r="H716" t="n">
        <v>2.7</v>
      </c>
      <c r="I716" t="n">
        <v>15</v>
      </c>
    </row>
    <row r="717" ht="12.75" customHeight="1">
      <c r="A717" s="646"/>
      <c r="B717" s="1384"/>
      <c r="C717" s="42" t="s">
        <v>2650</v>
      </c>
      <c r="D717" s="1192" t="n">
        <v>32</v>
      </c>
      <c r="E717" s="1366" t="n">
        <f aca="false">H717/0.437</f>
        <v>6.17848970251716</v>
      </c>
      <c r="F717" s="1366" t="n">
        <f aca="false">I717/0.83</f>
        <v>18.0722891566265</v>
      </c>
      <c r="H717" t="n">
        <v>2.7</v>
      </c>
      <c r="I717" t="n">
        <v>15</v>
      </c>
    </row>
    <row r="718" ht="12.75" customHeight="1">
      <c r="A718" s="646"/>
      <c r="B718" s="1384"/>
      <c r="C718" s="42" t="s">
        <v>2651</v>
      </c>
      <c r="D718" s="1192" t="n">
        <v>35.2</v>
      </c>
      <c r="E718" s="1366" t="n">
        <f aca="false">H718/0.437</f>
        <v>6.17848970251716</v>
      </c>
      <c r="F718" s="1366" t="n">
        <f aca="false">I718/0.83</f>
        <v>18.0722891566265</v>
      </c>
      <c r="H718" t="n">
        <v>2.7</v>
      </c>
      <c r="I718" t="n">
        <v>15</v>
      </c>
    </row>
    <row r="719" ht="12.75" customHeight="1">
      <c r="A719" s="646"/>
      <c r="D719" s="1192"/>
    </row>
    <row r="720" ht="12.75" customHeight="1">
      <c r="A720" s="646"/>
      <c r="C720" s="42" t="s">
        <v>2640</v>
      </c>
      <c r="D720" s="983" t="s">
        <v>406</v>
      </c>
      <c r="E720" s="983" t="s">
        <v>407</v>
      </c>
      <c r="F720" s="983" t="s">
        <v>408</v>
      </c>
    </row>
    <row r="721" ht="12.75" customHeight="1">
      <c r="A721" s="646"/>
      <c r="B721" s="1384" t="s">
        <v>2652</v>
      </c>
      <c r="C721" s="42" t="s">
        <v>220</v>
      </c>
      <c r="D721" s="1192" t="n">
        <v>19.2</v>
      </c>
      <c r="E721" s="1366" t="n">
        <f aca="false">H721/0.437</f>
        <v>8.92448512585812</v>
      </c>
      <c r="F721" s="1366" t="n">
        <f aca="false">I721/0.83</f>
        <v>6.02409638554217</v>
      </c>
      <c r="H721" t="n">
        <v>3.9</v>
      </c>
      <c r="I721" t="n">
        <v>5</v>
      </c>
    </row>
    <row r="722" ht="12.75" customHeight="1">
      <c r="A722" s="646"/>
      <c r="B722" s="1384"/>
      <c r="C722" s="42" t="s">
        <v>221</v>
      </c>
      <c r="D722" s="1192" t="n">
        <v>22.4</v>
      </c>
      <c r="E722" s="1366" t="n">
        <f aca="false">H722/0.437</f>
        <v>8.92448512585812</v>
      </c>
      <c r="F722" s="1366" t="n">
        <f aca="false">I722/0.83</f>
        <v>6.98795180722891</v>
      </c>
      <c r="H722" t="n">
        <v>3.9</v>
      </c>
      <c r="I722" t="n">
        <v>5.8</v>
      </c>
    </row>
    <row r="723" ht="12.75" customHeight="1">
      <c r="A723" s="646"/>
      <c r="B723" s="1384"/>
      <c r="C723" s="42" t="s">
        <v>222</v>
      </c>
      <c r="D723" s="1192" t="n">
        <v>29</v>
      </c>
      <c r="E723" s="1366" t="n">
        <f aca="false">H723/0.437</f>
        <v>10.0686498855835</v>
      </c>
      <c r="F723" s="1366" t="n">
        <f aca="false">I723/0.83</f>
        <v>9.03614457831325</v>
      </c>
      <c r="H723" t="n">
        <v>4.4</v>
      </c>
      <c r="I723" t="n">
        <v>7.5</v>
      </c>
    </row>
    <row r="724" ht="12.75" customHeight="1">
      <c r="A724" s="646"/>
      <c r="B724" s="1384"/>
      <c r="C724" s="42" t="s">
        <v>223</v>
      </c>
      <c r="D724" s="1192" t="n">
        <v>35</v>
      </c>
      <c r="E724" s="1366" t="n">
        <f aca="false">H724/0.437</f>
        <v>10.9839816933638</v>
      </c>
      <c r="F724" s="1366" t="n">
        <f aca="false">I724/0.83</f>
        <v>11.0843373493976</v>
      </c>
      <c r="H724" t="n">
        <v>4.8</v>
      </c>
      <c r="I724" t="n">
        <v>9.2</v>
      </c>
    </row>
    <row r="725" ht="12.75" customHeight="1">
      <c r="A725" s="646"/>
      <c r="B725" s="1384"/>
      <c r="C725" s="42" t="s">
        <v>224</v>
      </c>
      <c r="D725" s="1192" t="n">
        <v>42</v>
      </c>
      <c r="E725" s="1366" t="n">
        <v>8</v>
      </c>
      <c r="F725" s="1366" t="n">
        <f aca="false">I725/0.83</f>
        <v>12.0481927710843</v>
      </c>
      <c r="H725" t="n">
        <v>5.2</v>
      </c>
      <c r="I725" t="n">
        <v>10</v>
      </c>
    </row>
    <row r="726" ht="12.75" customHeight="1">
      <c r="A726" s="646"/>
      <c r="B726" s="1384"/>
      <c r="C726" s="42" t="s">
        <v>225</v>
      </c>
      <c r="D726" s="1192" t="n">
        <v>48</v>
      </c>
      <c r="E726" s="1366" t="n">
        <f aca="false">H726/0.437</f>
        <v>13.0434782608696</v>
      </c>
      <c r="F726" s="1366" t="n">
        <f aca="false">I726/0.83</f>
        <v>14.0963855421687</v>
      </c>
      <c r="H726" t="n">
        <v>5.7</v>
      </c>
      <c r="I726" t="n">
        <v>11.7</v>
      </c>
    </row>
    <row r="727" ht="12.75" customHeight="1">
      <c r="A727" s="646"/>
      <c r="B727" s="1384"/>
      <c r="C727" s="42" t="s">
        <v>228</v>
      </c>
      <c r="D727" s="1192" t="n">
        <v>58</v>
      </c>
      <c r="E727" s="1366" t="n">
        <f aca="false">H727/0.437</f>
        <v>13.9588100686499</v>
      </c>
      <c r="F727" s="1366" t="n">
        <f aca="false">I727/0.83</f>
        <v>17.1084337349398</v>
      </c>
      <c r="H727" t="n">
        <v>6.1</v>
      </c>
      <c r="I727" t="n">
        <v>14.2</v>
      </c>
    </row>
    <row r="728" ht="12.75" customHeight="1">
      <c r="A728" s="646"/>
      <c r="B728" s="1384"/>
      <c r="C728" s="42" t="s">
        <v>231</v>
      </c>
      <c r="D728" s="1192" t="n">
        <v>64</v>
      </c>
      <c r="E728" s="1366" t="n">
        <f aca="false">H728/0.437</f>
        <v>14.8741418764302</v>
      </c>
      <c r="F728" s="1366" t="n">
        <f aca="false">I728/0.83</f>
        <v>19.2771084337349</v>
      </c>
      <c r="H728" t="n">
        <v>6.5</v>
      </c>
      <c r="I728" t="n">
        <v>16</v>
      </c>
    </row>
    <row r="729" ht="12.75" customHeight="1">
      <c r="A729" s="646"/>
      <c r="B729" s="1384"/>
      <c r="C729" s="42" t="s">
        <v>233</v>
      </c>
      <c r="D729" s="1192" t="n">
        <v>70</v>
      </c>
      <c r="E729" s="1366" t="n">
        <f aca="false">H729/0.437</f>
        <v>16.0183066361556</v>
      </c>
      <c r="F729" s="1366" t="n">
        <f aca="false">I729/0.83</f>
        <v>20.1204819277108</v>
      </c>
      <c r="H729" t="n">
        <v>7</v>
      </c>
      <c r="I729" t="n">
        <v>16.7</v>
      </c>
    </row>
    <row r="730" ht="12.75" customHeight="1">
      <c r="A730" s="646"/>
      <c r="B730" s="1384"/>
      <c r="C730" s="42" t="s">
        <v>234</v>
      </c>
      <c r="D730" s="1192" t="n">
        <v>36</v>
      </c>
      <c r="E730" s="1366" t="n">
        <f aca="false">H730/0.437</f>
        <v>23.7986270022883</v>
      </c>
      <c r="F730" s="1366" t="n">
        <f aca="false">I730/0.83</f>
        <v>21.0843373493976</v>
      </c>
      <c r="H730" t="n">
        <v>10.4</v>
      </c>
      <c r="I730" t="n">
        <v>17.5</v>
      </c>
    </row>
    <row r="731" ht="12.75" customHeight="1">
      <c r="A731" s="646"/>
      <c r="B731" s="1384"/>
      <c r="C731" s="1399" t="s">
        <v>235</v>
      </c>
      <c r="D731" s="1192" t="n">
        <v>29</v>
      </c>
      <c r="E731" s="1366" t="n">
        <f aca="false">H731/0.437</f>
        <v>14.8741418764302</v>
      </c>
      <c r="F731" s="1366" t="n">
        <f aca="false">I731/0.83</f>
        <v>9.03614457831325</v>
      </c>
      <c r="H731" t="n">
        <v>6.5</v>
      </c>
      <c r="I731" t="n">
        <v>7.5</v>
      </c>
    </row>
    <row r="732" ht="12.75" customHeight="1">
      <c r="A732" s="646"/>
      <c r="B732" s="1384"/>
      <c r="C732" s="42" t="s">
        <v>2653</v>
      </c>
      <c r="D732" s="1192" t="n">
        <v>27.2</v>
      </c>
      <c r="E732" s="1366" t="n">
        <f aca="false">H732/0.437</f>
        <v>14.8741418764302</v>
      </c>
      <c r="F732" s="1366" t="n">
        <f aca="false">I732/0.83</f>
        <v>9.63855421686747</v>
      </c>
      <c r="H732" t="n">
        <v>6.5</v>
      </c>
      <c r="I732" t="n">
        <v>8</v>
      </c>
    </row>
    <row r="733" ht="12.75" customHeight="1">
      <c r="A733" s="646"/>
      <c r="B733" s="1384"/>
      <c r="C733" s="42" t="s">
        <v>237</v>
      </c>
      <c r="D733" s="1192" t="n">
        <v>35.2</v>
      </c>
      <c r="E733" s="1366" t="n">
        <f aca="false">H733/0.437</f>
        <v>16.0183066361556</v>
      </c>
      <c r="F733" s="1366" t="n">
        <f aca="false">I733/0.83</f>
        <v>10.9638554216867</v>
      </c>
      <c r="H733" t="n">
        <v>7</v>
      </c>
      <c r="I733" t="n">
        <v>9.1</v>
      </c>
    </row>
    <row r="734" ht="12.75" customHeight="1">
      <c r="A734" s="646"/>
      <c r="B734" s="1384"/>
      <c r="C734" s="42" t="s">
        <v>2654</v>
      </c>
      <c r="D734" s="1192" t="n">
        <v>26.4</v>
      </c>
      <c r="E734" s="1366" t="n">
        <f aca="false">H734/0.437</f>
        <v>16.0183066361556</v>
      </c>
      <c r="F734" s="1366" t="n">
        <f aca="false">I734/0.83</f>
        <v>8.43373493975904</v>
      </c>
      <c r="H734" t="n">
        <v>7</v>
      </c>
      <c r="I734" t="n">
        <v>7</v>
      </c>
    </row>
    <row r="735" ht="12.75" customHeight="1">
      <c r="A735" s="646"/>
      <c r="D735" s="1192"/>
    </row>
    <row r="736" ht="15" customHeight="1">
      <c r="A736" s="1290" t="s">
        <v>2655</v>
      </c>
      <c r="D736" s="1192"/>
    </row>
    <row r="737" ht="15" customHeight="1">
      <c r="A737" s="1290"/>
      <c r="D737" s="1192"/>
    </row>
    <row r="738" ht="15" customHeight="1">
      <c r="A738" s="1290"/>
      <c r="B738" s="42" t="s">
        <v>2656</v>
      </c>
      <c r="C738" s="983" t="s">
        <v>2657</v>
      </c>
      <c r="D738" s="983" t="s">
        <v>2658</v>
      </c>
      <c r="E738" s="983" t="s">
        <v>2659</v>
      </c>
      <c r="F738" s="983" t="s">
        <v>2660</v>
      </c>
    </row>
    <row r="739" ht="15" customHeight="1">
      <c r="A739" s="1290"/>
      <c r="B739" s="42" t="s">
        <v>2661</v>
      </c>
      <c r="C739" s="1192" t="n">
        <v>0.05</v>
      </c>
      <c r="D739" s="1192" t="s">
        <v>2662</v>
      </c>
      <c r="E739" s="1192" t="n">
        <v>0.05</v>
      </c>
      <c r="F739" s="1192" t="s">
        <v>2662</v>
      </c>
    </row>
    <row r="740" ht="15" customHeight="1">
      <c r="A740" s="1290"/>
      <c r="B740" s="42" t="s">
        <v>2663</v>
      </c>
      <c r="C740" s="1192" t="n">
        <v>0.32</v>
      </c>
      <c r="D740" s="1192" t="n">
        <v>0.315</v>
      </c>
      <c r="E740" s="1192" t="n">
        <v>0.3</v>
      </c>
      <c r="F740" s="1192" t="n">
        <v>0.37</v>
      </c>
    </row>
    <row r="741" ht="15" customHeight="1">
      <c r="A741" s="1290"/>
      <c r="B741" s="1400" t="s">
        <v>2664</v>
      </c>
      <c r="C741" s="1192" t="n">
        <v>0.6</v>
      </c>
      <c r="D741" s="1192" t="n">
        <v>0.63</v>
      </c>
      <c r="E741" s="1192" t="n">
        <v>0.55</v>
      </c>
      <c r="F741" s="1192" t="n">
        <v>0.6</v>
      </c>
    </row>
    <row r="742" ht="15" customHeight="1">
      <c r="A742" s="1290"/>
      <c r="B742" s="42" t="s">
        <v>2665</v>
      </c>
      <c r="C742" s="1192" t="n">
        <v>0.67</v>
      </c>
      <c r="D742" s="1192" t="n">
        <v>0.695</v>
      </c>
      <c r="E742" s="1192" t="n">
        <v>0.6</v>
      </c>
      <c r="F742" s="1192" t="n">
        <v>0.625</v>
      </c>
    </row>
    <row r="743" ht="15" customHeight="1">
      <c r="A743" s="1290"/>
      <c r="B743" s="42" t="s">
        <v>2666</v>
      </c>
      <c r="C743" s="1192" t="n">
        <v>0.69</v>
      </c>
      <c r="D743" s="1192" t="n">
        <v>0.71</v>
      </c>
      <c r="E743" s="1192" t="n">
        <v>0.65</v>
      </c>
      <c r="F743" s="1192" t="n">
        <v>0.68</v>
      </c>
    </row>
    <row r="744" ht="15" customHeight="1">
      <c r="A744" s="1290"/>
      <c r="B744" s="42" t="s">
        <v>2667</v>
      </c>
      <c r="C744" s="1192" t="n">
        <v>0.74</v>
      </c>
      <c r="D744" s="1192" t="n">
        <v>0.75</v>
      </c>
      <c r="E744" s="1192" t="n">
        <v>0.71</v>
      </c>
      <c r="F744" s="1192" t="s">
        <v>2662</v>
      </c>
    </row>
    <row r="745" ht="15" customHeight="1">
      <c r="A745" s="1290"/>
      <c r="B745" s="42" t="s">
        <v>2668</v>
      </c>
      <c r="C745" s="1192" t="s">
        <v>2662</v>
      </c>
      <c r="D745" s="1192" t="n">
        <v>0.32</v>
      </c>
      <c r="E745" s="1192" t="s">
        <v>2662</v>
      </c>
      <c r="F745" s="1192" t="n">
        <v>0.3</v>
      </c>
    </row>
    <row r="746" ht="15" customHeight="1">
      <c r="A746" s="1290"/>
      <c r="B746" s="1400" t="s">
        <v>2669</v>
      </c>
      <c r="C746" s="1192" t="n">
        <v>0.62</v>
      </c>
      <c r="D746" s="1192" t="n">
        <v>0.63</v>
      </c>
      <c r="E746" s="1192" t="s">
        <v>2662</v>
      </c>
      <c r="F746" s="1192" t="n">
        <v>0.6</v>
      </c>
    </row>
    <row r="747" ht="15" customHeight="1">
      <c r="A747" s="1290"/>
      <c r="D747" s="1192"/>
    </row>
    <row r="748" ht="15" customHeight="1">
      <c r="A748" s="1290"/>
      <c r="B748" s="983" t="s">
        <v>2670</v>
      </c>
      <c r="C748" s="983"/>
      <c r="D748" s="983"/>
    </row>
    <row r="749" ht="15" customHeight="1">
      <c r="A749" s="1290"/>
      <c r="B749" s="42" t="s">
        <v>2582</v>
      </c>
      <c r="C749" s="42" t="s">
        <v>2671</v>
      </c>
      <c r="D749" s="1192" t="n">
        <v>0.015</v>
      </c>
    </row>
    <row r="750" ht="15" customHeight="1">
      <c r="A750" s="1290"/>
      <c r="B750" s="42"/>
      <c r="C750" s="42" t="s">
        <v>2672</v>
      </c>
      <c r="D750" s="1192" t="n">
        <v>0.105</v>
      </c>
    </row>
    <row r="751" ht="15" customHeight="1">
      <c r="A751" s="1290"/>
      <c r="B751" s="42"/>
      <c r="C751" s="42" t="s">
        <v>2673</v>
      </c>
      <c r="D751" s="1192" t="n">
        <v>0.2</v>
      </c>
    </row>
    <row r="752" ht="15" customHeight="1">
      <c r="A752" s="1290"/>
      <c r="B752" s="42" t="s">
        <v>1846</v>
      </c>
      <c r="C752" s="42" t="s">
        <v>2674</v>
      </c>
      <c r="D752" s="1192" t="n">
        <v>5E-005</v>
      </c>
    </row>
    <row r="753" ht="15" customHeight="1">
      <c r="A753" s="1290"/>
      <c r="B753" s="42"/>
      <c r="C753" s="42" t="s">
        <v>2675</v>
      </c>
      <c r="D753" s="1192" t="n">
        <v>0.0014</v>
      </c>
    </row>
    <row r="754" ht="15" customHeight="1">
      <c r="A754" s="1290"/>
      <c r="B754" s="42"/>
      <c r="C754" s="42" t="s">
        <v>2676</v>
      </c>
      <c r="D754" s="1192" t="n">
        <v>0.0018</v>
      </c>
    </row>
    <row r="755" ht="15" customHeight="1">
      <c r="A755" s="1290"/>
      <c r="B755" s="42"/>
      <c r="C755" s="42" t="s">
        <v>2677</v>
      </c>
      <c r="D755" s="1192" t="n">
        <v>0.0022</v>
      </c>
    </row>
    <row r="756" ht="15" customHeight="1">
      <c r="A756" s="1290"/>
      <c r="B756" s="42"/>
      <c r="C756" s="42" t="s">
        <v>2678</v>
      </c>
      <c r="D756" s="1192" t="n">
        <v>0.0064</v>
      </c>
    </row>
    <row r="757" ht="15" customHeight="1">
      <c r="A757" s="1290"/>
      <c r="B757" s="42"/>
      <c r="C757" s="42" t="s">
        <v>2679</v>
      </c>
      <c r="D757" s="1192" t="n">
        <v>0.0016</v>
      </c>
    </row>
    <row r="758" ht="15" customHeight="1">
      <c r="A758" s="1290"/>
      <c r="B758" s="42"/>
      <c r="C758" s="42" t="s">
        <v>2680</v>
      </c>
      <c r="D758" s="1192" t="n">
        <v>0.0035</v>
      </c>
    </row>
    <row r="759" ht="15" customHeight="1">
      <c r="A759" s="1290"/>
      <c r="B759" s="42"/>
      <c r="C759" s="42" t="s">
        <v>2681</v>
      </c>
      <c r="D759" s="1192" t="n">
        <v>0.0031</v>
      </c>
    </row>
    <row r="760" ht="15" customHeight="1">
      <c r="A760" s="1290"/>
      <c r="B760" s="42"/>
      <c r="C760" s="42" t="s">
        <v>2682</v>
      </c>
      <c r="D760" s="1192" t="n">
        <v>0.0055</v>
      </c>
    </row>
    <row r="761" ht="15" customHeight="1">
      <c r="A761" s="1290"/>
      <c r="B761" s="42" t="s">
        <v>2683</v>
      </c>
      <c r="C761" s="42" t="s">
        <v>2683</v>
      </c>
      <c r="D761" s="1192" t="n">
        <v>0.0023</v>
      </c>
    </row>
    <row r="762" ht="15" customHeight="1">
      <c r="A762" s="1290"/>
      <c r="B762" s="42"/>
      <c r="C762" s="42" t="s">
        <v>2684</v>
      </c>
      <c r="D762" s="1192" t="n">
        <v>0.0042</v>
      </c>
    </row>
    <row r="763" ht="15" customHeight="1">
      <c r="A763" s="1290"/>
      <c r="D763" s="1192"/>
    </row>
    <row r="764" ht="12.75" customHeight="1">
      <c r="A764" s="646"/>
      <c r="B764" s="42" t="s">
        <v>2685</v>
      </c>
      <c r="C764" s="983" t="s">
        <v>406</v>
      </c>
      <c r="D764" s="983" t="s">
        <v>407</v>
      </c>
      <c r="E764" s="983" t="s">
        <v>408</v>
      </c>
    </row>
    <row r="765" ht="12.75" customHeight="1">
      <c r="A765" s="646"/>
      <c r="B765" s="42" t="s">
        <v>1006</v>
      </c>
      <c r="C765" s="1192" t="n">
        <v>24</v>
      </c>
      <c r="D765" s="1366" t="n">
        <f aca="false">G765/0.437</f>
        <v>16.0183066361556</v>
      </c>
      <c r="E765" s="1366" t="n">
        <f aca="false">H765/0.83</f>
        <v>4.93975903614458</v>
      </c>
      <c r="G765" t="n">
        <v>7</v>
      </c>
      <c r="H765" t="n">
        <v>4.1</v>
      </c>
    </row>
    <row r="766" ht="12.75" customHeight="1">
      <c r="A766" s="646"/>
      <c r="B766" s="42" t="s">
        <v>2686</v>
      </c>
      <c r="C766" s="1192" t="n">
        <v>24</v>
      </c>
      <c r="D766" s="1366" t="n">
        <f aca="false">G766/0.437</f>
        <v>16.0183066361556</v>
      </c>
      <c r="E766" s="1366" t="n">
        <f aca="false">H766/0.83</f>
        <v>4.93975903614458</v>
      </c>
      <c r="G766" t="n">
        <v>7</v>
      </c>
      <c r="H766" t="n">
        <v>4.1</v>
      </c>
    </row>
    <row r="767" ht="12.75" customHeight="1">
      <c r="A767" s="646"/>
      <c r="B767" s="42" t="s">
        <v>2687</v>
      </c>
      <c r="C767" s="1192" t="n">
        <v>24</v>
      </c>
      <c r="D767" s="1366" t="n">
        <f aca="false">G767/0.437</f>
        <v>13.9588100686499</v>
      </c>
      <c r="E767" s="1366" t="n">
        <f aca="false">H767/0.83</f>
        <v>2.16867469879518</v>
      </c>
      <c r="G767" t="n">
        <v>6.1</v>
      </c>
      <c r="H767" t="n">
        <v>1.8</v>
      </c>
    </row>
    <row r="768" ht="12.75" customHeight="1">
      <c r="A768" s="646"/>
      <c r="B768" s="42" t="s">
        <v>2565</v>
      </c>
      <c r="C768" s="1192" t="n">
        <v>24</v>
      </c>
      <c r="D768" s="1366" t="n">
        <v>8</v>
      </c>
      <c r="E768" s="1366" t="n">
        <f aca="false">H768/0.83</f>
        <v>4.93975903614458</v>
      </c>
      <c r="G768" t="n">
        <v>4.4</v>
      </c>
      <c r="H768" t="n">
        <v>4.1</v>
      </c>
    </row>
    <row r="769" ht="15" customHeight="1">
      <c r="A769" s="1290"/>
      <c r="B769" s="42" t="s">
        <v>2688</v>
      </c>
      <c r="C769" s="1192" t="n">
        <v>19.2</v>
      </c>
      <c r="D769" s="1366" t="n">
        <f aca="false">G769/0.437</f>
        <v>4.5766590389016</v>
      </c>
      <c r="E769" s="1366" t="n">
        <f aca="false">H769/0.83</f>
        <v>1.44578313253012</v>
      </c>
      <c r="G769" t="n">
        <v>2</v>
      </c>
      <c r="H769" t="n">
        <v>1.2</v>
      </c>
    </row>
    <row r="770" ht="12.75" customHeight="1">
      <c r="A770" s="646"/>
      <c r="B770" s="42" t="s">
        <v>2689</v>
      </c>
      <c r="C770" s="1192" t="n">
        <v>22.4</v>
      </c>
      <c r="D770" s="1366" t="n">
        <f aca="false">G770/0.437</f>
        <v>8.0091533180778</v>
      </c>
      <c r="E770" s="1366" t="n">
        <f aca="false">H770/0.83</f>
        <v>2.40963855421687</v>
      </c>
      <c r="G770" t="n">
        <v>3.5</v>
      </c>
      <c r="H770" t="n">
        <v>2</v>
      </c>
    </row>
    <row r="771" ht="12.75" customHeight="1">
      <c r="A771" s="646"/>
      <c r="B771" s="42" t="s">
        <v>2690</v>
      </c>
      <c r="C771" s="1192" t="n">
        <v>32</v>
      </c>
      <c r="D771" s="1366" t="n">
        <f aca="false">G771/0.437</f>
        <v>10.9839816933638</v>
      </c>
      <c r="E771" s="1366" t="n">
        <f aca="false">H771/0.83</f>
        <v>2.16867469879518</v>
      </c>
      <c r="G771" t="n">
        <v>4.8</v>
      </c>
      <c r="H771" t="n">
        <v>1.8</v>
      </c>
    </row>
    <row r="772" ht="12.75" customHeight="1">
      <c r="A772" s="646"/>
      <c r="B772" s="42" t="s">
        <v>2691</v>
      </c>
      <c r="C772" s="1192" t="n">
        <v>20.76</v>
      </c>
      <c r="D772" s="1366" t="n">
        <f aca="false">G772/0.437</f>
        <v>8.0091533180778</v>
      </c>
      <c r="E772" s="1366" t="n">
        <f aca="false">H772/0.83</f>
        <v>2.40963855421687</v>
      </c>
      <c r="G772" t="n">
        <v>3.5</v>
      </c>
      <c r="H772" t="n">
        <v>2</v>
      </c>
    </row>
    <row r="773" ht="12.75" customHeight="1">
      <c r="A773" s="646"/>
      <c r="B773" s="42" t="s">
        <v>2678</v>
      </c>
      <c r="C773" s="1192" t="n">
        <v>37.6</v>
      </c>
      <c r="D773" s="1366" t="n">
        <f aca="false">G773/0.437</f>
        <v>15.5606407322654</v>
      </c>
      <c r="E773" s="1366" t="n">
        <f aca="false">H773/0.83</f>
        <v>2.53012048192771</v>
      </c>
      <c r="G773" t="n">
        <v>6.8</v>
      </c>
      <c r="H773" t="n">
        <v>2.1</v>
      </c>
    </row>
    <row r="774" ht="12.75" customHeight="1">
      <c r="A774" s="646"/>
      <c r="B774" s="42" t="s">
        <v>2692</v>
      </c>
      <c r="C774" s="1192" t="n">
        <v>18.9</v>
      </c>
      <c r="D774" s="1366" t="n">
        <f aca="false">G774/0.437</f>
        <v>6.8649885583524</v>
      </c>
      <c r="E774" s="1366" t="n">
        <f aca="false">H774/0.83</f>
        <v>2.04819277108434</v>
      </c>
      <c r="G774" t="n">
        <v>3</v>
      </c>
      <c r="H774" t="n">
        <v>1.7</v>
      </c>
    </row>
    <row r="775" ht="12.75" customHeight="1">
      <c r="A775" s="646"/>
      <c r="B775" s="42" t="s">
        <v>2693</v>
      </c>
      <c r="C775" s="1192" t="n">
        <v>30.5</v>
      </c>
      <c r="D775" s="1366" t="n">
        <f aca="false">G775/0.437</f>
        <v>13.0434782608696</v>
      </c>
      <c r="E775" s="1366" t="n">
        <f aca="false">H775/0.83</f>
        <v>2.7710843373494</v>
      </c>
      <c r="G775" t="n">
        <v>5.7</v>
      </c>
      <c r="H775" t="n">
        <v>2.3</v>
      </c>
    </row>
    <row r="776" ht="12.75" customHeight="1">
      <c r="A776" s="646"/>
      <c r="B776" s="1399" t="s">
        <v>2694</v>
      </c>
      <c r="C776" s="1192" t="n">
        <v>20.03</v>
      </c>
      <c r="D776" s="1366" t="n">
        <f aca="false">G776/0.437</f>
        <v>7.32265446224256</v>
      </c>
      <c r="E776" s="1366" t="n">
        <f aca="false">H776/0.83</f>
        <v>2.40963855421687</v>
      </c>
      <c r="G776" t="n">
        <v>3.2</v>
      </c>
      <c r="H776" t="n">
        <v>2</v>
      </c>
    </row>
    <row r="777" ht="12.75" customHeight="1">
      <c r="A777" s="646"/>
      <c r="B777" s="42" t="s">
        <v>2679</v>
      </c>
      <c r="C777" s="1192" t="n">
        <v>37.6</v>
      </c>
      <c r="D777" s="1366" t="n">
        <f aca="false">G777/0.437</f>
        <v>14.8741418764302</v>
      </c>
      <c r="E777" s="1366" t="n">
        <f aca="false">H777/0.83</f>
        <v>3.01204819277108</v>
      </c>
      <c r="G777" t="n">
        <v>6.5</v>
      </c>
      <c r="H777" t="n">
        <v>2.5</v>
      </c>
    </row>
    <row r="778" ht="12.75" customHeight="1">
      <c r="A778" s="646"/>
      <c r="B778" s="42" t="s">
        <v>2682</v>
      </c>
      <c r="C778" s="1192" t="n">
        <v>35.6</v>
      </c>
      <c r="D778" s="1366" t="n">
        <f aca="false">G778/0.437</f>
        <v>14.41647597254</v>
      </c>
      <c r="E778" s="1366" t="n">
        <f aca="false">H778/0.83</f>
        <v>2.53012048192771</v>
      </c>
      <c r="G778" t="n">
        <v>6.3</v>
      </c>
      <c r="H778" t="n">
        <v>2.1</v>
      </c>
    </row>
    <row r="779" ht="12.75" customHeight="1">
      <c r="A779" s="646"/>
      <c r="B779" s="42" t="s">
        <v>2683</v>
      </c>
      <c r="C779" s="1192" t="n">
        <v>32</v>
      </c>
      <c r="D779" s="1366" t="n">
        <f aca="false">G779/0.437</f>
        <v>5.03432494279176</v>
      </c>
      <c r="E779" s="1366" t="n">
        <f aca="false">H779/0.83</f>
        <v>4.33734939759036</v>
      </c>
      <c r="G779" t="n">
        <v>2.2</v>
      </c>
      <c r="H779" t="n">
        <v>3.6</v>
      </c>
    </row>
    <row r="781" ht="18" customHeight="1">
      <c r="A781" s="1352" t="s">
        <v>2695</v>
      </c>
      <c r="D781" s="1192"/>
    </row>
    <row r="782" ht="12.75" customHeight="1">
      <c r="A782" s="646"/>
      <c r="D782" s="1192"/>
    </row>
    <row r="783" ht="15" customHeight="1">
      <c r="A783" s="1290" t="s">
        <v>2696</v>
      </c>
      <c r="D783" s="1192"/>
    </row>
    <row r="784" ht="15" customHeight="1">
      <c r="A784" s="1290"/>
      <c r="D784" s="1192"/>
    </row>
    <row r="785" ht="15" customHeight="1">
      <c r="A785" s="1290"/>
      <c r="B785" t="s">
        <v>2697</v>
      </c>
      <c r="D785" s="1192"/>
    </row>
    <row r="786" ht="15" customHeight="1">
      <c r="A786" s="1290"/>
      <c r="D786" s="1192"/>
    </row>
    <row r="787" ht="15" customHeight="1">
      <c r="A787" s="1290"/>
      <c r="B787" s="1248"/>
      <c r="C787" s="983" t="s">
        <v>2657</v>
      </c>
      <c r="D787" s="983" t="s">
        <v>2658</v>
      </c>
      <c r="E787" s="983" t="s">
        <v>2659</v>
      </c>
      <c r="F787" s="983" t="s">
        <v>2660</v>
      </c>
    </row>
    <row r="788" ht="15" customHeight="1">
      <c r="A788" s="1290"/>
      <c r="B788" s="42" t="s">
        <v>2698</v>
      </c>
      <c r="C788" s="1192" t="s">
        <v>2662</v>
      </c>
      <c r="D788" s="1192" t="s">
        <v>2662</v>
      </c>
      <c r="E788" s="1192" t="s">
        <v>2662</v>
      </c>
      <c r="F788" s="1192" t="n">
        <v>0.66</v>
      </c>
    </row>
    <row r="789" ht="15" customHeight="1">
      <c r="A789" s="1290"/>
      <c r="B789" s="42" t="s">
        <v>2665</v>
      </c>
      <c r="C789" s="1192" t="n">
        <v>0.5</v>
      </c>
      <c r="D789" s="1192" t="n">
        <v>0.53</v>
      </c>
      <c r="E789" s="1192" t="n">
        <v>0.47</v>
      </c>
      <c r="F789" s="1192" t="n">
        <v>0.55</v>
      </c>
    </row>
    <row r="790" ht="15" customHeight="1">
      <c r="A790" s="1290"/>
      <c r="B790" s="1400" t="s">
        <v>2699</v>
      </c>
      <c r="C790" s="1192" t="n">
        <v>0.52</v>
      </c>
      <c r="D790" s="1192" t="n">
        <v>0.55</v>
      </c>
      <c r="E790" s="1192" t="n">
        <v>0.48</v>
      </c>
      <c r="F790" s="1192" t="n">
        <v>0.57</v>
      </c>
    </row>
    <row r="791" ht="15" customHeight="1">
      <c r="A791" s="1290"/>
      <c r="B791" s="1400" t="s">
        <v>2700</v>
      </c>
      <c r="C791" s="1192" t="n">
        <v>0.55</v>
      </c>
      <c r="D791" s="1192" t="n">
        <v>0.6</v>
      </c>
      <c r="E791" s="1192" t="n">
        <v>0.52</v>
      </c>
      <c r="F791" s="1192" t="n">
        <v>0.61</v>
      </c>
    </row>
    <row r="792" ht="15" customHeight="1">
      <c r="A792" s="1290"/>
      <c r="B792" s="42" t="s">
        <v>2667</v>
      </c>
      <c r="C792" s="1192" t="n">
        <v>0.53</v>
      </c>
      <c r="D792" s="1192" t="n">
        <v>0.57</v>
      </c>
      <c r="E792" s="1192" t="n">
        <v>0.49</v>
      </c>
      <c r="F792" s="1192" t="n">
        <v>0.59</v>
      </c>
    </row>
    <row r="793" ht="15" customHeight="1">
      <c r="A793" s="1290"/>
      <c r="D793" s="1192"/>
    </row>
    <row r="794" ht="15" customHeight="1">
      <c r="A794" s="1290"/>
      <c r="D794" s="1192"/>
    </row>
    <row r="795" ht="15" customHeight="1">
      <c r="A795" s="1290" t="s">
        <v>2701</v>
      </c>
      <c r="D795" s="1192"/>
    </row>
    <row r="796" ht="15" customHeight="1">
      <c r="A796" s="1290"/>
      <c r="D796" s="1192"/>
    </row>
    <row r="797" ht="15" customHeight="1">
      <c r="A797" s="1290"/>
      <c r="B797" s="42" t="s">
        <v>2702</v>
      </c>
      <c r="C797" s="983" t="s">
        <v>2703</v>
      </c>
      <c r="D797" s="983" t="s">
        <v>406</v>
      </c>
      <c r="E797" s="983" t="s">
        <v>407</v>
      </c>
      <c r="F797" s="983" t="s">
        <v>408</v>
      </c>
    </row>
    <row r="798" ht="15" customHeight="1">
      <c r="A798" s="1290"/>
      <c r="B798" s="42" t="s">
        <v>2704</v>
      </c>
      <c r="C798" s="867"/>
      <c r="D798" s="1401" t="n">
        <f aca="false">(C798*1.033)/6.06</f>
        <v>0</v>
      </c>
      <c r="E798" s="1366" t="n">
        <f aca="false">H798/0.437</f>
        <v>2.17391304347826</v>
      </c>
      <c r="F798" s="1366" t="n">
        <f aca="false">I798/0.83</f>
        <v>1.86746987951807</v>
      </c>
      <c r="H798" t="n">
        <v>0.95</v>
      </c>
      <c r="I798" t="n">
        <v>1.55</v>
      </c>
    </row>
    <row r="799" ht="15" customHeight="1">
      <c r="A799" s="1290"/>
      <c r="B799" s="42" t="s">
        <v>2705</v>
      </c>
      <c r="C799" s="867"/>
      <c r="D799" s="1401" t="n">
        <f aca="false">(C799*1.033)/6.06</f>
        <v>0</v>
      </c>
      <c r="E799" s="1366" t="n">
        <f aca="false">H799/0.437</f>
        <v>3.54691075514874</v>
      </c>
      <c r="F799" s="1366" t="n">
        <f aca="false">I799/0.83</f>
        <v>1.74698795180723</v>
      </c>
      <c r="H799" t="n">
        <v>1.55</v>
      </c>
      <c r="I799" t="n">
        <v>1.45</v>
      </c>
    </row>
    <row r="800" ht="15" customHeight="1">
      <c r="A800" s="1290"/>
      <c r="B800" s="42" t="s">
        <v>2706</v>
      </c>
      <c r="C800" s="867"/>
      <c r="D800" s="1401" t="n">
        <f aca="false">(C800*1.033)/5.74</f>
        <v>0</v>
      </c>
      <c r="E800" s="1366" t="n">
        <f aca="false">H800/0.437</f>
        <v>2.2883295194508</v>
      </c>
      <c r="F800" s="1366" t="n">
        <f aca="false">I800/0.83</f>
        <v>2.36144578313253</v>
      </c>
      <c r="H800" t="n">
        <v>1</v>
      </c>
      <c r="I800" t="n">
        <v>1.96</v>
      </c>
    </row>
    <row r="801" ht="15" customHeight="1">
      <c r="A801" s="1290"/>
      <c r="D801" s="1192"/>
    </row>
    <row r="802" ht="15" customHeight="1">
      <c r="A802" s="1290"/>
      <c r="D802" s="1192"/>
    </row>
    <row r="803" ht="15" customHeight="1">
      <c r="A803" s="1290" t="s">
        <v>2707</v>
      </c>
      <c r="D803" s="1192"/>
    </row>
    <row r="804" ht="15" customHeight="1">
      <c r="A804" s="1290"/>
      <c r="D804" s="1192"/>
    </row>
    <row r="805" ht="12.75" customHeight="1">
      <c r="A805" s="1190" t="s">
        <v>1815</v>
      </c>
      <c r="B805" s="1189" t="s">
        <v>1909</v>
      </c>
      <c r="C805" s="1189"/>
      <c r="D805" s="1189" t="s">
        <v>1536</v>
      </c>
      <c r="E805" s="1189" t="s">
        <v>2436</v>
      </c>
      <c r="F805" s="1189"/>
      <c r="G805" s="1189"/>
      <c r="I805" t="s">
        <v>1826</v>
      </c>
    </row>
    <row r="806" ht="15.75" customHeight="1">
      <c r="A806" s="1190"/>
      <c r="B806" s="1189"/>
      <c r="C806" s="1189"/>
      <c r="D806" s="1189"/>
      <c r="E806" s="983" t="s">
        <v>406</v>
      </c>
      <c r="F806" s="983" t="s">
        <v>2388</v>
      </c>
      <c r="G806" s="983" t="s">
        <v>2389</v>
      </c>
    </row>
    <row r="807" ht="12.75" customHeight="1">
      <c r="A807" s="1192" t="n">
        <v>1</v>
      </c>
      <c r="B807" s="1356" t="s">
        <v>2708</v>
      </c>
      <c r="C807" s="1356"/>
      <c r="D807" s="1165" t="s">
        <v>1423</v>
      </c>
      <c r="E807" s="1366" t="n">
        <v>1.3</v>
      </c>
      <c r="F807" s="1366" t="n">
        <v>0.5</v>
      </c>
      <c r="G807" s="1366" t="n">
        <v>3.6</v>
      </c>
    </row>
    <row r="808" ht="12.75" customHeight="1">
      <c r="A808" s="1354" t="n">
        <v>2</v>
      </c>
      <c r="B808" s="748" t="s">
        <v>2709</v>
      </c>
      <c r="C808" s="748"/>
      <c r="D808" s="1192" t="s">
        <v>2391</v>
      </c>
      <c r="E808" s="1366" t="n">
        <v>1.3</v>
      </c>
      <c r="F808" s="1366" t="n">
        <v>2.8</v>
      </c>
      <c r="G808" s="1366" t="n">
        <v>5.4</v>
      </c>
    </row>
    <row r="809" ht="12.75" customHeight="1">
      <c r="A809" s="1192" t="n">
        <v>3</v>
      </c>
      <c r="B809" s="1356" t="s">
        <v>2710</v>
      </c>
      <c r="C809" s="1356"/>
      <c r="D809" s="1171" t="s">
        <v>1430</v>
      </c>
      <c r="E809" s="1242" t="n">
        <v>0.8</v>
      </c>
      <c r="F809" s="1242" t="n">
        <v>0.3</v>
      </c>
      <c r="G809" s="1242" t="n">
        <v>2.7</v>
      </c>
    </row>
    <row r="810" ht="12.75" customHeight="1">
      <c r="A810" s="1354" t="n">
        <v>4</v>
      </c>
      <c r="B810" s="1402" t="s">
        <v>2711</v>
      </c>
      <c r="C810" s="646"/>
      <c r="D810" s="1165" t="s">
        <v>1430</v>
      </c>
      <c r="E810" s="1366" t="n">
        <v>3.2</v>
      </c>
      <c r="F810" s="1366" t="n">
        <v>1.3</v>
      </c>
      <c r="G810" s="1366" t="n">
        <v>6.2</v>
      </c>
    </row>
    <row r="811" ht="12.75" customHeight="1">
      <c r="A811" s="1192" t="n">
        <v>5</v>
      </c>
      <c r="B811" s="1402" t="s">
        <v>2712</v>
      </c>
      <c r="C811" s="646"/>
      <c r="D811" s="1165" t="s">
        <v>1430</v>
      </c>
      <c r="E811" s="1366" t="n">
        <v>5.5</v>
      </c>
      <c r="F811" s="1366" t="n">
        <v>2</v>
      </c>
      <c r="G811" s="1366" t="n">
        <v>10</v>
      </c>
    </row>
    <row r="812" ht="12.75" customHeight="1">
      <c r="A812" s="1354" t="n">
        <v>6</v>
      </c>
      <c r="B812" s="1402" t="s">
        <v>2713</v>
      </c>
      <c r="C812" s="646"/>
      <c r="D812" s="1165" t="s">
        <v>1430</v>
      </c>
      <c r="E812" s="1366" t="n">
        <v>8</v>
      </c>
      <c r="F812" s="1366" t="n">
        <v>2.5</v>
      </c>
      <c r="G812" s="1366" t="n">
        <v>16.5</v>
      </c>
    </row>
    <row r="813" ht="12.75" customHeight="1">
      <c r="A813" s="1192" t="n">
        <v>7</v>
      </c>
      <c r="B813" s="1402" t="s">
        <v>2714</v>
      </c>
      <c r="C813" s="646"/>
      <c r="D813" s="1165" t="s">
        <v>1430</v>
      </c>
      <c r="E813" s="1366" t="n">
        <v>3.8</v>
      </c>
      <c r="F813" s="1366" t="n">
        <v>1.2</v>
      </c>
      <c r="G813" s="1366" t="n">
        <v>6</v>
      </c>
    </row>
    <row r="814" ht="12.75" customHeight="1">
      <c r="A814" s="1354" t="n">
        <v>8</v>
      </c>
      <c r="B814" s="1402" t="s">
        <v>2715</v>
      </c>
      <c r="C814" s="646"/>
      <c r="D814" s="1165" t="s">
        <v>1430</v>
      </c>
      <c r="E814" s="1366" t="n">
        <v>4.6</v>
      </c>
      <c r="F814" s="1366" t="n">
        <v>1.6</v>
      </c>
      <c r="G814" s="1366" t="n">
        <v>8.5</v>
      </c>
    </row>
    <row r="815" ht="12.75" customHeight="1">
      <c r="A815" s="1192" t="n">
        <v>9</v>
      </c>
      <c r="B815" s="1402" t="s">
        <v>2716</v>
      </c>
      <c r="C815" s="646"/>
      <c r="D815" s="1165" t="s">
        <v>1430</v>
      </c>
      <c r="E815" s="1366" t="n">
        <v>6.5</v>
      </c>
      <c r="F815" s="1366" t="n">
        <v>2.1</v>
      </c>
      <c r="G815" s="1366" t="n">
        <v>13.3</v>
      </c>
    </row>
    <row r="816" ht="12.75" customHeight="1">
      <c r="A816" s="1354" t="n">
        <v>10</v>
      </c>
      <c r="B816" s="1402" t="s">
        <v>2717</v>
      </c>
      <c r="C816" s="646"/>
      <c r="D816" s="1165" t="s">
        <v>1430</v>
      </c>
      <c r="E816" s="1366" t="n">
        <v>4.5</v>
      </c>
      <c r="F816" s="1366" t="n">
        <v>1.2</v>
      </c>
      <c r="G816" s="1366" t="n">
        <v>5.5</v>
      </c>
    </row>
    <row r="817" ht="12.75" customHeight="1">
      <c r="A817" s="1192" t="n">
        <v>11</v>
      </c>
      <c r="B817" s="1402" t="s">
        <v>2718</v>
      </c>
      <c r="C817" s="646"/>
      <c r="D817" s="1165" t="s">
        <v>1430</v>
      </c>
      <c r="E817" s="1366" t="n">
        <v>6.5</v>
      </c>
      <c r="F817" s="1366" t="n">
        <v>2</v>
      </c>
      <c r="G817" s="1366" t="n">
        <v>10.8</v>
      </c>
    </row>
    <row r="818" ht="12.75" customHeight="1">
      <c r="A818" s="1354" t="n">
        <v>12</v>
      </c>
      <c r="B818" s="1403" t="s">
        <v>2719</v>
      </c>
      <c r="C818" s="646"/>
      <c r="D818" s="1165" t="s">
        <v>1430</v>
      </c>
      <c r="E818" s="1366" t="n">
        <v>9.5</v>
      </c>
      <c r="F818" s="1366" t="n">
        <v>2.8</v>
      </c>
      <c r="G818" s="1366" t="n">
        <v>21.5</v>
      </c>
    </row>
    <row r="819" ht="12.75" customHeight="1">
      <c r="A819" s="1192" t="n">
        <v>13</v>
      </c>
      <c r="B819" s="748" t="s">
        <v>2720</v>
      </c>
      <c r="C819" s="748"/>
      <c r="D819" s="1192" t="s">
        <v>1430</v>
      </c>
      <c r="E819" s="1366" t="n">
        <v>3</v>
      </c>
      <c r="F819" s="1366" t="n">
        <v>1</v>
      </c>
      <c r="G819" s="1366" t="n">
        <v>3</v>
      </c>
    </row>
    <row r="820" ht="12.75" customHeight="1">
      <c r="A820" s="1354" t="n">
        <v>14</v>
      </c>
      <c r="B820" s="1356" t="s">
        <v>2721</v>
      </c>
      <c r="C820" s="1356"/>
      <c r="D820" s="1171" t="s">
        <v>1430</v>
      </c>
      <c r="E820" s="1242" t="n">
        <v>1.1</v>
      </c>
      <c r="F820" s="1242" t="n">
        <v>0.4</v>
      </c>
      <c r="G820" s="1242" t="n">
        <v>2.4</v>
      </c>
    </row>
    <row r="821" ht="12.75" customHeight="1">
      <c r="A821" s="1192" t="n">
        <v>15</v>
      </c>
      <c r="B821" s="1356" t="s">
        <v>2722</v>
      </c>
      <c r="C821" s="1356"/>
      <c r="D821" s="1171" t="s">
        <v>1430</v>
      </c>
      <c r="E821" s="1242" t="n">
        <v>2.8</v>
      </c>
      <c r="F821" s="1242" t="n">
        <v>0.8</v>
      </c>
      <c r="G821" s="1242" t="n">
        <v>5.5</v>
      </c>
    </row>
    <row r="822" ht="12.75" customHeight="1">
      <c r="A822" s="1354" t="n">
        <v>16</v>
      </c>
      <c r="B822" s="646" t="s">
        <v>2723</v>
      </c>
      <c r="C822" s="646" t="s">
        <v>2724</v>
      </c>
      <c r="D822" s="1192" t="s">
        <v>2391</v>
      </c>
      <c r="E822" s="1366" t="n">
        <v>1.9</v>
      </c>
      <c r="F822" s="1366" t="n">
        <v>0.8</v>
      </c>
      <c r="G822" s="1366" t="n">
        <v>0.7</v>
      </c>
    </row>
    <row r="823" ht="12.75" customHeight="1">
      <c r="A823" s="1192" t="n">
        <v>17</v>
      </c>
      <c r="B823" s="646" t="s">
        <v>2723</v>
      </c>
      <c r="C823" s="646" t="s">
        <v>2725</v>
      </c>
      <c r="D823" s="1192" t="s">
        <v>2391</v>
      </c>
      <c r="E823" s="1366" t="n">
        <v>2.5</v>
      </c>
      <c r="F823" s="1366" t="n">
        <v>1.1</v>
      </c>
      <c r="G823" s="1366" t="n">
        <v>1.9</v>
      </c>
    </row>
    <row r="824" ht="12.75" customHeight="1">
      <c r="A824" s="1354" t="n">
        <v>18</v>
      </c>
      <c r="B824" s="1356" t="s">
        <v>2726</v>
      </c>
      <c r="C824" s="1356"/>
      <c r="D824" s="1171" t="s">
        <v>1430</v>
      </c>
      <c r="E824" s="1242" t="n">
        <v>1.7</v>
      </c>
      <c r="F824" s="1242" t="n">
        <v>0.5</v>
      </c>
      <c r="G824" s="1242" t="n">
        <v>6</v>
      </c>
    </row>
    <row r="825" ht="12.75" customHeight="1">
      <c r="A825" s="1192" t="n">
        <v>19</v>
      </c>
      <c r="B825" s="748" t="s">
        <v>2727</v>
      </c>
      <c r="C825" s="748"/>
      <c r="D825" s="1192" t="s">
        <v>1427</v>
      </c>
      <c r="E825" s="1366" t="n">
        <v>1.5</v>
      </c>
      <c r="F825" s="1366" t="n">
        <v>0.5</v>
      </c>
      <c r="G825" s="1366" t="n">
        <v>2</v>
      </c>
    </row>
    <row r="826" ht="12.75" customHeight="1">
      <c r="A826" s="1354" t="n">
        <v>20</v>
      </c>
      <c r="B826" s="748" t="s">
        <v>2728</v>
      </c>
      <c r="C826" s="748"/>
      <c r="D826" s="1192" t="s">
        <v>1427</v>
      </c>
      <c r="E826" s="1366" t="n">
        <v>3</v>
      </c>
      <c r="F826" s="1366" t="n">
        <v>1</v>
      </c>
      <c r="G826" s="1366" t="n">
        <v>4</v>
      </c>
    </row>
    <row r="827" ht="12.75" customHeight="1">
      <c r="A827" s="1192" t="n">
        <v>21</v>
      </c>
      <c r="B827" s="748" t="s">
        <v>206</v>
      </c>
      <c r="C827" s="748"/>
      <c r="D827" s="1192" t="s">
        <v>1427</v>
      </c>
      <c r="E827" s="1366" t="n">
        <v>16</v>
      </c>
      <c r="F827" s="1366" t="n">
        <v>3.4</v>
      </c>
      <c r="G827" s="1366" t="n">
        <v>34.9</v>
      </c>
    </row>
    <row r="828" ht="12.75" customHeight="1">
      <c r="A828" s="1354" t="n">
        <v>22</v>
      </c>
      <c r="B828" s="748" t="s">
        <v>2729</v>
      </c>
      <c r="C828" s="748"/>
      <c r="D828" s="1192" t="s">
        <v>1430</v>
      </c>
      <c r="E828" s="1366" t="n">
        <v>2.7</v>
      </c>
      <c r="F828" s="1366" t="n">
        <v>1.3</v>
      </c>
      <c r="G828" s="1366" t="n">
        <v>5.2</v>
      </c>
    </row>
    <row r="829" ht="12.75" customHeight="1">
      <c r="A829" s="1192" t="n">
        <v>23</v>
      </c>
      <c r="B829" s="748" t="s">
        <v>2730</v>
      </c>
      <c r="C829" s="748"/>
      <c r="D829" s="1192" t="s">
        <v>1430</v>
      </c>
      <c r="E829" s="1366" t="n">
        <v>2</v>
      </c>
      <c r="F829" s="1366" t="n">
        <v>1</v>
      </c>
      <c r="G829" s="1366" t="n">
        <v>3</v>
      </c>
    </row>
    <row r="830" ht="12.75" customHeight="1">
      <c r="A830" s="1354" t="n">
        <v>24</v>
      </c>
      <c r="B830" s="646" t="s">
        <v>344</v>
      </c>
      <c r="C830" s="646" t="s">
        <v>2724</v>
      </c>
      <c r="D830" s="1192" t="s">
        <v>2391</v>
      </c>
      <c r="E830" s="1366" t="n">
        <v>2.1</v>
      </c>
      <c r="F830" s="1366" t="n">
        <v>1.2</v>
      </c>
      <c r="G830" s="1366" t="n">
        <v>0.6</v>
      </c>
    </row>
    <row r="831" ht="12.75" customHeight="1">
      <c r="A831" s="1192" t="n">
        <v>25</v>
      </c>
      <c r="B831" s="1128" t="s">
        <v>343</v>
      </c>
      <c r="C831" s="646" t="s">
        <v>2724</v>
      </c>
      <c r="D831" s="1192" t="s">
        <v>2391</v>
      </c>
      <c r="E831" s="1242" t="n">
        <f aca="false">1.9</f>
        <v>1.9</v>
      </c>
      <c r="F831" s="1242" t="n">
        <f aca="false">0.9</f>
        <v>0.9</v>
      </c>
      <c r="G831" s="1242" t="n">
        <v>0.6</v>
      </c>
    </row>
    <row r="832" ht="12.75" customHeight="1">
      <c r="A832" s="1354" t="n">
        <v>26</v>
      </c>
      <c r="B832" s="646" t="s">
        <v>343</v>
      </c>
      <c r="C832" s="646" t="s">
        <v>2725</v>
      </c>
      <c r="D832" s="1192" t="s">
        <v>2391</v>
      </c>
      <c r="E832" s="1366" t="n">
        <v>2.5</v>
      </c>
      <c r="F832" s="1366" t="n">
        <v>1.1</v>
      </c>
      <c r="G832" s="1366" t="n">
        <v>1.7</v>
      </c>
    </row>
    <row r="833" ht="12.75" customHeight="1">
      <c r="A833" s="1192" t="n">
        <v>27</v>
      </c>
      <c r="B833" s="646" t="s">
        <v>2731</v>
      </c>
      <c r="C833" s="646"/>
      <c r="D833" s="1192" t="s">
        <v>1430</v>
      </c>
      <c r="E833" s="1366" t="n">
        <v>3</v>
      </c>
      <c r="F833" s="1366" t="n">
        <v>2</v>
      </c>
      <c r="G833" s="1366" t="n">
        <v>6</v>
      </c>
    </row>
    <row r="834" ht="12.75" customHeight="1">
      <c r="A834" s="1354" t="n">
        <v>28</v>
      </c>
      <c r="B834" s="748" t="s">
        <v>1927</v>
      </c>
      <c r="C834" s="748"/>
      <c r="D834" s="1192" t="s">
        <v>1430</v>
      </c>
      <c r="E834" s="1366" t="n">
        <v>2</v>
      </c>
      <c r="F834" s="1366" t="n">
        <v>2</v>
      </c>
      <c r="G834" s="1366" t="n">
        <v>6</v>
      </c>
    </row>
    <row r="835" ht="12.75" customHeight="1">
      <c r="A835" s="1192" t="n">
        <v>29</v>
      </c>
      <c r="B835" s="748" t="s">
        <v>1928</v>
      </c>
      <c r="C835" s="748"/>
      <c r="D835" s="1192" t="s">
        <v>1430</v>
      </c>
      <c r="E835" s="1366" t="n">
        <v>2</v>
      </c>
      <c r="F835" s="1366" t="n">
        <v>2</v>
      </c>
      <c r="G835" s="1366" t="n">
        <v>4.4</v>
      </c>
    </row>
    <row r="836" ht="12.75" customHeight="1">
      <c r="A836" s="1354" t="n">
        <v>30</v>
      </c>
      <c r="B836" s="1356" t="s">
        <v>2732</v>
      </c>
      <c r="C836" s="1356"/>
      <c r="D836" s="1165" t="s">
        <v>1423</v>
      </c>
      <c r="E836" s="1366" t="n">
        <v>2</v>
      </c>
      <c r="F836" s="1366" t="n">
        <v>0.5</v>
      </c>
      <c r="G836" s="1366" t="n">
        <v>3</v>
      </c>
    </row>
    <row r="837" ht="12.75" customHeight="1">
      <c r="A837" s="1192" t="n">
        <v>31</v>
      </c>
      <c r="B837" s="646" t="s">
        <v>2733</v>
      </c>
      <c r="C837" s="646"/>
      <c r="D837" s="1192" t="s">
        <v>2734</v>
      </c>
      <c r="E837" s="1366" t="n">
        <v>25</v>
      </c>
      <c r="F837" s="1366" t="n">
        <v>8</v>
      </c>
      <c r="G837" s="1366" t="n">
        <v>24</v>
      </c>
    </row>
    <row r="838" ht="12.75" customHeight="1">
      <c r="A838" s="1354" t="n">
        <v>32</v>
      </c>
      <c r="B838" s="646" t="s">
        <v>2735</v>
      </c>
      <c r="C838" s="646"/>
      <c r="D838" s="1192" t="s">
        <v>2734</v>
      </c>
      <c r="E838" s="1366" t="n">
        <v>12</v>
      </c>
      <c r="F838" s="1366" t="n">
        <v>4</v>
      </c>
      <c r="G838" s="1366" t="n">
        <v>11</v>
      </c>
    </row>
    <row r="839" ht="12.75" customHeight="1">
      <c r="A839" s="1192" t="n">
        <v>33</v>
      </c>
      <c r="B839" s="646" t="s">
        <v>2736</v>
      </c>
      <c r="C839" s="646"/>
      <c r="D839" s="1192" t="s">
        <v>2734</v>
      </c>
      <c r="E839" s="1366" t="n">
        <v>10</v>
      </c>
      <c r="F839" s="1366" t="n">
        <v>3</v>
      </c>
      <c r="G839" s="1366" t="n">
        <v>10</v>
      </c>
    </row>
    <row r="840" ht="12.75" customHeight="1">
      <c r="A840" s="1354" t="n">
        <v>34</v>
      </c>
      <c r="B840" s="646" t="s">
        <v>2737</v>
      </c>
      <c r="C840" s="646"/>
      <c r="D840" s="1192" t="s">
        <v>2734</v>
      </c>
      <c r="E840" s="1366" t="n">
        <v>20</v>
      </c>
      <c r="F840" s="1366" t="n">
        <v>5</v>
      </c>
      <c r="G840" s="1366" t="n">
        <v>20</v>
      </c>
    </row>
    <row r="841" ht="12.75" customHeight="1">
      <c r="A841" s="1192" t="n">
        <v>35</v>
      </c>
      <c r="B841" s="646" t="s">
        <v>2738</v>
      </c>
      <c r="C841" s="646"/>
      <c r="D841" s="1192" t="s">
        <v>2734</v>
      </c>
      <c r="E841" s="1366" t="n">
        <v>11</v>
      </c>
      <c r="F841" s="1366" t="n">
        <v>4</v>
      </c>
      <c r="G841" s="1366" t="n">
        <v>11</v>
      </c>
    </row>
    <row r="842" ht="12.75" customHeight="1">
      <c r="A842" s="1354" t="n">
        <v>36</v>
      </c>
      <c r="B842" s="646" t="s">
        <v>2739</v>
      </c>
      <c r="C842" s="646"/>
      <c r="D842" s="1192" t="s">
        <v>2734</v>
      </c>
      <c r="E842" s="1366" t="n">
        <v>22</v>
      </c>
      <c r="F842" s="1366" t="n">
        <v>8</v>
      </c>
      <c r="G842" s="1366" t="n">
        <v>21</v>
      </c>
    </row>
    <row r="843" ht="12.75" customHeight="1">
      <c r="A843" s="1192" t="n">
        <v>37</v>
      </c>
      <c r="B843" s="748" t="s">
        <v>2740</v>
      </c>
      <c r="C843" s="748"/>
      <c r="D843" s="1192" t="s">
        <v>1427</v>
      </c>
      <c r="E843" s="1366" t="n">
        <v>35</v>
      </c>
      <c r="F843" s="1366" t="n">
        <v>10</v>
      </c>
      <c r="G843" s="1366" t="n">
        <v>45</v>
      </c>
    </row>
    <row r="844" ht="12.75" customHeight="1">
      <c r="A844" s="1354" t="n">
        <v>38</v>
      </c>
      <c r="B844" s="748" t="s">
        <v>2741</v>
      </c>
      <c r="C844" s="748"/>
      <c r="D844" s="1192" t="s">
        <v>1427</v>
      </c>
      <c r="E844" s="1366" t="n">
        <v>25</v>
      </c>
      <c r="F844" s="1366" t="n">
        <v>8</v>
      </c>
      <c r="G844" s="1366" t="n">
        <v>33</v>
      </c>
    </row>
    <row r="845" ht="12.75" customHeight="1">
      <c r="A845" s="1192" t="n">
        <v>39</v>
      </c>
      <c r="B845" s="1356" t="s">
        <v>2742</v>
      </c>
      <c r="C845" s="1356"/>
      <c r="D845" s="1171" t="s">
        <v>1430</v>
      </c>
      <c r="E845" s="1242" t="n">
        <v>1.6</v>
      </c>
      <c r="F845" s="1242" t="n">
        <v>0.4</v>
      </c>
      <c r="G845" s="1242" t="n">
        <v>2.1</v>
      </c>
    </row>
    <row r="846" ht="12.75" customHeight="1">
      <c r="A846" s="1354" t="n">
        <v>40</v>
      </c>
      <c r="B846" s="1356" t="s">
        <v>2743</v>
      </c>
      <c r="C846" s="1356"/>
      <c r="D846" s="1171" t="s">
        <v>2391</v>
      </c>
      <c r="E846" s="1242" t="n">
        <v>3.8</v>
      </c>
      <c r="F846" s="1242" t="n">
        <v>1.8</v>
      </c>
      <c r="G846" s="1242" t="n">
        <v>0.9</v>
      </c>
    </row>
    <row r="847" ht="12.75" customHeight="1">
      <c r="A847" s="1192" t="n">
        <v>41</v>
      </c>
      <c r="B847" s="748" t="s">
        <v>204</v>
      </c>
      <c r="C847" s="748"/>
      <c r="D847" s="1192" t="s">
        <v>1427</v>
      </c>
      <c r="E847" s="1366" t="n">
        <v>53</v>
      </c>
      <c r="F847" s="1366" t="n">
        <v>16</v>
      </c>
      <c r="G847" s="1366" t="n">
        <v>16</v>
      </c>
    </row>
    <row r="848" ht="12.75" customHeight="1">
      <c r="A848" s="1354" t="n">
        <v>42</v>
      </c>
      <c r="B848" s="1128" t="s">
        <v>2744</v>
      </c>
      <c r="C848" s="646" t="s">
        <v>2724</v>
      </c>
      <c r="D848" s="1192" t="s">
        <v>2391</v>
      </c>
      <c r="E848" s="1242" t="n">
        <v>3.5</v>
      </c>
      <c r="F848" s="1242" t="n">
        <v>1.5</v>
      </c>
      <c r="G848" s="1242" t="n">
        <v>1</v>
      </c>
    </row>
    <row r="849" ht="12.75" customHeight="1">
      <c r="A849" s="1192" t="n">
        <v>43</v>
      </c>
      <c r="B849" s="646" t="s">
        <v>2744</v>
      </c>
      <c r="C849" s="646" t="s">
        <v>2725</v>
      </c>
      <c r="D849" s="1192" t="s">
        <v>2391</v>
      </c>
      <c r="E849" s="1366" t="n">
        <v>7</v>
      </c>
      <c r="F849" s="1366" t="n">
        <v>2.5</v>
      </c>
      <c r="G849" s="1366" t="n">
        <v>10</v>
      </c>
    </row>
    <row r="850" ht="12.75" customHeight="1">
      <c r="A850" s="1354" t="n">
        <v>44</v>
      </c>
      <c r="B850" s="748" t="s">
        <v>2745</v>
      </c>
      <c r="C850" s="748"/>
      <c r="D850" s="1192" t="s">
        <v>1430</v>
      </c>
      <c r="E850" s="1366" t="n">
        <v>2.4</v>
      </c>
      <c r="F850" s="1366" t="n">
        <v>0.9</v>
      </c>
      <c r="G850" s="1366" t="n">
        <v>3.7</v>
      </c>
    </row>
    <row r="851" ht="12.75" customHeight="1">
      <c r="A851" s="1192" t="n">
        <v>45</v>
      </c>
      <c r="B851" s="646" t="s">
        <v>2746</v>
      </c>
      <c r="C851" s="646"/>
      <c r="D851" s="1192" t="s">
        <v>1430</v>
      </c>
      <c r="E851" s="1366" t="n">
        <v>2</v>
      </c>
      <c r="F851" s="1366" t="n">
        <v>1.5</v>
      </c>
      <c r="G851" s="1366" t="n">
        <v>5.5</v>
      </c>
    </row>
    <row r="852" ht="12.75" customHeight="1">
      <c r="A852" s="1354" t="n">
        <v>46</v>
      </c>
      <c r="B852" s="1128" t="s">
        <v>2747</v>
      </c>
      <c r="C852" s="646"/>
      <c r="D852" s="1192" t="s">
        <v>1430</v>
      </c>
      <c r="E852" s="1242" t="n">
        <v>2.5</v>
      </c>
      <c r="F852" s="1242" t="n">
        <v>1.5</v>
      </c>
      <c r="G852" s="1242" t="n">
        <v>5</v>
      </c>
    </row>
    <row r="853" ht="12.75" customHeight="1">
      <c r="A853" s="1192" t="n">
        <v>47</v>
      </c>
      <c r="B853" s="748" t="s">
        <v>2748</v>
      </c>
      <c r="C853" s="748"/>
      <c r="D853" s="1192" t="s">
        <v>1427</v>
      </c>
      <c r="E853" s="1366" t="n">
        <v>20</v>
      </c>
      <c r="F853" s="1366" t="n">
        <v>6</v>
      </c>
      <c r="G853" s="1366" t="n">
        <v>25</v>
      </c>
    </row>
    <row r="854" ht="12.75" customHeight="1">
      <c r="A854" s="1190" t="s">
        <v>1815</v>
      </c>
      <c r="B854" s="1189" t="s">
        <v>1909</v>
      </c>
      <c r="C854" s="1189"/>
      <c r="D854" s="1189" t="s">
        <v>1536</v>
      </c>
      <c r="E854" s="1189" t="s">
        <v>2436</v>
      </c>
      <c r="F854" s="1189"/>
      <c r="G854" s="1189"/>
    </row>
    <row r="855" ht="15.75" customHeight="1">
      <c r="A855" s="1190"/>
      <c r="B855" s="1189"/>
      <c r="C855" s="1189"/>
      <c r="D855" s="1189"/>
      <c r="E855" s="983" t="s">
        <v>406</v>
      </c>
      <c r="F855" s="983" t="s">
        <v>2388</v>
      </c>
      <c r="G855" s="983" t="s">
        <v>2389</v>
      </c>
    </row>
    <row r="856" ht="12.75" customHeight="1">
      <c r="A856" s="1354" t="n">
        <v>48</v>
      </c>
      <c r="B856" s="646" t="s">
        <v>2749</v>
      </c>
      <c r="C856" s="646"/>
      <c r="D856" s="1192" t="s">
        <v>1430</v>
      </c>
      <c r="E856" s="1366" t="n">
        <v>5</v>
      </c>
      <c r="F856" s="1366" t="n">
        <v>1.5</v>
      </c>
      <c r="G856" s="1366" t="n">
        <v>3</v>
      </c>
    </row>
    <row r="857" ht="12.75" customHeight="1">
      <c r="A857" s="1192" t="n">
        <v>49</v>
      </c>
      <c r="B857" s="646" t="s">
        <v>2750</v>
      </c>
      <c r="C857" s="646" t="s">
        <v>2724</v>
      </c>
      <c r="D857" s="1192" t="s">
        <v>2391</v>
      </c>
      <c r="E857" s="1366" t="n">
        <v>3.3</v>
      </c>
      <c r="F857" s="1366" t="n">
        <v>1.2</v>
      </c>
      <c r="G857" s="1366" t="n">
        <v>1.4</v>
      </c>
    </row>
    <row r="858" ht="12.75" customHeight="1">
      <c r="A858" s="1354" t="n">
        <v>50</v>
      </c>
      <c r="B858" s="646" t="s">
        <v>2750</v>
      </c>
      <c r="C858" s="646" t="s">
        <v>2751</v>
      </c>
      <c r="D858" s="1192" t="s">
        <v>2391</v>
      </c>
      <c r="E858" s="1366" t="n">
        <v>4.9</v>
      </c>
      <c r="F858" s="1366" t="n">
        <v>1.3</v>
      </c>
      <c r="G858" s="1366" t="n">
        <v>3.1</v>
      </c>
    </row>
    <row r="859" ht="12.75" customHeight="1">
      <c r="A859" s="1192" t="n">
        <v>51</v>
      </c>
      <c r="B859" s="646" t="s">
        <v>2752</v>
      </c>
      <c r="C859" s="646" t="s">
        <v>2724</v>
      </c>
      <c r="D859" s="1192" t="s">
        <v>2391</v>
      </c>
      <c r="E859" s="1366" t="n">
        <v>3.6</v>
      </c>
      <c r="F859" s="1366" t="n">
        <v>1.2</v>
      </c>
      <c r="G859" s="1366" t="n">
        <v>1.4</v>
      </c>
    </row>
    <row r="860" ht="12.75" customHeight="1">
      <c r="A860" s="1354" t="n">
        <v>52</v>
      </c>
      <c r="B860" s="646" t="s">
        <v>2752</v>
      </c>
      <c r="C860" s="646" t="s">
        <v>2751</v>
      </c>
      <c r="D860" s="1192" t="s">
        <v>2391</v>
      </c>
      <c r="E860" s="1366" t="n">
        <v>5.1</v>
      </c>
      <c r="F860" s="1366" t="n">
        <v>1.3</v>
      </c>
      <c r="G860" s="1366" t="n">
        <v>3.6</v>
      </c>
    </row>
    <row r="861" ht="12.75" customHeight="1">
      <c r="A861" s="1192" t="n">
        <v>53</v>
      </c>
      <c r="B861" s="748" t="s">
        <v>2753</v>
      </c>
      <c r="C861" s="748"/>
      <c r="D861" s="1192" t="s">
        <v>1427</v>
      </c>
      <c r="E861" s="1366" t="n">
        <v>13</v>
      </c>
      <c r="F861" s="1366" t="n">
        <v>5</v>
      </c>
      <c r="G861" s="1366" t="n">
        <v>20</v>
      </c>
    </row>
    <row r="862" ht="12.75" customHeight="1">
      <c r="A862" s="1354" t="n">
        <v>54</v>
      </c>
      <c r="B862" s="748" t="s">
        <v>2754</v>
      </c>
      <c r="C862" s="748"/>
      <c r="D862" s="1192" t="s">
        <v>1427</v>
      </c>
      <c r="E862" s="1366" t="n">
        <v>15</v>
      </c>
      <c r="F862" s="1366" t="n">
        <v>6</v>
      </c>
      <c r="G862" s="1366" t="n">
        <v>22</v>
      </c>
    </row>
    <row r="863" ht="12.75" customHeight="1">
      <c r="A863" s="1192" t="n">
        <v>55</v>
      </c>
      <c r="B863" s="1356" t="s">
        <v>2755</v>
      </c>
      <c r="C863" s="1356"/>
      <c r="D863" s="1165" t="s">
        <v>1423</v>
      </c>
      <c r="E863" s="1366" t="n">
        <v>1</v>
      </c>
      <c r="F863" s="1366" t="n">
        <v>1</v>
      </c>
      <c r="G863" s="1366" t="n">
        <v>2</v>
      </c>
    </row>
    <row r="864" ht="12.75" customHeight="1">
      <c r="A864" s="1354" t="n">
        <v>56</v>
      </c>
      <c r="B864" s="646" t="s">
        <v>2756</v>
      </c>
      <c r="C864" s="646"/>
      <c r="D864" s="1192" t="s">
        <v>1430</v>
      </c>
      <c r="E864" s="1366" t="n">
        <v>3.6</v>
      </c>
      <c r="F864" s="1366" t="n">
        <v>1</v>
      </c>
      <c r="G864" s="1366" t="n">
        <v>1.4</v>
      </c>
    </row>
    <row r="865" ht="12.75" customHeight="1">
      <c r="A865" s="1192" t="n">
        <v>57</v>
      </c>
      <c r="B865" s="646" t="s">
        <v>2757</v>
      </c>
      <c r="C865" s="646"/>
      <c r="D865" s="1192" t="s">
        <v>1430</v>
      </c>
      <c r="E865" s="1366" t="n">
        <v>3.4</v>
      </c>
      <c r="F865" s="1366" t="n">
        <v>1</v>
      </c>
      <c r="G865" s="1366" t="n">
        <v>3.2</v>
      </c>
    </row>
    <row r="866" ht="12.75" customHeight="1">
      <c r="A866" s="1354" t="n">
        <v>58</v>
      </c>
      <c r="B866" s="748" t="s">
        <v>2758</v>
      </c>
      <c r="C866" s="748"/>
      <c r="D866" s="1192" t="s">
        <v>1430</v>
      </c>
      <c r="E866" s="1366" t="n">
        <v>1.9</v>
      </c>
      <c r="F866" s="1366" t="n">
        <v>1</v>
      </c>
      <c r="G866" s="1366" t="n">
        <v>4</v>
      </c>
    </row>
    <row r="867" ht="12.75" customHeight="1">
      <c r="A867" s="1192" t="n">
        <v>59</v>
      </c>
      <c r="B867" s="748" t="s">
        <v>2759</v>
      </c>
      <c r="C867" s="748"/>
      <c r="D867" s="1192" t="s">
        <v>1430</v>
      </c>
      <c r="E867" s="1366" t="n">
        <v>2.4</v>
      </c>
      <c r="F867" s="1366" t="n">
        <v>0.9</v>
      </c>
      <c r="G867" s="1366" t="n">
        <v>5.1</v>
      </c>
    </row>
    <row r="868" ht="12.75" customHeight="1">
      <c r="A868" s="1354" t="n">
        <v>60</v>
      </c>
      <c r="B868" s="646" t="s">
        <v>2760</v>
      </c>
      <c r="C868" s="646"/>
      <c r="D868" s="1192" t="s">
        <v>2761</v>
      </c>
      <c r="E868" s="1366" t="n">
        <v>1.2</v>
      </c>
      <c r="F868" s="1366" t="n">
        <v>1</v>
      </c>
      <c r="G868" s="1366" t="n">
        <v>5</v>
      </c>
    </row>
    <row r="869" ht="12.75" customHeight="1">
      <c r="A869" s="1192" t="n">
        <v>61</v>
      </c>
      <c r="B869" s="748" t="s">
        <v>2762</v>
      </c>
      <c r="C869" s="748"/>
      <c r="D869" s="1192" t="s">
        <v>1430</v>
      </c>
      <c r="E869" s="1366" t="n">
        <v>1.6</v>
      </c>
      <c r="F869" s="1366" t="n">
        <v>0.7</v>
      </c>
      <c r="G869" s="1366" t="n">
        <v>3.8</v>
      </c>
    </row>
    <row r="870" ht="12.75" customHeight="1">
      <c r="A870" s="1354" t="n">
        <v>62</v>
      </c>
      <c r="B870" s="748" t="s">
        <v>2763</v>
      </c>
      <c r="C870" s="748"/>
      <c r="D870" s="1192" t="s">
        <v>1430</v>
      </c>
      <c r="E870" s="1366" t="n">
        <v>2.6</v>
      </c>
      <c r="F870" s="1366" t="n">
        <v>3.1</v>
      </c>
      <c r="G870" s="1366" t="n">
        <v>5.3</v>
      </c>
    </row>
    <row r="871" ht="12.75" customHeight="1">
      <c r="A871" s="1192" t="n">
        <v>63</v>
      </c>
      <c r="B871" s="748" t="s">
        <v>2764</v>
      </c>
      <c r="C871" s="748"/>
      <c r="D871" s="1192" t="s">
        <v>1427</v>
      </c>
      <c r="E871" s="1366" t="n">
        <v>32</v>
      </c>
      <c r="F871" s="1366" t="n">
        <v>10</v>
      </c>
      <c r="G871" s="1366" t="n">
        <v>25</v>
      </c>
    </row>
    <row r="872" ht="12.75" customHeight="1">
      <c r="A872" s="1354" t="n">
        <v>64</v>
      </c>
      <c r="B872" s="748" t="s">
        <v>2765</v>
      </c>
      <c r="C872" s="748"/>
      <c r="D872" s="1192" t="s">
        <v>1427</v>
      </c>
      <c r="E872" s="1366" t="n">
        <v>46</v>
      </c>
      <c r="F872" s="1366" t="n">
        <v>12</v>
      </c>
      <c r="G872" s="1366" t="n">
        <v>35</v>
      </c>
    </row>
    <row r="873" ht="12.75" customHeight="1">
      <c r="A873" s="1192" t="n">
        <v>65</v>
      </c>
      <c r="B873" s="1356" t="s">
        <v>2766</v>
      </c>
      <c r="C873" s="1356"/>
      <c r="D873" s="1171" t="s">
        <v>2391</v>
      </c>
      <c r="E873" s="1242" t="n">
        <v>0.9</v>
      </c>
      <c r="F873" s="1242" t="n">
        <v>0.2</v>
      </c>
      <c r="G873" s="1242" t="n">
        <v>1.3</v>
      </c>
    </row>
    <row r="874" ht="12.75" customHeight="1">
      <c r="A874" s="1354" t="n">
        <v>66</v>
      </c>
      <c r="B874" s="646" t="s">
        <v>2767</v>
      </c>
      <c r="C874" s="646" t="s">
        <v>2724</v>
      </c>
      <c r="D874" s="1192" t="s">
        <v>2391</v>
      </c>
      <c r="E874" s="1366" t="n">
        <v>3.5</v>
      </c>
      <c r="F874" s="1366" t="n">
        <v>1.8</v>
      </c>
      <c r="G874" s="1366" t="n">
        <v>1.2</v>
      </c>
    </row>
    <row r="875" ht="12.75" customHeight="1">
      <c r="A875" s="1192" t="n">
        <v>67</v>
      </c>
      <c r="B875" s="646" t="s">
        <v>2768</v>
      </c>
      <c r="C875" s="646" t="s">
        <v>2724</v>
      </c>
      <c r="D875" s="1192" t="s">
        <v>2391</v>
      </c>
      <c r="E875" s="1366" t="n">
        <v>5.6</v>
      </c>
      <c r="F875" s="1366" t="n">
        <v>0.9</v>
      </c>
      <c r="G875" s="1366" t="n">
        <v>1.7</v>
      </c>
    </row>
    <row r="876" ht="12.75" customHeight="1">
      <c r="A876" s="1354" t="n">
        <v>68</v>
      </c>
      <c r="B876" s="646" t="s">
        <v>2768</v>
      </c>
      <c r="C876" s="646" t="s">
        <v>2751</v>
      </c>
      <c r="D876" s="1192" t="s">
        <v>2391</v>
      </c>
      <c r="E876" s="1366" t="n">
        <v>6.1</v>
      </c>
      <c r="F876" s="1366" t="n">
        <v>1.1</v>
      </c>
      <c r="G876" s="1366" t="n">
        <v>2.5</v>
      </c>
    </row>
    <row r="877" ht="12.75" customHeight="1">
      <c r="A877" s="1192" t="n">
        <v>69</v>
      </c>
      <c r="B877" s="646" t="s">
        <v>2769</v>
      </c>
      <c r="C877" s="646" t="s">
        <v>2724</v>
      </c>
      <c r="D877" s="1192" t="s">
        <v>2391</v>
      </c>
      <c r="E877" s="1366" t="n">
        <v>5.6</v>
      </c>
      <c r="F877" s="1366" t="n">
        <v>0.9</v>
      </c>
      <c r="G877" s="1366" t="n">
        <v>1.7</v>
      </c>
    </row>
    <row r="878" ht="12.75" customHeight="1">
      <c r="A878" s="1354" t="n">
        <v>70</v>
      </c>
      <c r="B878" s="646" t="s">
        <v>2769</v>
      </c>
      <c r="C878" s="646" t="s">
        <v>2751</v>
      </c>
      <c r="D878" s="1192" t="s">
        <v>2391</v>
      </c>
      <c r="E878" s="1366" t="n">
        <v>6.2</v>
      </c>
      <c r="F878" s="1366" t="n">
        <v>1</v>
      </c>
      <c r="G878" s="1366" t="n">
        <v>3.9</v>
      </c>
    </row>
    <row r="879" ht="12.75" customHeight="1">
      <c r="A879" s="1192" t="n">
        <v>71</v>
      </c>
      <c r="B879" s="748" t="s">
        <v>2770</v>
      </c>
      <c r="C879" s="748"/>
      <c r="D879" s="1192" t="s">
        <v>1427</v>
      </c>
      <c r="E879" s="1366" t="n">
        <v>12.5</v>
      </c>
      <c r="F879" s="1366" t="n">
        <v>5.5</v>
      </c>
      <c r="G879" s="1366" t="n">
        <v>12.5</v>
      </c>
    </row>
    <row r="880" ht="12.75" customHeight="1">
      <c r="A880" s="1354" t="n">
        <v>72</v>
      </c>
      <c r="B880" s="1128" t="s">
        <v>346</v>
      </c>
      <c r="C880" s="646" t="s">
        <v>2724</v>
      </c>
      <c r="D880" s="1192" t="s">
        <v>2391</v>
      </c>
      <c r="E880" s="1242" t="n">
        <v>1.4</v>
      </c>
      <c r="F880" s="1242" t="n">
        <v>0.7</v>
      </c>
      <c r="G880" s="1242" t="n">
        <v>0.5</v>
      </c>
    </row>
    <row r="881" ht="12.75" customHeight="1">
      <c r="A881" s="1192" t="n">
        <v>73</v>
      </c>
      <c r="B881" s="646" t="s">
        <v>346</v>
      </c>
      <c r="C881" s="646" t="s">
        <v>2725</v>
      </c>
      <c r="D881" s="1192" t="s">
        <v>2391</v>
      </c>
      <c r="E881" s="1366" t="n">
        <v>2.2</v>
      </c>
      <c r="F881" s="1366" t="n">
        <v>0.9</v>
      </c>
      <c r="G881" s="1366" t="n">
        <v>2.3</v>
      </c>
    </row>
    <row r="882" ht="12.75" customHeight="1">
      <c r="A882" s="1354" t="n">
        <v>74</v>
      </c>
      <c r="B882" s="646" t="s">
        <v>2771</v>
      </c>
      <c r="C882" s="646" t="s">
        <v>2724</v>
      </c>
      <c r="D882" s="1192" t="s">
        <v>2391</v>
      </c>
      <c r="E882" s="1366" t="n">
        <v>1.5</v>
      </c>
      <c r="F882" s="1366" t="n">
        <v>0.7</v>
      </c>
      <c r="G882" s="1366" t="n">
        <v>0.5</v>
      </c>
    </row>
    <row r="883" ht="12.75" customHeight="1">
      <c r="A883" s="1192" t="n">
        <v>75</v>
      </c>
      <c r="B883" s="1356" t="s">
        <v>2772</v>
      </c>
      <c r="C883" s="1356"/>
      <c r="D883" s="1171" t="s">
        <v>1430</v>
      </c>
      <c r="E883" s="1242" t="n">
        <v>1.5</v>
      </c>
      <c r="F883" s="1242" t="n">
        <v>0.4</v>
      </c>
      <c r="G883" s="1242" t="n">
        <v>2.5</v>
      </c>
    </row>
    <row r="884" ht="12.75" customHeight="1">
      <c r="A884" s="1354" t="n">
        <v>76</v>
      </c>
      <c r="B884" s="748" t="s">
        <v>2773</v>
      </c>
      <c r="C884" s="748"/>
      <c r="D884" s="1192" t="s">
        <v>1430</v>
      </c>
      <c r="E884" s="1366" t="n">
        <v>2.2</v>
      </c>
      <c r="F884" s="1366" t="n">
        <v>0.8</v>
      </c>
      <c r="G884" s="1366" t="n">
        <v>0.4</v>
      </c>
    </row>
    <row r="885" ht="12.75" customHeight="1">
      <c r="A885" s="1192" t="n">
        <v>77</v>
      </c>
      <c r="B885" s="748" t="s">
        <v>2774</v>
      </c>
      <c r="C885" s="748"/>
      <c r="D885" s="1192" t="s">
        <v>1427</v>
      </c>
      <c r="E885" s="1366" t="n">
        <v>1.8</v>
      </c>
      <c r="F885" s="1366" t="n">
        <v>0.3</v>
      </c>
      <c r="G885" s="1366" t="n">
        <v>4</v>
      </c>
    </row>
    <row r="886" ht="12.75" customHeight="1">
      <c r="A886" s="1354" t="n">
        <v>78</v>
      </c>
      <c r="B886" s="1356" t="s">
        <v>2775</v>
      </c>
      <c r="C886" s="748"/>
      <c r="D886" s="1192" t="s">
        <v>1430</v>
      </c>
      <c r="E886" s="1242" t="n">
        <v>1.6</v>
      </c>
      <c r="F886" s="1242" t="n">
        <v>0.9</v>
      </c>
      <c r="G886" s="1242" t="n">
        <v>4.2</v>
      </c>
    </row>
    <row r="887" ht="12.75" customHeight="1">
      <c r="A887" s="1192" t="n">
        <v>79</v>
      </c>
      <c r="B887" s="1356" t="s">
        <v>2776</v>
      </c>
      <c r="C887" s="1356"/>
      <c r="D887" s="1171" t="s">
        <v>1430</v>
      </c>
      <c r="E887" s="1242" t="n">
        <v>15.8</v>
      </c>
      <c r="F887" s="1242" t="n">
        <v>7.5</v>
      </c>
      <c r="G887" s="1242" t="n">
        <v>10</v>
      </c>
    </row>
    <row r="888" ht="12.75" customHeight="1">
      <c r="A888" s="1354" t="n">
        <v>80</v>
      </c>
      <c r="B888" s="1356" t="s">
        <v>2777</v>
      </c>
      <c r="C888" s="1356"/>
      <c r="D888" s="1171" t="s">
        <v>1430</v>
      </c>
      <c r="E888" s="1242" t="n">
        <v>31.4</v>
      </c>
      <c r="F888" s="1242" t="n">
        <v>9.9</v>
      </c>
      <c r="G888" s="1242" t="n">
        <v>6.7</v>
      </c>
    </row>
    <row r="889" ht="12.75" customHeight="1">
      <c r="A889" s="1192" t="n">
        <v>81</v>
      </c>
      <c r="B889" s="1128" t="s">
        <v>2778</v>
      </c>
      <c r="C889" s="646"/>
      <c r="D889" s="1192" t="s">
        <v>1430</v>
      </c>
      <c r="E889" s="1242" t="n">
        <v>2</v>
      </c>
      <c r="F889" s="1242" t="n">
        <v>1.5</v>
      </c>
      <c r="G889" s="1242" t="n">
        <v>4.6</v>
      </c>
    </row>
    <row r="890" ht="12.75" customHeight="1">
      <c r="A890" s="1354" t="n">
        <v>82</v>
      </c>
      <c r="B890" s="1356" t="s">
        <v>2779</v>
      </c>
      <c r="C890" s="1356"/>
      <c r="D890" s="1171" t="s">
        <v>1430</v>
      </c>
      <c r="E890" s="1242" t="n">
        <v>1.8</v>
      </c>
      <c r="F890" s="1242" t="n">
        <v>0.5</v>
      </c>
      <c r="G890" s="1242" t="n">
        <v>3.2</v>
      </c>
    </row>
    <row r="891" ht="12.75" customHeight="1">
      <c r="A891" s="1192" t="n">
        <v>83</v>
      </c>
      <c r="B891" s="1175" t="s">
        <v>2642</v>
      </c>
      <c r="C891" s="646" t="s">
        <v>2724</v>
      </c>
      <c r="D891" s="1192" t="s">
        <v>2391</v>
      </c>
      <c r="E891" s="1404" t="n">
        <v>1.5</v>
      </c>
      <c r="F891" s="1404" t="n">
        <v>0.8</v>
      </c>
      <c r="G891" s="1404" t="n">
        <v>0.7</v>
      </c>
    </row>
    <row r="892" ht="12.75" customHeight="1">
      <c r="A892" s="1354" t="n">
        <v>84</v>
      </c>
      <c r="B892" s="646" t="s">
        <v>2642</v>
      </c>
      <c r="C892" s="646" t="s">
        <v>2725</v>
      </c>
      <c r="D892" s="1192" t="s">
        <v>2391</v>
      </c>
      <c r="E892" s="1366" t="n">
        <v>2.1</v>
      </c>
      <c r="F892" s="1366" t="n">
        <v>1</v>
      </c>
      <c r="G892" s="1366" t="n">
        <v>1.9</v>
      </c>
    </row>
    <row r="893" ht="12.75" customHeight="1">
      <c r="A893" s="1192" t="n">
        <v>85</v>
      </c>
      <c r="B893" s="1356" t="s">
        <v>2780</v>
      </c>
      <c r="C893" s="1140"/>
      <c r="D893" s="1192" t="s">
        <v>1427</v>
      </c>
      <c r="E893" s="1366" t="n">
        <v>6</v>
      </c>
      <c r="F893" s="1366" t="n">
        <v>3</v>
      </c>
      <c r="G893" s="1366" t="n">
        <v>12</v>
      </c>
    </row>
    <row r="894" ht="12.75" customHeight="1">
      <c r="A894" s="1354" t="n">
        <v>86</v>
      </c>
      <c r="B894" s="1356" t="s">
        <v>2781</v>
      </c>
      <c r="C894" s="1140"/>
      <c r="D894" s="1192" t="s">
        <v>1427</v>
      </c>
      <c r="E894" s="1366" t="n">
        <v>6</v>
      </c>
      <c r="F894" s="1366" t="n">
        <v>2</v>
      </c>
      <c r="G894" s="1366" t="n">
        <v>10</v>
      </c>
    </row>
    <row r="895" ht="12.75" customHeight="1">
      <c r="A895" s="1192" t="n">
        <v>87</v>
      </c>
      <c r="B895" s="1356" t="s">
        <v>2782</v>
      </c>
      <c r="C895" s="1140"/>
      <c r="D895" s="1192" t="s">
        <v>1427</v>
      </c>
      <c r="E895" s="1366" t="n">
        <v>6</v>
      </c>
      <c r="F895" s="1366" t="n">
        <v>2</v>
      </c>
      <c r="G895" s="1366" t="n">
        <v>12</v>
      </c>
    </row>
    <row r="896" ht="12.75" customHeight="1">
      <c r="A896" s="1354" t="n">
        <v>88</v>
      </c>
      <c r="B896" s="1356" t="s">
        <v>2783</v>
      </c>
      <c r="C896" s="1356"/>
      <c r="D896" s="1171" t="s">
        <v>1430</v>
      </c>
      <c r="E896" s="1242" t="n">
        <v>1.1</v>
      </c>
      <c r="F896" s="1242" t="n">
        <v>0.3</v>
      </c>
      <c r="G896" s="1242" t="n">
        <v>2.4</v>
      </c>
    </row>
    <row r="897" ht="12.75" customHeight="1">
      <c r="A897" s="1192" t="n">
        <v>89</v>
      </c>
      <c r="B897" s="748" t="s">
        <v>2784</v>
      </c>
      <c r="C897" s="748"/>
      <c r="D897" s="1192" t="s">
        <v>1427</v>
      </c>
      <c r="E897" s="1366" t="n">
        <v>50</v>
      </c>
      <c r="F897" s="1366" t="n">
        <v>10</v>
      </c>
      <c r="G897" s="1366" t="n">
        <v>55</v>
      </c>
    </row>
    <row r="898" ht="12.75" customHeight="1">
      <c r="A898" s="1354" t="n">
        <v>90</v>
      </c>
      <c r="B898" s="748" t="s">
        <v>2785</v>
      </c>
      <c r="C898" s="748"/>
      <c r="D898" s="1192" t="s">
        <v>1427</v>
      </c>
      <c r="E898" s="1366" t="n">
        <v>35</v>
      </c>
      <c r="F898" s="1366" t="n">
        <v>8</v>
      </c>
      <c r="G898" s="1366" t="n">
        <v>45</v>
      </c>
    </row>
    <row r="899" ht="12.75" customHeight="1">
      <c r="A899" s="1192" t="n">
        <v>91</v>
      </c>
      <c r="B899" s="748" t="s">
        <v>2786</v>
      </c>
      <c r="C899" s="748"/>
      <c r="D899" s="1192" t="s">
        <v>1427</v>
      </c>
      <c r="E899" s="1366" t="n">
        <v>25</v>
      </c>
      <c r="F899" s="1366" t="n">
        <v>7</v>
      </c>
      <c r="G899" s="1366" t="n">
        <v>33</v>
      </c>
    </row>
    <row r="900" ht="12.75" customHeight="1">
      <c r="A900" s="1354" t="n">
        <v>92</v>
      </c>
      <c r="B900" s="646" t="s">
        <v>2787</v>
      </c>
      <c r="C900" s="646"/>
      <c r="D900" s="1165" t="s">
        <v>1423</v>
      </c>
      <c r="E900" s="1366" t="n">
        <v>4.8</v>
      </c>
      <c r="F900" s="1366" t="n">
        <v>1</v>
      </c>
      <c r="G900" s="1366" t="n">
        <v>3.7</v>
      </c>
    </row>
    <row r="901" ht="12.75" customHeight="1">
      <c r="A901" s="1192" t="n">
        <v>93</v>
      </c>
      <c r="B901" s="1356" t="s">
        <v>1947</v>
      </c>
      <c r="C901" s="748"/>
      <c r="D901" s="1192" t="s">
        <v>1430</v>
      </c>
      <c r="E901" s="1242" t="n">
        <v>2.8</v>
      </c>
      <c r="F901" s="1242" t="n">
        <v>1</v>
      </c>
      <c r="G901" s="1242" t="n">
        <v>4</v>
      </c>
    </row>
    <row r="902" ht="12.75" customHeight="1">
      <c r="A902" s="1354" t="n">
        <v>94</v>
      </c>
      <c r="B902" s="646" t="s">
        <v>2788</v>
      </c>
      <c r="C902" s="646"/>
      <c r="D902" s="1165" t="s">
        <v>1423</v>
      </c>
      <c r="E902" s="1366" t="n">
        <v>1.2</v>
      </c>
      <c r="F902" s="1366" t="n">
        <v>0.3</v>
      </c>
      <c r="G902" s="1366" t="n">
        <v>1.9</v>
      </c>
    </row>
    <row r="903" ht="12.75" customHeight="1">
      <c r="A903" s="1192" t="n">
        <v>95</v>
      </c>
      <c r="B903" s="646" t="s">
        <v>2789</v>
      </c>
      <c r="C903" s="646" t="s">
        <v>2724</v>
      </c>
      <c r="D903" s="1192" t="s">
        <v>2391</v>
      </c>
      <c r="E903" s="1366" t="n">
        <v>3.3</v>
      </c>
      <c r="F903" s="1366" t="n">
        <v>0.8</v>
      </c>
      <c r="G903" s="1366" t="n">
        <v>1.1</v>
      </c>
    </row>
    <row r="904" ht="12.75" customHeight="1">
      <c r="A904" s="1354" t="n">
        <v>96</v>
      </c>
      <c r="B904" s="646" t="s">
        <v>2789</v>
      </c>
      <c r="C904" s="646" t="s">
        <v>2751</v>
      </c>
      <c r="D904" s="1192" t="s">
        <v>2391</v>
      </c>
      <c r="E904" s="1366" t="n">
        <v>5</v>
      </c>
      <c r="F904" s="1366" t="n">
        <v>1.4</v>
      </c>
      <c r="G904" s="1366" t="n">
        <v>4.2</v>
      </c>
    </row>
    <row r="905" ht="12.75" customHeight="1">
      <c r="A905" s="1190" t="s">
        <v>1815</v>
      </c>
      <c r="B905" s="1189" t="s">
        <v>1909</v>
      </c>
      <c r="C905" s="1189"/>
      <c r="D905" s="1189" t="s">
        <v>1536</v>
      </c>
      <c r="E905" s="1189" t="s">
        <v>2436</v>
      </c>
      <c r="F905" s="1189"/>
      <c r="G905" s="1189"/>
    </row>
    <row r="906" ht="15.75" customHeight="1">
      <c r="A906" s="1190"/>
      <c r="B906" s="1189"/>
      <c r="C906" s="1189"/>
      <c r="D906" s="1189"/>
      <c r="E906" s="983" t="s">
        <v>406</v>
      </c>
      <c r="F906" s="983" t="s">
        <v>2388</v>
      </c>
      <c r="G906" s="983" t="s">
        <v>2389</v>
      </c>
    </row>
    <row r="907" ht="12.75" customHeight="1">
      <c r="A907" s="1192" t="n">
        <v>97</v>
      </c>
      <c r="B907" s="646" t="s">
        <v>2790</v>
      </c>
      <c r="C907" s="646" t="s">
        <v>2724</v>
      </c>
      <c r="D907" s="1192" t="s">
        <v>2391</v>
      </c>
      <c r="E907" s="1366" t="n">
        <v>3.3</v>
      </c>
      <c r="F907" s="1366" t="n">
        <v>0.8</v>
      </c>
      <c r="G907" s="1366" t="n">
        <v>1.1</v>
      </c>
    </row>
    <row r="908" ht="12.75" customHeight="1">
      <c r="A908" s="1354" t="n">
        <v>98</v>
      </c>
      <c r="B908" s="646" t="s">
        <v>2790</v>
      </c>
      <c r="C908" s="646" t="s">
        <v>2751</v>
      </c>
      <c r="D908" s="1192" t="s">
        <v>2391</v>
      </c>
      <c r="E908" s="1366" t="n">
        <v>5</v>
      </c>
      <c r="F908" s="1366" t="n">
        <v>1.1</v>
      </c>
      <c r="G908" s="1366" t="n">
        <v>3.9</v>
      </c>
    </row>
    <row r="909" ht="12.75" customHeight="1">
      <c r="A909" s="1192" t="n">
        <v>99</v>
      </c>
      <c r="B909" s="646" t="s">
        <v>2791</v>
      </c>
      <c r="C909" s="646"/>
      <c r="D909" s="1192" t="s">
        <v>1430</v>
      </c>
      <c r="E909" s="1366" t="n">
        <v>3.6</v>
      </c>
      <c r="F909" s="1366" t="n">
        <v>1.7</v>
      </c>
      <c r="G909" s="1366" t="n">
        <v>6.5</v>
      </c>
    </row>
    <row r="910" ht="12.75" customHeight="1">
      <c r="A910" s="1354" t="n">
        <v>100</v>
      </c>
      <c r="B910" s="646" t="s">
        <v>2792</v>
      </c>
      <c r="C910" s="646"/>
      <c r="D910" s="1165" t="s">
        <v>1423</v>
      </c>
      <c r="E910" s="1366" t="n">
        <v>1.5</v>
      </c>
      <c r="F910" s="1366" t="n">
        <v>0.5</v>
      </c>
      <c r="G910" s="1366" t="n">
        <v>1.9</v>
      </c>
    </row>
    <row r="911" ht="12.75" customHeight="1">
      <c r="A911" s="1192" t="n">
        <v>101</v>
      </c>
      <c r="B911" s="646" t="s">
        <v>2793</v>
      </c>
      <c r="C911" s="646"/>
      <c r="D911" s="1165" t="s">
        <v>1423</v>
      </c>
      <c r="E911" s="1366" t="n">
        <v>1.3</v>
      </c>
      <c r="F911" s="1366" t="n">
        <v>0.4</v>
      </c>
      <c r="G911" s="1366" t="n">
        <v>3</v>
      </c>
    </row>
    <row r="912" ht="12.75" customHeight="1">
      <c r="A912" s="1354" t="n">
        <v>102</v>
      </c>
      <c r="B912" s="748" t="s">
        <v>368</v>
      </c>
      <c r="C912" s="748"/>
      <c r="D912" s="1165" t="s">
        <v>1423</v>
      </c>
      <c r="E912" s="1192" t="n">
        <v>1.6</v>
      </c>
      <c r="F912" s="1192" t="n">
        <v>0.5</v>
      </c>
      <c r="G912" s="1192" t="n">
        <v>2.4</v>
      </c>
    </row>
    <row r="913" ht="12.75" customHeight="1">
      <c r="A913" s="1192" t="n">
        <v>103</v>
      </c>
      <c r="B913" s="646" t="s">
        <v>2794</v>
      </c>
      <c r="C913" s="646" t="s">
        <v>2724</v>
      </c>
      <c r="D913" s="1192" t="s">
        <v>2391</v>
      </c>
      <c r="E913" s="1366" t="n">
        <v>1.4</v>
      </c>
      <c r="F913" s="1366" t="n">
        <v>0.3</v>
      </c>
      <c r="G913" s="1366" t="n">
        <v>0.3</v>
      </c>
    </row>
    <row r="914" ht="12.75" customHeight="1">
      <c r="A914" s="1354" t="n">
        <v>104</v>
      </c>
      <c r="B914" s="646" t="s">
        <v>2795</v>
      </c>
      <c r="C914" s="646" t="s">
        <v>2724</v>
      </c>
      <c r="D914" s="1192" t="s">
        <v>2391</v>
      </c>
      <c r="E914" s="1366" t="n">
        <v>1.4</v>
      </c>
      <c r="F914" s="1366" t="n">
        <v>1</v>
      </c>
      <c r="G914" s="1366" t="n">
        <v>0.6</v>
      </c>
    </row>
    <row r="915" ht="12.75" customHeight="1">
      <c r="A915" s="1192" t="n">
        <v>105</v>
      </c>
      <c r="B915" s="646" t="s">
        <v>2795</v>
      </c>
      <c r="C915" s="646" t="s">
        <v>2725</v>
      </c>
      <c r="D915" s="1192" t="s">
        <v>2391</v>
      </c>
      <c r="E915" s="1366" t="n">
        <v>2</v>
      </c>
      <c r="F915" s="1366" t="n">
        <v>1.3</v>
      </c>
      <c r="G915" s="1366" t="n">
        <v>1.8</v>
      </c>
    </row>
    <row r="916" ht="12.75" customHeight="1">
      <c r="A916" s="1354" t="n">
        <v>106</v>
      </c>
      <c r="B916" s="646" t="s">
        <v>1877</v>
      </c>
      <c r="C916" s="646" t="s">
        <v>2724</v>
      </c>
      <c r="D916" s="1192" t="s">
        <v>2391</v>
      </c>
      <c r="E916" s="1366" t="n">
        <v>5.7</v>
      </c>
      <c r="F916" s="1366" t="n">
        <v>1.4</v>
      </c>
      <c r="G916" s="1366" t="n">
        <v>1.7</v>
      </c>
    </row>
    <row r="917" ht="12.75" customHeight="1">
      <c r="A917" s="1192" t="n">
        <v>107</v>
      </c>
      <c r="B917" s="646" t="s">
        <v>1877</v>
      </c>
      <c r="C917" s="646" t="s">
        <v>2751</v>
      </c>
      <c r="D917" s="1192" t="s">
        <v>2391</v>
      </c>
      <c r="E917" s="1366" t="n">
        <v>7.1</v>
      </c>
      <c r="F917" s="1366" t="n">
        <v>2.2</v>
      </c>
      <c r="G917" s="1366" t="n">
        <v>5.5</v>
      </c>
    </row>
    <row r="918" ht="12.75" customHeight="1">
      <c r="A918" s="1354" t="n">
        <v>108</v>
      </c>
      <c r="B918" s="646" t="s">
        <v>2796</v>
      </c>
      <c r="C918" s="646" t="s">
        <v>2724</v>
      </c>
      <c r="D918" s="1192" t="s">
        <v>2391</v>
      </c>
      <c r="E918" s="1366" t="n">
        <v>2</v>
      </c>
      <c r="F918" s="1366" t="n">
        <v>0.8</v>
      </c>
      <c r="G918" s="1366" t="n">
        <v>0.5</v>
      </c>
    </row>
    <row r="919" ht="12.75" customHeight="1">
      <c r="A919" s="1192" t="n">
        <v>109</v>
      </c>
      <c r="B919" s="748" t="s">
        <v>2797</v>
      </c>
      <c r="C919" s="748"/>
      <c r="D919" s="1192" t="s">
        <v>1427</v>
      </c>
      <c r="E919" s="1366" t="n">
        <v>15</v>
      </c>
      <c r="F919" s="1366" t="n">
        <v>5.9</v>
      </c>
      <c r="G919" s="1366" t="n">
        <v>20</v>
      </c>
    </row>
    <row r="920" ht="12.75" customHeight="1">
      <c r="A920" s="1354" t="n">
        <v>110</v>
      </c>
      <c r="B920" s="1356" t="s">
        <v>2798</v>
      </c>
      <c r="C920" s="1356"/>
      <c r="D920" s="1171" t="s">
        <v>1427</v>
      </c>
      <c r="E920" s="1366" t="n">
        <v>4</v>
      </c>
      <c r="F920" s="1366" t="n">
        <v>0.5</v>
      </c>
      <c r="G920" s="1366" t="n">
        <v>3</v>
      </c>
    </row>
    <row r="921" ht="12.75" customHeight="1">
      <c r="A921" s="1192" t="n">
        <v>111</v>
      </c>
      <c r="B921" s="1356" t="s">
        <v>2799</v>
      </c>
      <c r="C921" s="1356"/>
      <c r="D921" s="1171" t="s">
        <v>1427</v>
      </c>
      <c r="E921" s="1242" t="n">
        <v>7.5</v>
      </c>
      <c r="F921" s="1242" t="n">
        <v>0.6</v>
      </c>
      <c r="G921" s="1242" t="n">
        <v>6</v>
      </c>
    </row>
    <row r="922" ht="12.75" customHeight="1">
      <c r="A922" s="1354" t="n">
        <v>112</v>
      </c>
      <c r="B922" s="748" t="s">
        <v>2800</v>
      </c>
      <c r="C922" s="748"/>
      <c r="D922" s="1192" t="s">
        <v>1430</v>
      </c>
      <c r="E922" s="1366" t="n">
        <v>1.6</v>
      </c>
      <c r="F922" s="1366" t="n">
        <v>0.6</v>
      </c>
      <c r="G922" s="1366" t="n">
        <v>3.4</v>
      </c>
    </row>
    <row r="923" ht="12.75" customHeight="1">
      <c r="A923" s="1192" t="n">
        <v>113</v>
      </c>
      <c r="B923" s="1128" t="s">
        <v>2801</v>
      </c>
      <c r="C923" s="646" t="s">
        <v>2724</v>
      </c>
      <c r="D923" s="1192" t="s">
        <v>2391</v>
      </c>
      <c r="E923" s="1242" t="n">
        <v>1.9</v>
      </c>
      <c r="F923" s="1242" t="n">
        <v>1.3</v>
      </c>
      <c r="G923" s="1242" t="n">
        <v>0.8</v>
      </c>
    </row>
    <row r="924" ht="12.75" customHeight="1">
      <c r="A924" s="1354" t="n">
        <v>114</v>
      </c>
      <c r="B924" s="646" t="s">
        <v>2801</v>
      </c>
      <c r="C924" s="646" t="s">
        <v>2725</v>
      </c>
      <c r="D924" s="1192" t="s">
        <v>2391</v>
      </c>
      <c r="E924" s="1366" t="n">
        <v>3.7</v>
      </c>
      <c r="F924" s="1366" t="n">
        <v>2.5</v>
      </c>
      <c r="G924" s="1366" t="n">
        <v>10</v>
      </c>
    </row>
    <row r="925" ht="12.75" customHeight="1">
      <c r="A925" s="1192" t="n">
        <v>115</v>
      </c>
      <c r="B925" s="646" t="s">
        <v>351</v>
      </c>
      <c r="C925" s="646" t="s">
        <v>2724</v>
      </c>
      <c r="D925" s="1192" t="s">
        <v>2391</v>
      </c>
      <c r="E925" s="1366" t="n">
        <v>1.9</v>
      </c>
      <c r="F925" s="1366" t="n">
        <v>0.9</v>
      </c>
      <c r="G925" s="1366" t="n">
        <v>0.6</v>
      </c>
    </row>
    <row r="926" ht="12.75" customHeight="1">
      <c r="A926" s="1354" t="n">
        <v>116</v>
      </c>
      <c r="B926" s="646" t="s">
        <v>351</v>
      </c>
      <c r="C926" s="646" t="s">
        <v>2725</v>
      </c>
      <c r="D926" s="1192" t="s">
        <v>2391</v>
      </c>
      <c r="E926" s="1366" t="n">
        <v>2.5</v>
      </c>
      <c r="F926" s="1366" t="n">
        <v>1.1</v>
      </c>
      <c r="G926" s="1366" t="n">
        <v>1.6</v>
      </c>
    </row>
    <row r="927" ht="12.75" customHeight="1">
      <c r="A927" s="1192" t="n">
        <v>117</v>
      </c>
      <c r="B927" s="1356" t="s">
        <v>2802</v>
      </c>
      <c r="C927" s="1356"/>
      <c r="D927" s="1171" t="s">
        <v>2463</v>
      </c>
      <c r="E927" s="1165" t="n">
        <v>0.032</v>
      </c>
      <c r="F927" s="1165" t="n">
        <v>0.03</v>
      </c>
      <c r="G927" s="1165" t="n">
        <v>0.12</v>
      </c>
    </row>
    <row r="928" ht="12.75" customHeight="1">
      <c r="A928" s="1192"/>
      <c r="D928" s="1192"/>
    </row>
    <row r="929" ht="15" customHeight="1">
      <c r="A929" s="357"/>
    </row>
    <row r="930" ht="15" customHeight="1">
      <c r="A930" s="357"/>
    </row>
    <row r="931" ht="15" customHeight="1">
      <c r="A931" s="357"/>
    </row>
    <row r="932" ht="15" customHeight="1">
      <c r="A932" s="357"/>
    </row>
    <row r="934" ht="15" customHeight="1">
      <c r="A934" s="357" t="s">
        <v>2803</v>
      </c>
    </row>
    <row r="935" ht="13.5" customHeight="1"/>
    <row r="936" ht="27" customHeight="1">
      <c r="A936" s="1405"/>
      <c r="B936" s="1406" t="s">
        <v>1534</v>
      </c>
      <c r="C936" s="1406" t="s">
        <v>1535</v>
      </c>
      <c r="D936" s="1406" t="s">
        <v>1536</v>
      </c>
      <c r="E936" s="1406" t="s">
        <v>2804</v>
      </c>
      <c r="F936" s="1406"/>
      <c r="G936" s="1406"/>
      <c r="H936" s="1406"/>
      <c r="I936" s="1406" t="s">
        <v>1538</v>
      </c>
    </row>
    <row r="937" ht="25.5" customHeight="1">
      <c r="A937" s="1407" t="s">
        <v>2805</v>
      </c>
      <c r="B937" s="1408" t="s">
        <v>1540</v>
      </c>
      <c r="C937" s="1409" t="n">
        <f aca="false">D800+D801+D802</f>
        <v>0</v>
      </c>
      <c r="D937" s="1410" t="s">
        <v>1043</v>
      </c>
      <c r="E937" s="1411" t="s">
        <v>2806</v>
      </c>
      <c r="F937" s="1412" t="n">
        <v>3</v>
      </c>
      <c r="G937" s="1412"/>
      <c r="H937" s="1412"/>
      <c r="I937" s="1413" t="n">
        <f aca="false">C937*F937</f>
        <v>0</v>
      </c>
    </row>
    <row r="938" ht="12.75" customHeight="1">
      <c r="A938" s="1407"/>
      <c r="B938" s="1414" t="s">
        <v>1541</v>
      </c>
      <c r="C938" s="1413" t="n">
        <f aca="false">D799</f>
        <v>0</v>
      </c>
      <c r="D938" s="1410" t="s">
        <v>1542</v>
      </c>
      <c r="E938" s="1412" t="s">
        <v>2806</v>
      </c>
      <c r="F938" s="1412" t="n">
        <v>0.8</v>
      </c>
      <c r="G938" s="1412"/>
      <c r="H938" s="1412"/>
      <c r="I938" s="1413" t="n">
        <f aca="false">C938*F938</f>
        <v>0</v>
      </c>
    </row>
    <row r="939" ht="12.75" customHeight="1">
      <c r="A939" s="1407"/>
      <c r="B939" s="1414" t="s">
        <v>1543</v>
      </c>
      <c r="C939" s="1413" t="e">
        <f aca="false">D804+D805</f>
        <v>#VALUE!</v>
      </c>
      <c r="D939" s="1413" t="s">
        <v>1544</v>
      </c>
      <c r="E939" s="1412" t="s">
        <v>2806</v>
      </c>
      <c r="F939" s="1412" t="n">
        <v>3.4</v>
      </c>
      <c r="G939" s="1412"/>
      <c r="H939" s="1412"/>
      <c r="I939" s="1413" t="e">
        <f aca="false">C939*F939</f>
        <v>#VALUE!</v>
      </c>
    </row>
    <row r="940" ht="25.5" customHeight="1">
      <c r="A940" s="1407"/>
      <c r="B940" s="1415" t="s">
        <v>1545</v>
      </c>
      <c r="C940" s="1413" t="s">
        <v>2807</v>
      </c>
      <c r="D940" s="1413" t="s">
        <v>1546</v>
      </c>
      <c r="E940" s="1412" t="s">
        <v>2806</v>
      </c>
      <c r="F940" s="1412" t="n">
        <v>6.2</v>
      </c>
      <c r="G940" s="1412"/>
      <c r="H940" s="1412"/>
      <c r="I940" s="1413" t="s">
        <v>2808</v>
      </c>
    </row>
    <row r="941" ht="26.25" customHeight="1">
      <c r="A941" s="1407"/>
      <c r="B941" s="1416" t="s">
        <v>1547</v>
      </c>
      <c r="C941" s="1410" t="s">
        <v>2807</v>
      </c>
      <c r="D941" s="1410" t="s">
        <v>551</v>
      </c>
      <c r="E941" s="1412" t="s">
        <v>2806</v>
      </c>
      <c r="F941" s="1417" t="n">
        <v>1.2</v>
      </c>
      <c r="G941" s="1417"/>
      <c r="H941" s="1417"/>
      <c r="I941" s="1410" t="s">
        <v>2808</v>
      </c>
    </row>
    <row r="942" ht="12.75" customHeight="1">
      <c r="A942" s="1418" t="s">
        <v>2809</v>
      </c>
      <c r="B942" s="1419" t="s">
        <v>1549</v>
      </c>
      <c r="C942" s="1420" t="n">
        <f aca="false">J506</f>
        <v>0</v>
      </c>
      <c r="D942" s="1421" t="s">
        <v>1552</v>
      </c>
      <c r="E942" s="1411" t="s">
        <v>2806</v>
      </c>
      <c r="F942" s="1412" t="n">
        <v>2500</v>
      </c>
      <c r="G942" s="1412"/>
      <c r="H942" s="1412"/>
      <c r="I942" s="1413" t="n">
        <f aca="false">C942*F942</f>
        <v>0</v>
      </c>
    </row>
    <row r="943" ht="25.5" customHeight="1">
      <c r="A943" s="1418"/>
      <c r="B943" s="1422" t="s">
        <v>1551</v>
      </c>
      <c r="C943" s="1420"/>
      <c r="D943" s="1421"/>
      <c r="E943" s="1412" t="s">
        <v>2810</v>
      </c>
      <c r="F943" s="1423"/>
      <c r="G943" s="1424" t="s">
        <v>2811</v>
      </c>
      <c r="H943" s="1412" t="n">
        <v>81</v>
      </c>
      <c r="I943" s="1413" t="n">
        <f aca="false">C942*F943*H943</f>
        <v>0</v>
      </c>
    </row>
    <row r="944" ht="13.5" customHeight="1">
      <c r="A944" s="1418"/>
      <c r="B944" s="1425" t="s">
        <v>1554</v>
      </c>
      <c r="C944" s="1420"/>
      <c r="D944" s="1421"/>
      <c r="E944" s="1412" t="s">
        <v>2810</v>
      </c>
      <c r="F944" s="1423"/>
      <c r="G944" s="1424"/>
      <c r="H944" s="1426" t="n">
        <v>0.6</v>
      </c>
      <c r="I944" s="1413" t="n">
        <f aca="false">C942*F944*H944</f>
        <v>0</v>
      </c>
    </row>
    <row r="945" ht="25.5" customHeight="1">
      <c r="A945" s="1427" t="s">
        <v>2812</v>
      </c>
      <c r="B945" s="1428" t="s">
        <v>1557</v>
      </c>
      <c r="C945" s="1420" t="n">
        <f aca="false">J506</f>
        <v>0</v>
      </c>
      <c r="D945" s="1429" t="s">
        <v>1552</v>
      </c>
      <c r="E945" s="1412" t="s">
        <v>2810</v>
      </c>
      <c r="F945" s="1430"/>
      <c r="G945" s="1424" t="s">
        <v>2811</v>
      </c>
      <c r="H945" s="1412" t="n">
        <v>47</v>
      </c>
      <c r="I945" s="1413" t="n">
        <f aca="false">C945*F945*H945</f>
        <v>0</v>
      </c>
    </row>
    <row r="946" ht="12.75" customHeight="1">
      <c r="A946" s="1427"/>
      <c r="B946" s="1431" t="s">
        <v>1554</v>
      </c>
      <c r="C946" s="1420"/>
      <c r="D946" s="1429"/>
      <c r="E946" s="1412" t="s">
        <v>2813</v>
      </c>
      <c r="F946" s="1423"/>
      <c r="G946" s="1424"/>
      <c r="H946" s="1412" t="n">
        <v>53</v>
      </c>
      <c r="I946" s="1413" t="n">
        <f aca="false">C945*F946*H946</f>
        <v>0</v>
      </c>
    </row>
    <row r="947" ht="26.25" customHeight="1">
      <c r="A947" s="1427"/>
      <c r="B947" s="1432" t="s">
        <v>1545</v>
      </c>
      <c r="C947" s="1410" t="s">
        <v>2807</v>
      </c>
      <c r="D947" s="1429" t="s">
        <v>1558</v>
      </c>
      <c r="E947" s="1411" t="s">
        <v>2806</v>
      </c>
      <c r="F947" s="1412" t="n">
        <v>5</v>
      </c>
      <c r="G947" s="1412"/>
      <c r="H947" s="1412"/>
      <c r="I947" s="1410" t="s">
        <v>2808</v>
      </c>
    </row>
    <row r="948" ht="13.5" customHeight="1">
      <c r="A948" s="1406" t="s">
        <v>2814</v>
      </c>
      <c r="B948" s="1406"/>
      <c r="C948" s="1406"/>
      <c r="D948" s="1406"/>
      <c r="E948" s="1406"/>
      <c r="F948" s="1406"/>
      <c r="G948" s="1406"/>
      <c r="H948" s="1406"/>
      <c r="I948" s="1433" t="e">
        <f aca="false">SUM(I937:I947)</f>
        <v>#VALUE!</v>
      </c>
    </row>
    <row r="949" ht="39" customHeight="1">
      <c r="A949" s="1434" t="s">
        <v>1560</v>
      </c>
      <c r="B949" s="1435" t="s">
        <v>1561</v>
      </c>
      <c r="C949" s="1413" t="n">
        <f aca="false">F449</f>
        <v>0.68649885583524</v>
      </c>
      <c r="D949" s="1435" t="s">
        <v>94</v>
      </c>
      <c r="E949" s="1412" t="s">
        <v>2806</v>
      </c>
      <c r="F949" s="1436" t="n">
        <v>1835</v>
      </c>
      <c r="G949" s="1436"/>
      <c r="H949" s="1436"/>
      <c r="I949" s="1413" t="n">
        <f aca="false">C949*F949</f>
        <v>1259.72540045767</v>
      </c>
    </row>
    <row r="950" ht="26.25" customHeight="1">
      <c r="A950" s="1434"/>
      <c r="B950" s="1435" t="s">
        <v>1562</v>
      </c>
      <c r="C950" s="1413" t="str">
        <f aca="false">D850</f>
        <v>T</v>
      </c>
      <c r="D950" s="1435" t="s">
        <v>1563</v>
      </c>
      <c r="E950" s="1412" t="s">
        <v>2806</v>
      </c>
      <c r="F950" s="1437" t="n">
        <v>4.6</v>
      </c>
      <c r="G950" s="1437"/>
      <c r="H950" s="1437"/>
      <c r="I950" s="1413" t="e">
        <f aca="false">C950*F950</f>
        <v>#VALUE!</v>
      </c>
    </row>
    <row r="951" ht="12.75" customHeight="1">
      <c r="A951" s="1434"/>
      <c r="B951" s="1438" t="s">
        <v>1564</v>
      </c>
      <c r="C951" s="1439"/>
      <c r="D951" s="1438" t="s">
        <v>1565</v>
      </c>
      <c r="E951" s="1440" t="s">
        <v>2815</v>
      </c>
      <c r="F951" s="1437" t="n">
        <v>500</v>
      </c>
      <c r="G951" s="1437"/>
      <c r="H951" s="1437"/>
      <c r="I951" s="1413" t="n">
        <f aca="false">C951*F951</f>
        <v>0</v>
      </c>
    </row>
    <row r="952" ht="13.5" customHeight="1">
      <c r="A952" s="1434"/>
      <c r="B952" s="1438"/>
      <c r="C952" s="1439"/>
      <c r="D952" s="1438"/>
      <c r="E952" s="1440"/>
      <c r="F952" s="1437"/>
      <c r="G952" s="1437"/>
      <c r="H952" s="1437"/>
      <c r="I952" s="1413"/>
    </row>
    <row r="953" ht="13.5" customHeight="1">
      <c r="A953" s="1406" t="s">
        <v>2816</v>
      </c>
      <c r="B953" s="1406"/>
      <c r="C953" s="1406"/>
      <c r="D953" s="1406"/>
      <c r="E953" s="1406"/>
      <c r="F953" s="1406"/>
      <c r="G953" s="1406"/>
      <c r="H953" s="1406"/>
      <c r="I953" s="1441" t="e">
        <f aca="false">SUM(I949:I952)</f>
        <v>#VALUE!</v>
      </c>
    </row>
    <row r="955" ht="12.75" customHeight="1">
      <c r="A955" t="s">
        <v>2817</v>
      </c>
    </row>
  </sheetData>
  <mergeCells count="173">
    <mergeCell ref="S155:Y155"/>
    <mergeCell ref="T157:T158"/>
    <mergeCell ref="U157:X157"/>
    <mergeCell ref="S163:Y163"/>
    <mergeCell ref="T165:T166"/>
    <mergeCell ref="U165:Y165"/>
    <mergeCell ref="S174:Y174"/>
    <mergeCell ref="B176:H176"/>
    <mergeCell ref="B177:H177"/>
    <mergeCell ref="B178:H178"/>
    <mergeCell ref="A183:A184"/>
    <mergeCell ref="B183:B184"/>
    <mergeCell ref="C183:C184"/>
    <mergeCell ref="D183:E184"/>
    <mergeCell ref="F183:F184"/>
    <mergeCell ref="G183:G184"/>
    <mergeCell ref="D187:D189"/>
    <mergeCell ref="E187:E189"/>
    <mergeCell ref="F187:F189"/>
    <mergeCell ref="D191:D192"/>
    <mergeCell ref="E191:E192"/>
    <mergeCell ref="F191:F192"/>
    <mergeCell ref="B226:B227"/>
    <mergeCell ref="C226:C227"/>
    <mergeCell ref="D226:D227"/>
    <mergeCell ref="B233:B234"/>
    <mergeCell ref="C233:C234"/>
    <mergeCell ref="D233:D234"/>
    <mergeCell ref="G309:G312"/>
    <mergeCell ref="G314:G316"/>
    <mergeCell ref="G318:G319"/>
    <mergeCell ref="G320:G321"/>
    <mergeCell ref="G322:G332"/>
    <mergeCell ref="A392:A393"/>
    <mergeCell ref="B392:C393"/>
    <mergeCell ref="D392:D393"/>
    <mergeCell ref="E392:G392"/>
    <mergeCell ref="A437:A438"/>
    <mergeCell ref="B437:C438"/>
    <mergeCell ref="D437:D438"/>
    <mergeCell ref="E437:G437"/>
    <mergeCell ref="A488:A489"/>
    <mergeCell ref="B488:C489"/>
    <mergeCell ref="D488:D489"/>
    <mergeCell ref="E488:G488"/>
    <mergeCell ref="B517:C517"/>
    <mergeCell ref="A533:A539"/>
    <mergeCell ref="B533:C534"/>
    <mergeCell ref="D533:F533"/>
    <mergeCell ref="B539:C539"/>
    <mergeCell ref="A541:A567"/>
    <mergeCell ref="B541:B542"/>
    <mergeCell ref="C541:C542"/>
    <mergeCell ref="D541:F541"/>
    <mergeCell ref="B545:C545"/>
    <mergeCell ref="B548:B549"/>
    <mergeCell ref="C548:C549"/>
    <mergeCell ref="D548:F548"/>
    <mergeCell ref="B552:C552"/>
    <mergeCell ref="B555:B556"/>
    <mergeCell ref="C555:C556"/>
    <mergeCell ref="D555:F555"/>
    <mergeCell ref="B559:C559"/>
    <mergeCell ref="B562:B563"/>
    <mergeCell ref="C562:C563"/>
    <mergeCell ref="D562:F562"/>
    <mergeCell ref="B566:C566"/>
    <mergeCell ref="H568:H576"/>
    <mergeCell ref="A569:A574"/>
    <mergeCell ref="B569:B570"/>
    <mergeCell ref="C569:C570"/>
    <mergeCell ref="D569:F569"/>
    <mergeCell ref="B573:C573"/>
    <mergeCell ref="A576:A588"/>
    <mergeCell ref="B576:B577"/>
    <mergeCell ref="C576:C577"/>
    <mergeCell ref="D576:F576"/>
    <mergeCell ref="H577:H580"/>
    <mergeCell ref="B580:C580"/>
    <mergeCell ref="H581:H584"/>
    <mergeCell ref="B582:B583"/>
    <mergeCell ref="C582:C583"/>
    <mergeCell ref="D582:F582"/>
    <mergeCell ref="B586:B587"/>
    <mergeCell ref="C586:C587"/>
    <mergeCell ref="D586:F586"/>
    <mergeCell ref="A590:A595"/>
    <mergeCell ref="B590:B591"/>
    <mergeCell ref="C590:C591"/>
    <mergeCell ref="D590:F590"/>
    <mergeCell ref="B592:C592"/>
    <mergeCell ref="B593:C593"/>
    <mergeCell ref="B594:C594"/>
    <mergeCell ref="B595:C595"/>
    <mergeCell ref="A597:A605"/>
    <mergeCell ref="B597:B598"/>
    <mergeCell ref="C597:C598"/>
    <mergeCell ref="D597:F597"/>
    <mergeCell ref="B602:B603"/>
    <mergeCell ref="C602:C603"/>
    <mergeCell ref="D602:F602"/>
    <mergeCell ref="B604:C604"/>
    <mergeCell ref="A607:A618"/>
    <mergeCell ref="B607:B608"/>
    <mergeCell ref="C607:C608"/>
    <mergeCell ref="D607:F607"/>
    <mergeCell ref="B613:C613"/>
    <mergeCell ref="B616:B617"/>
    <mergeCell ref="C616:C617"/>
    <mergeCell ref="D616:F616"/>
    <mergeCell ref="A620:A627"/>
    <mergeCell ref="B620:B621"/>
    <mergeCell ref="C620:C621"/>
    <mergeCell ref="D620:F620"/>
    <mergeCell ref="B626:C626"/>
    <mergeCell ref="A629:A645"/>
    <mergeCell ref="B629:B630"/>
    <mergeCell ref="C629:C630"/>
    <mergeCell ref="D629:F629"/>
    <mergeCell ref="B636:C636"/>
    <mergeCell ref="B638:B639"/>
    <mergeCell ref="C638:C639"/>
    <mergeCell ref="D638:F638"/>
    <mergeCell ref="B643:B644"/>
    <mergeCell ref="C643:C644"/>
    <mergeCell ref="D643:F643"/>
    <mergeCell ref="A647:A653"/>
    <mergeCell ref="B647:B648"/>
    <mergeCell ref="C647:C648"/>
    <mergeCell ref="D647:F647"/>
    <mergeCell ref="B705:B718"/>
    <mergeCell ref="B721:B734"/>
    <mergeCell ref="B748:D748"/>
    <mergeCell ref="A805:A806"/>
    <mergeCell ref="B805:C806"/>
    <mergeCell ref="D805:D806"/>
    <mergeCell ref="E805:G805"/>
    <mergeCell ref="A854:A855"/>
    <mergeCell ref="B854:C855"/>
    <mergeCell ref="D854:D855"/>
    <mergeCell ref="E854:G854"/>
    <mergeCell ref="A905:A906"/>
    <mergeCell ref="B905:C906"/>
    <mergeCell ref="D905:D906"/>
    <mergeCell ref="E905:G905"/>
    <mergeCell ref="E936:H936"/>
    <mergeCell ref="A937:A941"/>
    <mergeCell ref="F937:H937"/>
    <mergeCell ref="F938:H938"/>
    <mergeCell ref="F939:H939"/>
    <mergeCell ref="F940:H940"/>
    <mergeCell ref="F941:H941"/>
    <mergeCell ref="A942:A944"/>
    <mergeCell ref="C942:C944"/>
    <mergeCell ref="D942:D944"/>
    <mergeCell ref="F942:H942"/>
    <mergeCell ref="G943:G944"/>
    <mergeCell ref="A945:A947"/>
    <mergeCell ref="C945:C946"/>
    <mergeCell ref="D945:D946"/>
    <mergeCell ref="G945:G946"/>
    <mergeCell ref="F947:H947"/>
    <mergeCell ref="A948:H948"/>
    <mergeCell ref="A949:A952"/>
    <mergeCell ref="F949:H949"/>
    <mergeCell ref="F950:H950"/>
    <mergeCell ref="B951:B952"/>
    <mergeCell ref="C951:C952"/>
    <mergeCell ref="D951:D952"/>
    <mergeCell ref="E951:E952"/>
    <mergeCell ref="F951:H952"/>
    <mergeCell ref="I951:I952"/>
    <mergeCell ref="A953:H953"/>
  </mergeCells>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drawing r:id="rId1"/>
  <legacyDrawing r:id="rIdvml"/>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tabColor rgb="FF99CC00"/>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F265" activeCellId="0" sqref="F265"/>
    </sheetView>
  </sheetViews>
  <sheetFormatPr defaultRowHeight="15.0" baseColWidth="10" outlineLevelCol="1"/>
  <cols>
    <col min="1" max="1" width="10.69" hidden="false" outlineLevel="1" customWidth="1"/>
    <col min="2" max="2" width="10.69" hidden="false" outlineLevel="1" customWidth="1"/>
    <col min="3" max="3" width="10.69" hidden="false" outlineLevel="1" customWidth="1"/>
    <col min="4" max="4" width="10.69" hidden="false" outlineLevel="1" customWidth="1"/>
    <col min="5" max="5" width="10.69" hidden="false" outlineLevel="1" customWidth="1"/>
    <col min="6" max="6" width="10.69" hidden="false" outlineLevel="1" customWidth="1"/>
    <col min="7" max="7" width="11.69" hidden="false" outlineLevel="1" customWidth="1"/>
    <col min="8" max="8" width="10.69" hidden="false" outlineLevel="1" customWidth="1"/>
    <col min="9" max="9" width="10.69" hidden="false" outlineLevel="1" customWidth="1"/>
    <col min="10" max="10" width="10.69" hidden="false" outlineLevel="1" customWidth="1"/>
    <col min="11" max="11" width="14.12" hidden="false" outlineLevel="1" customWidth="1"/>
    <col min="12" max="12" width="3.84" hidden="false" outlineLevel="1" customWidth="1"/>
    <col min="13" max="13" width="3.57" hidden="false" outlineLevel="1" customWidth="1"/>
    <col min="14" max="14" width="21.82" hidden="false" outlineLevel="1" customWidth="1"/>
    <col min="15" max="15" width="12.98" hidden="false" outlineLevel="1" customWidth="1"/>
    <col min="16" max="16" width="11.98" hidden="false" outlineLevel="1" customWidth="1"/>
    <col min="17" max="17" width="11.4" hidden="false" outlineLevel="1" customWidth="1"/>
    <col min="18" max="18" width="10.69" hidden="false" outlineLevel="1" customWidth="1"/>
    <col min="19" max="19" width="10.69" hidden="false" outlineLevel="1" customWidth="1"/>
    <col min="20" max="20" width="10.69" hidden="false" outlineLevel="1" customWidth="1"/>
    <col min="21" max="21" width="10.69" hidden="false" outlineLevel="1" customWidth="1"/>
    <col min="22" max="22" width="10.69" hidden="false" outlineLevel="1" customWidth="1"/>
    <col min="23" max="23" width="10.69" hidden="false" outlineLevel="1" customWidth="1"/>
    <col min="24" max="24" width="10.69" hidden="false" outlineLevel="1" customWidth="1"/>
    <col min="25" max="25" width="10.69" hidden="false" outlineLevel="1" customWidth="1"/>
    <col min="26" max="26" width="10.69" hidden="false" outlineLevel="1" customWidth="1"/>
    <col min="27" max="27" width="10.69" hidden="false" outlineLevel="1" customWidth="1"/>
    <col min="28" max="28" width="10.69" hidden="false" outlineLevel="1" customWidth="1"/>
    <col min="29" max="29" width="10.69" hidden="false" outlineLevel="1" customWidth="1"/>
    <col min="30" max="30" width="10.69" hidden="false" outlineLevel="1" customWidth="1"/>
    <col min="31" max="31" width="10.69" hidden="false" outlineLevel="1" customWidth="1"/>
    <col min="32" max="32" width="10.69" hidden="false" outlineLevel="1" customWidth="1"/>
    <col min="33" max="33" width="10.69" hidden="false" outlineLevel="1" customWidth="1"/>
    <col min="34" max="34" width="10.69" hidden="false" outlineLevel="1" customWidth="1"/>
    <col min="35" max="35" width="10.69" hidden="false" outlineLevel="1" customWidth="1"/>
    <col min="36" max="36" width="10.69" hidden="false" outlineLevel="1" customWidth="1"/>
    <col min="37" max="37" width="10.69" hidden="false" outlineLevel="1" customWidth="1"/>
    <col min="38" max="38" width="10.69" hidden="false" outlineLevel="1" customWidth="1"/>
    <col min="39" max="39" width="10.69" hidden="false" outlineLevel="1" customWidth="1"/>
    <col min="40" max="40" width="10.69" hidden="false" outlineLevel="1" customWidth="1"/>
    <col min="41" max="41" width="10.69" hidden="false" outlineLevel="1" customWidth="1"/>
    <col min="42" max="42" width="10.69" hidden="false" outlineLevel="1" customWidth="1"/>
    <col min="43" max="43" width="10.69" hidden="false" outlineLevel="1" customWidth="1"/>
    <col min="44" max="44" width="10.69" hidden="false" outlineLevel="1" customWidth="1"/>
    <col min="45" max="45" width="10.69" hidden="false" outlineLevel="1" customWidth="1"/>
    <col min="46" max="46" width="10.69" hidden="false" outlineLevel="1" customWidth="1"/>
    <col min="47" max="47" width="10.69" hidden="false" outlineLevel="1" customWidth="1"/>
    <col min="48" max="48" width="10.69" hidden="false" outlineLevel="1" customWidth="1"/>
    <col min="49" max="49" width="10.69" hidden="false" outlineLevel="1" customWidth="1"/>
    <col min="50" max="50" width="10.69" hidden="false" outlineLevel="1" customWidth="1"/>
    <col min="51" max="51" width="10.69" hidden="false" outlineLevel="1" customWidth="1"/>
    <col min="52" max="52" width="10.69" hidden="false" outlineLevel="1" customWidth="1"/>
    <col min="53" max="53" width="10.69" hidden="false" outlineLevel="1" customWidth="1"/>
    <col min="54" max="54" width="10.69" hidden="false" outlineLevel="1" customWidth="1"/>
    <col min="55" max="55" width="10.69" hidden="false" outlineLevel="1" customWidth="1"/>
    <col min="56" max="56" width="10.69" hidden="false" outlineLevel="1" customWidth="1"/>
    <col min="57" max="57" width="10.69" hidden="false" outlineLevel="1" customWidth="1"/>
    <col min="58" max="58" width="10.69" hidden="false" outlineLevel="1" customWidth="1"/>
    <col min="59" max="59" width="10.69" hidden="false" outlineLevel="1" customWidth="1"/>
    <col min="60" max="60" width="10.69" hidden="false" outlineLevel="1" customWidth="1"/>
    <col min="61" max="61" width="10.69" hidden="false" outlineLevel="1" customWidth="1"/>
    <col min="62" max="62" width="10.69" hidden="false" outlineLevel="1" customWidth="1"/>
    <col min="63" max="63" width="10.69" hidden="false" outlineLevel="1" customWidth="1"/>
    <col min="64" max="64" width="10.69" hidden="false" outlineLevel="1" customWidth="1"/>
    <col min="65" max="65" width="10.69" hidden="false" outlineLevel="1" customWidth="1"/>
    <col min="66" max="66" width="10.69" hidden="false" outlineLevel="1" customWidth="1"/>
    <col min="67" max="67" width="10.69" hidden="false" outlineLevel="1" customWidth="1"/>
    <col min="68" max="68" width="10.69" hidden="false" outlineLevel="1" customWidth="1"/>
    <col min="69" max="69" width="10.69" hidden="false" outlineLevel="1" customWidth="1"/>
    <col min="70" max="70" width="10.69" hidden="false" outlineLevel="1" customWidth="1"/>
    <col min="71" max="71" width="10.69" hidden="false" outlineLevel="1" customWidth="1"/>
    <col min="72" max="72" width="10.69" hidden="false" outlineLevel="1" customWidth="1"/>
    <col min="73" max="73" width="10.69" hidden="false" outlineLevel="1" customWidth="1"/>
    <col min="74" max="74" width="10.69" hidden="false" outlineLevel="1" customWidth="1"/>
    <col min="75" max="75" width="10.69" hidden="false" outlineLevel="1" customWidth="1"/>
    <col min="76" max="76" width="10.69" hidden="false" outlineLevel="1" customWidth="1"/>
    <col min="77" max="77" width="10.69" hidden="false" outlineLevel="1" customWidth="1"/>
    <col min="78" max="78" width="10.69" hidden="false" outlineLevel="1" customWidth="1"/>
    <col min="79" max="79" width="10.69" hidden="false" outlineLevel="1" customWidth="1"/>
    <col min="80" max="80" width="10.69" hidden="false" outlineLevel="1" customWidth="1"/>
    <col min="81" max="81" width="10.69" hidden="false" outlineLevel="1" customWidth="1"/>
    <col min="82" max="82" width="10.69" hidden="false" outlineLevel="1" customWidth="1"/>
    <col min="83" max="83" width="10.69" hidden="false" outlineLevel="1" customWidth="1"/>
    <col min="84" max="84" width="10.69" hidden="false" outlineLevel="1" customWidth="1"/>
    <col min="85" max="85" width="10.69" hidden="false" outlineLevel="1" customWidth="1"/>
    <col min="86" max="86" width="10.69" hidden="false" outlineLevel="1" customWidth="1"/>
    <col min="87" max="87" width="10.69" hidden="false" outlineLevel="1" customWidth="1"/>
    <col min="88" max="88" width="10.69" hidden="false" outlineLevel="1" customWidth="1"/>
    <col min="89" max="89" width="10.69" hidden="false" outlineLevel="1" customWidth="1"/>
    <col min="90" max="90" width="10.69" hidden="false" outlineLevel="1" customWidth="1"/>
    <col min="91" max="91" width="10.69" hidden="false" outlineLevel="1" customWidth="1"/>
    <col min="92" max="92" width="10.69" hidden="false" outlineLevel="1" customWidth="1"/>
    <col min="93" max="93" width="10.69" hidden="false" outlineLevel="1" customWidth="1"/>
    <col min="94" max="94" width="10.69" hidden="false" outlineLevel="1" customWidth="1"/>
    <col min="95" max="95" width="10.69" hidden="false" outlineLevel="1" customWidth="1"/>
    <col min="96" max="96" width="10.69" hidden="false" outlineLevel="1" customWidth="1"/>
    <col min="97" max="97" width="10.69" hidden="false" outlineLevel="1" customWidth="1"/>
    <col min="98" max="98" width="10.69" hidden="false" outlineLevel="1" customWidth="1"/>
    <col min="99" max="99" width="10.69" hidden="false" outlineLevel="1" customWidth="1"/>
    <col min="100" max="100" width="10.69" hidden="false" outlineLevel="1" customWidth="1"/>
    <col min="101" max="101" width="10.69" hidden="false" outlineLevel="1" customWidth="1"/>
    <col min="102" max="102" width="10.69" hidden="false" outlineLevel="1" customWidth="1"/>
    <col min="103" max="103" width="10.69" hidden="false" outlineLevel="1" customWidth="1"/>
    <col min="104" max="104" width="10.69" hidden="false" outlineLevel="1" customWidth="1"/>
    <col min="105" max="105" width="10.69" hidden="false" outlineLevel="1" customWidth="1"/>
    <col min="106" max="106" width="10.69" hidden="false" outlineLevel="1" customWidth="1"/>
    <col min="107" max="107" width="10.69" hidden="false" outlineLevel="1" customWidth="1"/>
    <col min="108" max="108" width="10.69" hidden="false" outlineLevel="1" customWidth="1"/>
    <col min="109" max="109" width="10.69" hidden="false" outlineLevel="1" customWidth="1"/>
    <col min="110" max="110" width="10.69" hidden="false" outlineLevel="1" customWidth="1"/>
    <col min="111" max="111" width="10.69" hidden="false" outlineLevel="1" customWidth="1"/>
    <col min="112" max="112" width="10.69" hidden="false" outlineLevel="1" customWidth="1"/>
    <col min="113" max="113" width="10.69" hidden="false" outlineLevel="1" customWidth="1"/>
    <col min="114" max="114" width="10.69" hidden="false" outlineLevel="1" customWidth="1"/>
    <col min="115" max="115" width="10.69" hidden="false" outlineLevel="1" customWidth="1"/>
    <col min="116" max="116" width="10.69" hidden="false" outlineLevel="1" customWidth="1"/>
    <col min="117" max="117" width="10.69" hidden="false" outlineLevel="1" customWidth="1"/>
    <col min="118" max="118" width="10.69" hidden="false" outlineLevel="1" customWidth="1"/>
    <col min="119" max="119" width="10.69" hidden="false" outlineLevel="1" customWidth="1"/>
    <col min="120" max="120" width="10.69" hidden="false" outlineLevel="1" customWidth="1"/>
    <col min="121" max="121" width="10.69" hidden="false" outlineLevel="1" customWidth="1"/>
    <col min="122" max="122" width="10.69" hidden="false" outlineLevel="1" customWidth="1"/>
    <col min="123" max="123" width="10.69" hidden="false" outlineLevel="1" customWidth="1"/>
    <col min="124" max="124" width="10.69" hidden="false" outlineLevel="1" customWidth="1"/>
    <col min="125" max="125" width="10.69" hidden="false" outlineLevel="1" customWidth="1"/>
    <col min="126" max="126" width="10.69" hidden="false" outlineLevel="1" customWidth="1"/>
    <col min="127" max="127" width="10.69" hidden="false" outlineLevel="1" customWidth="1"/>
    <col min="128" max="128" width="10.69" hidden="false" outlineLevel="1" customWidth="1"/>
    <col min="129" max="129" width="10.69" hidden="false" outlineLevel="1" customWidth="1"/>
    <col min="130" max="130" width="10.69" hidden="false" outlineLevel="1" customWidth="1"/>
    <col min="131" max="131" width="10.69" hidden="false" outlineLevel="1" customWidth="1"/>
    <col min="132" max="132" width="10.69" hidden="false" outlineLevel="1" customWidth="1"/>
    <col min="133" max="133" width="10.69" hidden="false" outlineLevel="1" customWidth="1"/>
    <col min="134" max="134" width="10.69" hidden="false" outlineLevel="1" customWidth="1"/>
    <col min="135" max="135" width="10.69" hidden="false" outlineLevel="1" customWidth="1"/>
    <col min="136" max="136" width="10.69" hidden="false" outlineLevel="1" customWidth="1"/>
    <col min="137" max="137" width="10.69" hidden="false" outlineLevel="1" customWidth="1"/>
    <col min="138" max="138" width="10.69" hidden="false" outlineLevel="1" customWidth="1"/>
    <col min="139" max="139" width="10.69" hidden="false" outlineLevel="1" customWidth="1"/>
    <col min="140" max="140" width="10.69" hidden="false" outlineLevel="1" customWidth="1"/>
    <col min="141" max="141" width="10.69" hidden="false" outlineLevel="1" customWidth="1"/>
    <col min="142" max="142" width="10.69" hidden="false" outlineLevel="1" customWidth="1"/>
    <col min="143" max="143" width="10.69" hidden="false" outlineLevel="1" customWidth="1"/>
    <col min="144" max="144" width="10.69" hidden="false" outlineLevel="1" customWidth="1"/>
    <col min="145" max="145" width="10.69" hidden="false" outlineLevel="1" customWidth="1"/>
    <col min="146" max="146" width="10.69" hidden="false" outlineLevel="1" customWidth="1"/>
    <col min="147" max="147" width="10.69" hidden="false" outlineLevel="1" customWidth="1"/>
    <col min="148" max="148" width="10.69" hidden="false" outlineLevel="1" customWidth="1"/>
    <col min="149" max="149" width="10.69" hidden="false" outlineLevel="1" customWidth="1"/>
    <col min="150" max="150" width="10.69" hidden="false" outlineLevel="1" customWidth="1"/>
    <col min="151" max="151" width="10.69" hidden="false" outlineLevel="1" customWidth="1"/>
    <col min="152" max="152" width="10.69" hidden="false" outlineLevel="1" customWidth="1"/>
    <col min="153" max="153" width="10.69" hidden="false" outlineLevel="1" customWidth="1"/>
    <col min="154" max="154" width="10.69" hidden="false" outlineLevel="1" customWidth="1"/>
    <col min="155" max="155" width="10.69" hidden="false" outlineLevel="1" customWidth="1"/>
    <col min="156" max="156" width="10.69" hidden="false" outlineLevel="1" customWidth="1"/>
    <col min="157" max="157" width="10.69" hidden="false" outlineLevel="1" customWidth="1"/>
    <col min="158" max="158" width="10.69" hidden="false" outlineLevel="1" customWidth="1"/>
    <col min="159" max="159" width="10.69" hidden="false" outlineLevel="1" customWidth="1"/>
    <col min="160" max="160" width="10.69" hidden="false" outlineLevel="1" customWidth="1"/>
    <col min="161" max="161" width="10.69" hidden="false" outlineLevel="1" customWidth="1"/>
    <col min="162" max="162" width="10.69" hidden="false" outlineLevel="1" customWidth="1"/>
    <col min="163" max="163" width="10.69" hidden="false" outlineLevel="1" customWidth="1"/>
    <col min="164" max="164" width="10.69" hidden="false" outlineLevel="1" customWidth="1"/>
    <col min="165" max="165" width="10.69" hidden="false" outlineLevel="1" customWidth="1"/>
    <col min="166" max="166" width="10.69" hidden="false" outlineLevel="1" customWidth="1"/>
    <col min="167" max="167" width="10.69" hidden="false" outlineLevel="1" customWidth="1"/>
    <col min="168" max="168" width="10.69" hidden="false" outlineLevel="1" customWidth="1"/>
    <col min="169" max="169" width="10.69" hidden="false" outlineLevel="1" customWidth="1"/>
    <col min="170" max="170" width="10.69" hidden="false" outlineLevel="1" customWidth="1"/>
    <col min="171" max="171" width="10.69" hidden="false" outlineLevel="1" customWidth="1"/>
    <col min="172" max="172" width="10.69" hidden="false" outlineLevel="1" customWidth="1"/>
    <col min="173" max="173" width="10.69" hidden="false" outlineLevel="1" customWidth="1"/>
    <col min="174" max="174" width="10.69" hidden="false" outlineLevel="1" customWidth="1"/>
    <col min="175" max="175" width="10.69" hidden="false" outlineLevel="1" customWidth="1"/>
    <col min="176" max="176" width="10.69" hidden="false" outlineLevel="1" customWidth="1"/>
    <col min="177" max="177" width="10.69" hidden="false" outlineLevel="1" customWidth="1"/>
    <col min="178" max="178" width="10.69" hidden="false" outlineLevel="1" customWidth="1"/>
    <col min="179" max="179" width="10.69" hidden="false" outlineLevel="1" customWidth="1"/>
    <col min="180" max="180" width="10.69" hidden="false" outlineLevel="1" customWidth="1"/>
    <col min="181" max="181" width="10.69" hidden="false" outlineLevel="1" customWidth="1"/>
    <col min="182" max="182" width="10.69" hidden="false" outlineLevel="1" customWidth="1"/>
    <col min="183" max="183" width="10.69" hidden="false" outlineLevel="1" customWidth="1"/>
    <col min="184" max="184" width="10.69" hidden="false" outlineLevel="1" customWidth="1"/>
    <col min="185" max="185" width="10.69" hidden="false" outlineLevel="1" customWidth="1"/>
    <col min="186" max="186" width="10.69" hidden="false" outlineLevel="1" customWidth="1"/>
    <col min="187" max="187" width="10.69" hidden="false" outlineLevel="1" customWidth="1"/>
    <col min="188" max="188" width="10.69" hidden="false" outlineLevel="1" customWidth="1"/>
    <col min="189" max="189" width="10.69" hidden="false" outlineLevel="1" customWidth="1"/>
    <col min="190" max="190" width="10.69" hidden="false" outlineLevel="1" customWidth="1"/>
    <col min="191" max="191" width="10.69" hidden="false" outlineLevel="1" customWidth="1"/>
    <col min="192" max="192" width="10.69" hidden="false" outlineLevel="1" customWidth="1"/>
    <col min="193" max="193" width="10.69" hidden="false" outlineLevel="1" customWidth="1"/>
    <col min="194" max="194" width="10.69" hidden="false" outlineLevel="1" customWidth="1"/>
    <col min="195" max="195" width="10.69" hidden="false" outlineLevel="1" customWidth="1"/>
    <col min="196" max="196" width="10.69" hidden="false" outlineLevel="1" customWidth="1"/>
    <col min="197" max="197" width="10.69" hidden="false" outlineLevel="1" customWidth="1"/>
    <col min="198" max="198" width="10.69" hidden="false" outlineLevel="1" customWidth="1"/>
    <col min="199" max="199" width="10.69" hidden="false" outlineLevel="1" customWidth="1"/>
    <col min="200" max="200" width="10.69" hidden="false" outlineLevel="1" customWidth="1"/>
    <col min="201" max="201" width="10.69" hidden="false" outlineLevel="1" customWidth="1"/>
    <col min="202" max="202" width="10.69" hidden="false" outlineLevel="1" customWidth="1"/>
    <col min="203" max="203" width="10.69" hidden="false" outlineLevel="1" customWidth="1"/>
    <col min="204" max="204" width="10.69" hidden="false" outlineLevel="1" customWidth="1"/>
    <col min="205" max="205" width="10.69" hidden="false" outlineLevel="1" customWidth="1"/>
    <col min="206" max="206" width="10.69" hidden="false" outlineLevel="1" customWidth="1"/>
    <col min="207" max="207" width="10.69" hidden="false" outlineLevel="1" customWidth="1"/>
    <col min="208" max="208" width="10.69" hidden="false" outlineLevel="1" customWidth="1"/>
    <col min="209" max="209" width="10.69" hidden="false" outlineLevel="1" customWidth="1"/>
    <col min="210" max="210" width="10.69" hidden="false" outlineLevel="1" customWidth="1"/>
    <col min="211" max="211" width="10.69" hidden="false" outlineLevel="1" customWidth="1"/>
    <col min="212" max="212" width="10.69" hidden="false" outlineLevel="1" customWidth="1"/>
    <col min="213" max="213" width="10.69" hidden="false" outlineLevel="1" customWidth="1"/>
    <col min="214" max="214" width="10.69" hidden="false" outlineLevel="1" customWidth="1"/>
    <col min="215" max="215" width="10.69" hidden="false" outlineLevel="1" customWidth="1"/>
    <col min="216" max="216" width="10.69" hidden="false" outlineLevel="1" customWidth="1"/>
    <col min="217" max="217" width="10.69" hidden="false" outlineLevel="1" customWidth="1"/>
    <col min="218" max="218" width="10.69" hidden="false" outlineLevel="1" customWidth="1"/>
    <col min="219" max="219" width="10.69" hidden="false" outlineLevel="1" customWidth="1"/>
    <col min="220" max="220" width="10.69" hidden="false" outlineLevel="1" customWidth="1"/>
    <col min="221" max="221" width="10.69" hidden="false" outlineLevel="1" customWidth="1"/>
    <col min="222" max="222" width="10.69" hidden="false" outlineLevel="1" customWidth="1"/>
    <col min="223" max="223" width="10.69" hidden="false" outlineLevel="1" customWidth="1"/>
    <col min="224" max="224" width="10.69" hidden="false" outlineLevel="1" customWidth="1"/>
    <col min="225" max="225" width="10.69" hidden="false" outlineLevel="1" customWidth="1"/>
    <col min="226" max="226" width="10.69" hidden="false" outlineLevel="1" customWidth="1"/>
    <col min="227" max="227" width="10.69" hidden="false" outlineLevel="1" customWidth="1"/>
    <col min="228" max="228" width="10.69" hidden="false" outlineLevel="1" customWidth="1"/>
    <col min="229" max="229" width="10.69" hidden="false" outlineLevel="1" customWidth="1"/>
    <col min="230" max="230" width="10.69" hidden="false" outlineLevel="1" customWidth="1"/>
    <col min="231" max="231" width="10.69" hidden="false" outlineLevel="1" customWidth="1"/>
    <col min="232" max="232" width="10.69" hidden="false" outlineLevel="1" customWidth="1"/>
    <col min="233" max="233" width="10.69" hidden="false" outlineLevel="1" customWidth="1"/>
    <col min="234" max="234" width="10.69" hidden="false" outlineLevel="1" customWidth="1"/>
    <col min="235" max="235" width="10.69" hidden="false" outlineLevel="1" customWidth="1"/>
    <col min="236" max="236" width="10.69" hidden="false" outlineLevel="1" customWidth="1"/>
    <col min="237" max="237" width="10.69" hidden="false" outlineLevel="1" customWidth="1"/>
    <col min="238" max="238" width="10.69" hidden="false" outlineLevel="1" customWidth="1"/>
    <col min="239" max="239" width="10.69" hidden="false" outlineLevel="1" customWidth="1"/>
    <col min="240" max="240" width="10.69" hidden="false" outlineLevel="1" customWidth="1"/>
    <col min="241" max="241" width="10.69" hidden="false" outlineLevel="1" customWidth="1"/>
    <col min="242" max="242" width="10.69" hidden="false" outlineLevel="1" customWidth="1"/>
    <col min="243" max="243" width="10.69" hidden="false" outlineLevel="1" customWidth="1"/>
    <col min="244" max="244" width="10.69" hidden="false" outlineLevel="1" customWidth="1"/>
    <col min="245" max="245" width="10.69" hidden="false" outlineLevel="1" customWidth="1"/>
    <col min="246" max="246" width="10.69" hidden="false" outlineLevel="1" customWidth="1"/>
    <col min="247" max="247" width="10.69" hidden="false" outlineLevel="1" customWidth="1"/>
    <col min="248" max="248" width="10.69" hidden="false" outlineLevel="1" customWidth="1"/>
    <col min="249" max="249" width="10.69" hidden="false" outlineLevel="1" customWidth="1"/>
    <col min="250" max="250" width="10.69" hidden="false" outlineLevel="1" customWidth="1"/>
    <col min="251" max="251" width="10.69" hidden="false" outlineLevel="1" customWidth="1"/>
    <col min="252" max="252" width="10.69" hidden="false" outlineLevel="1" customWidth="1"/>
    <col min="253" max="253" width="10.69" hidden="false" outlineLevel="1" customWidth="1"/>
    <col min="254" max="254" width="10.69" hidden="false" outlineLevel="1" customWidth="1"/>
    <col min="255" max="255" width="10.69" hidden="false" outlineLevel="1" customWidth="1"/>
    <col min="256" max="256" width="10.69" hidden="false" outlineLevel="1" customWidth="1"/>
    <col min="257" max="257" width="10.69" hidden="false" outlineLevel="1" customWidth="1"/>
    <col min="258" max="258" width="10.69" hidden="false" outlineLevel="1" customWidth="1"/>
    <col min="259" max="259" width="10.69" hidden="false" outlineLevel="1" customWidth="1"/>
    <col min="260" max="260" width="10.69" hidden="false" outlineLevel="1" customWidth="1"/>
    <col min="261" max="261" width="10.69" hidden="false" outlineLevel="1" customWidth="1"/>
    <col min="262" max="262" width="10.69" hidden="false" outlineLevel="1" customWidth="1"/>
    <col min="263" max="263" width="10.69" hidden="false" outlineLevel="1" customWidth="1"/>
    <col min="264" max="264" width="10.69" hidden="false" outlineLevel="1" customWidth="1"/>
    <col min="265" max="265" width="10.69" hidden="false" outlineLevel="1" customWidth="1"/>
    <col min="266" max="266" width="10.69" hidden="false" outlineLevel="1" customWidth="1"/>
    <col min="267" max="267" width="10.69" hidden="false" outlineLevel="1" customWidth="1"/>
    <col min="268" max="268" width="10.69" hidden="false" outlineLevel="1" customWidth="1"/>
    <col min="269" max="269" width="10.69" hidden="false" outlineLevel="1" customWidth="1"/>
    <col min="270" max="270" width="10.69" hidden="false" outlineLevel="1" customWidth="1"/>
    <col min="271" max="271" width="10.69" hidden="false" outlineLevel="1" customWidth="1"/>
    <col min="272" max="272" width="10.69" hidden="false" outlineLevel="1" customWidth="1"/>
    <col min="273" max="273" width="10.69" hidden="false" outlineLevel="1" customWidth="1"/>
    <col min="274" max="274" width="10.69" hidden="false" outlineLevel="1" customWidth="1"/>
    <col min="275" max="275" width="10.69" hidden="false" outlineLevel="1" customWidth="1"/>
    <col min="276" max="276" width="10.69" hidden="false" outlineLevel="1" customWidth="1"/>
    <col min="277" max="277" width="10.69" hidden="false" outlineLevel="1" customWidth="1"/>
    <col min="278" max="278" width="10.69" hidden="false" outlineLevel="1" customWidth="1"/>
    <col min="279" max="279" width="10.69" hidden="false" outlineLevel="1" customWidth="1"/>
    <col min="280" max="280" width="10.69" hidden="false" outlineLevel="1" customWidth="1"/>
    <col min="281" max="281" width="10.69" hidden="false" outlineLevel="1" customWidth="1"/>
    <col min="282" max="282" width="10.69" hidden="false" outlineLevel="1" customWidth="1"/>
    <col min="283" max="283" width="10.69" hidden="false" outlineLevel="1" customWidth="1"/>
    <col min="284" max="284" width="10.69" hidden="false" outlineLevel="1" customWidth="1"/>
    <col min="285" max="285" width="10.69" hidden="false" outlineLevel="1" customWidth="1"/>
    <col min="286" max="286" width="10.69" hidden="false" outlineLevel="1" customWidth="1"/>
    <col min="287" max="287" width="10.69" hidden="false" outlineLevel="1" customWidth="1"/>
    <col min="288" max="288" width="10.69" hidden="false" outlineLevel="1" customWidth="1"/>
    <col min="289" max="289" width="10.69" hidden="false" outlineLevel="1" customWidth="1"/>
    <col min="290" max="290" width="10.69" hidden="false" outlineLevel="1" customWidth="1"/>
    <col min="291" max="291" width="10.69" hidden="false" outlineLevel="1" customWidth="1"/>
    <col min="292" max="292" width="10.69" hidden="false" outlineLevel="1" customWidth="1"/>
    <col min="293" max="293" width="10.69" hidden="false" outlineLevel="1" customWidth="1"/>
    <col min="294" max="294" width="10.69" hidden="false" outlineLevel="1" customWidth="1"/>
    <col min="295" max="295" width="10.69" hidden="false" outlineLevel="1" customWidth="1"/>
    <col min="296" max="296" width="10.69" hidden="false" outlineLevel="1" customWidth="1"/>
    <col min="297" max="297" width="10.69" hidden="false" outlineLevel="1" customWidth="1"/>
    <col min="298" max="298" width="10.69" hidden="false" outlineLevel="1" customWidth="1"/>
    <col min="299" max="299" width="10.69" hidden="false" outlineLevel="1" customWidth="1"/>
    <col min="300" max="300" width="10.69" hidden="false" outlineLevel="1" customWidth="1"/>
    <col min="301" max="301" width="10.69" hidden="false" outlineLevel="1" customWidth="1"/>
    <col min="302" max="302" width="10.69" hidden="false" outlineLevel="1" customWidth="1"/>
    <col min="303" max="303" width="10.69" hidden="false" outlineLevel="1" customWidth="1"/>
    <col min="304" max="304" width="10.69" hidden="false" outlineLevel="1" customWidth="1"/>
    <col min="305" max="305" width="10.69" hidden="false" outlineLevel="1" customWidth="1"/>
    <col min="306" max="306" width="10.69" hidden="false" outlineLevel="1" customWidth="1"/>
    <col min="307" max="307" width="10.69" hidden="false" outlineLevel="1" customWidth="1"/>
    <col min="308" max="308" width="10.69" hidden="false" outlineLevel="1" customWidth="1"/>
    <col min="309" max="309" width="10.69" hidden="false" outlineLevel="1" customWidth="1"/>
    <col min="310" max="310" width="10.69" hidden="false" outlineLevel="1" customWidth="1"/>
    <col min="311" max="311" width="10.69" hidden="false" outlineLevel="1" customWidth="1"/>
    <col min="312" max="312" width="10.69" hidden="false" outlineLevel="1" customWidth="1"/>
    <col min="313" max="313" width="10.69" hidden="false" outlineLevel="1" customWidth="1"/>
    <col min="314" max="314" width="10.69" hidden="false" outlineLevel="1" customWidth="1"/>
    <col min="315" max="315" width="10.69" hidden="false" outlineLevel="1" customWidth="1"/>
    <col min="316" max="316" width="10.69" hidden="false" outlineLevel="1" customWidth="1"/>
    <col min="317" max="317" width="10.69" hidden="false" outlineLevel="1" customWidth="1"/>
    <col min="318" max="318" width="10.69" hidden="false" outlineLevel="1" customWidth="1"/>
    <col min="319" max="319" width="10.69" hidden="false" outlineLevel="1" customWidth="1"/>
    <col min="320" max="320" width="10.69" hidden="false" outlineLevel="1" customWidth="1"/>
    <col min="321" max="321" width="10.69" hidden="false" outlineLevel="1" customWidth="1"/>
    <col min="322" max="322" width="10.69" hidden="false" outlineLevel="1" customWidth="1"/>
    <col min="323" max="323" width="10.69" hidden="false" outlineLevel="1" customWidth="1"/>
    <col min="324" max="324" width="10.69" hidden="false" outlineLevel="1" customWidth="1"/>
    <col min="325" max="325" width="10.69" hidden="false" outlineLevel="1" customWidth="1"/>
    <col min="326" max="326" width="10.69" hidden="false" outlineLevel="1" customWidth="1"/>
    <col min="327" max="327" width="10.69" hidden="false" outlineLevel="1" customWidth="1"/>
    <col min="328" max="328" width="10.69" hidden="false" outlineLevel="1" customWidth="1"/>
    <col min="329" max="329" width="10.69" hidden="false" outlineLevel="1" customWidth="1"/>
    <col min="330" max="330" width="10.69" hidden="false" outlineLevel="1" customWidth="1"/>
    <col min="331" max="331" width="10.69" hidden="false" outlineLevel="1" customWidth="1"/>
    <col min="332" max="332" width="10.69" hidden="false" outlineLevel="1" customWidth="1"/>
    <col min="333" max="333" width="10.69" hidden="false" outlineLevel="1" customWidth="1"/>
    <col min="334" max="334" width="10.69" hidden="false" outlineLevel="1" customWidth="1"/>
    <col min="335" max="335" width="10.69" hidden="false" outlineLevel="1" customWidth="1"/>
    <col min="336" max="336" width="10.69" hidden="false" outlineLevel="1" customWidth="1"/>
    <col min="337" max="337" width="10.69" hidden="false" outlineLevel="1" customWidth="1"/>
    <col min="338" max="338" width="10.69" hidden="false" outlineLevel="1" customWidth="1"/>
    <col min="339" max="339" width="10.69" hidden="false" outlineLevel="1" customWidth="1"/>
    <col min="340" max="340" width="10.69" hidden="false" outlineLevel="1" customWidth="1"/>
    <col min="341" max="341" width="10.69" hidden="false" outlineLevel="1" customWidth="1"/>
    <col min="342" max="342" width="10.69" hidden="false" outlineLevel="1" customWidth="1"/>
    <col min="343" max="343" width="10.69" hidden="false" outlineLevel="1" customWidth="1"/>
    <col min="344" max="344" width="10.69" hidden="false" outlineLevel="1" customWidth="1"/>
    <col min="345" max="345" width="10.69" hidden="false" outlineLevel="1" customWidth="1"/>
    <col min="346" max="346" width="10.69" hidden="false" outlineLevel="1" customWidth="1"/>
    <col min="347" max="347" width="10.69" hidden="false" outlineLevel="1" customWidth="1"/>
    <col min="348" max="348" width="10.69" hidden="false" outlineLevel="1" customWidth="1"/>
    <col min="349" max="349" width="10.69" hidden="false" outlineLevel="1" customWidth="1"/>
    <col min="350" max="350" width="10.69" hidden="false" outlineLevel="1" customWidth="1"/>
    <col min="351" max="351" width="10.69" hidden="false" outlineLevel="1" customWidth="1"/>
    <col min="352" max="352" width="10.69" hidden="false" outlineLevel="1" customWidth="1"/>
    <col min="353" max="353" width="10.69" hidden="false" outlineLevel="1" customWidth="1"/>
    <col min="354" max="354" width="10.69" hidden="false" outlineLevel="1" customWidth="1"/>
    <col min="355" max="355" width="10.69" hidden="false" outlineLevel="1" customWidth="1"/>
    <col min="356" max="356" width="10.69" hidden="false" outlineLevel="1" customWidth="1"/>
    <col min="357" max="357" width="10.69" hidden="false" outlineLevel="1" customWidth="1"/>
    <col min="358" max="358" width="10.69" hidden="false" outlineLevel="1" customWidth="1"/>
    <col min="359" max="359" width="10.69" hidden="false" outlineLevel="1" customWidth="1"/>
    <col min="360" max="360" width="10.69" hidden="false" outlineLevel="1" customWidth="1"/>
    <col min="361" max="361" width="10.69" hidden="false" outlineLevel="1" customWidth="1"/>
    <col min="362" max="362" width="10.69" hidden="false" outlineLevel="1" customWidth="1"/>
    <col min="363" max="363" width="10.69" hidden="false" outlineLevel="1" customWidth="1"/>
    <col min="364" max="364" width="10.69" hidden="false" outlineLevel="1" customWidth="1"/>
    <col min="365" max="365" width="10.69" hidden="false" outlineLevel="1" customWidth="1"/>
    <col min="366" max="366" width="10.69" hidden="false" outlineLevel="1" customWidth="1"/>
    <col min="367" max="367" width="10.69" hidden="false" outlineLevel="1" customWidth="1"/>
    <col min="368" max="368" width="10.69" hidden="false" outlineLevel="1" customWidth="1"/>
    <col min="369" max="369" width="10.69" hidden="false" outlineLevel="1" customWidth="1"/>
    <col min="370" max="370" width="10.69" hidden="false" outlineLevel="1" customWidth="1"/>
    <col min="371" max="371" width="10.69" hidden="false" outlineLevel="1" customWidth="1"/>
    <col min="372" max="372" width="10.69" hidden="false" outlineLevel="1" customWidth="1"/>
    <col min="373" max="373" width="10.69" hidden="false" outlineLevel="1" customWidth="1"/>
    <col min="374" max="374" width="10.69" hidden="false" outlineLevel="1" customWidth="1"/>
    <col min="375" max="375" width="10.69" hidden="false" outlineLevel="1" customWidth="1"/>
    <col min="376" max="376" width="10.69" hidden="false" outlineLevel="1" customWidth="1"/>
    <col min="377" max="377" width="10.69" hidden="false" outlineLevel="1" customWidth="1"/>
    <col min="378" max="378" width="10.69" hidden="false" outlineLevel="1" customWidth="1"/>
    <col min="379" max="379" width="10.69" hidden="false" outlineLevel="1" customWidth="1"/>
    <col min="380" max="380" width="10.69" hidden="false" outlineLevel="1" customWidth="1"/>
    <col min="381" max="381" width="10.69" hidden="false" outlineLevel="1" customWidth="1"/>
    <col min="382" max="382" width="10.69" hidden="false" outlineLevel="1" customWidth="1"/>
    <col min="383" max="383" width="10.69" hidden="false" outlineLevel="1" customWidth="1"/>
    <col min="384" max="384" width="10.69" hidden="false" outlineLevel="1" customWidth="1"/>
    <col min="385" max="385" width="10.69" hidden="false" outlineLevel="1" customWidth="1"/>
    <col min="386" max="386" width="10.69" hidden="false" outlineLevel="1" customWidth="1"/>
    <col min="387" max="387" width="10.69" hidden="false" outlineLevel="1" customWidth="1"/>
    <col min="388" max="388" width="10.69" hidden="false" outlineLevel="1" customWidth="1"/>
    <col min="389" max="389" width="10.69" hidden="false" outlineLevel="1" customWidth="1"/>
    <col min="390" max="390" width="10.69" hidden="false" outlineLevel="1" customWidth="1"/>
    <col min="391" max="391" width="10.69" hidden="false" outlineLevel="1" customWidth="1"/>
    <col min="392" max="392" width="10.69" hidden="false" outlineLevel="1" customWidth="1"/>
    <col min="393" max="393" width="10.69" hidden="false" outlineLevel="1" customWidth="1"/>
    <col min="394" max="394" width="10.69" hidden="false" outlineLevel="1" customWidth="1"/>
    <col min="395" max="395" width="10.69" hidden="false" outlineLevel="1" customWidth="1"/>
    <col min="396" max="396" width="10.69" hidden="false" outlineLevel="1" customWidth="1"/>
    <col min="397" max="397" width="10.69" hidden="false" outlineLevel="1" customWidth="1"/>
    <col min="398" max="398" width="10.69" hidden="false" outlineLevel="1" customWidth="1"/>
    <col min="399" max="399" width="10.69" hidden="false" outlineLevel="1" customWidth="1"/>
    <col min="400" max="400" width="10.69" hidden="false" outlineLevel="1" customWidth="1"/>
    <col min="401" max="401" width="10.69" hidden="false" outlineLevel="1" customWidth="1"/>
    <col min="402" max="402" width="10.69" hidden="false" outlineLevel="1" customWidth="1"/>
    <col min="403" max="403" width="10.69" hidden="false" outlineLevel="1" customWidth="1"/>
    <col min="404" max="404" width="10.69" hidden="false" outlineLevel="1" customWidth="1"/>
    <col min="405" max="405" width="10.69" hidden="false" outlineLevel="1" customWidth="1"/>
    <col min="406" max="406" width="10.69" hidden="false" outlineLevel="1" customWidth="1"/>
    <col min="407" max="407" width="10.69" hidden="false" outlineLevel="1" customWidth="1"/>
    <col min="408" max="408" width="10.69" hidden="false" outlineLevel="1" customWidth="1"/>
    <col min="409" max="409" width="10.69" hidden="false" outlineLevel="1" customWidth="1"/>
    <col min="410" max="410" width="10.69" hidden="false" outlineLevel="1" customWidth="1"/>
    <col min="411" max="411" width="10.69" hidden="false" outlineLevel="1" customWidth="1"/>
    <col min="412" max="412" width="10.69" hidden="false" outlineLevel="1" customWidth="1"/>
    <col min="413" max="413" width="10.69" hidden="false" outlineLevel="1" customWidth="1"/>
    <col min="414" max="414" width="10.69" hidden="false" outlineLevel="1" customWidth="1"/>
    <col min="415" max="415" width="10.69" hidden="false" outlineLevel="1" customWidth="1"/>
    <col min="416" max="416" width="10.69" hidden="false" outlineLevel="1" customWidth="1"/>
    <col min="417" max="417" width="10.69" hidden="false" outlineLevel="1" customWidth="1"/>
    <col min="418" max="418" width="10.69" hidden="false" outlineLevel="1" customWidth="1"/>
    <col min="419" max="419" width="10.69" hidden="false" outlineLevel="1" customWidth="1"/>
    <col min="420" max="420" width="10.69" hidden="false" outlineLevel="1" customWidth="1"/>
    <col min="421" max="421" width="10.69" hidden="false" outlineLevel="1" customWidth="1"/>
    <col min="422" max="422" width="10.69" hidden="false" outlineLevel="1" customWidth="1"/>
    <col min="423" max="423" width="10.69" hidden="false" outlineLevel="1" customWidth="1"/>
    <col min="424" max="424" width="10.69" hidden="false" outlineLevel="1" customWidth="1"/>
    <col min="425" max="425" width="10.69" hidden="false" outlineLevel="1" customWidth="1"/>
    <col min="426" max="426" width="10.69" hidden="false" outlineLevel="1" customWidth="1"/>
    <col min="427" max="427" width="10.69" hidden="false" outlineLevel="1" customWidth="1"/>
    <col min="428" max="428" width="10.69" hidden="false" outlineLevel="1" customWidth="1"/>
    <col min="429" max="429" width="10.69" hidden="false" outlineLevel="1" customWidth="1"/>
    <col min="430" max="430" width="10.69" hidden="false" outlineLevel="1" customWidth="1"/>
    <col min="431" max="431" width="10.69" hidden="false" outlineLevel="1" customWidth="1"/>
    <col min="432" max="432" width="10.69" hidden="false" outlineLevel="1" customWidth="1"/>
    <col min="433" max="433" width="10.69" hidden="false" outlineLevel="1" customWidth="1"/>
    <col min="434" max="434" width="10.69" hidden="false" outlineLevel="1" customWidth="1"/>
    <col min="435" max="435" width="10.69" hidden="false" outlineLevel="1" customWidth="1"/>
    <col min="436" max="436" width="10.69" hidden="false" outlineLevel="1" customWidth="1"/>
    <col min="437" max="437" width="10.69" hidden="false" outlineLevel="1" customWidth="1"/>
    <col min="438" max="438" width="10.69" hidden="false" outlineLevel="1" customWidth="1"/>
    <col min="439" max="439" width="10.69" hidden="false" outlineLevel="1" customWidth="1"/>
    <col min="440" max="440" width="10.69" hidden="false" outlineLevel="1" customWidth="1"/>
    <col min="441" max="441" width="10.69" hidden="false" outlineLevel="1" customWidth="1"/>
    <col min="442" max="442" width="10.69" hidden="false" outlineLevel="1" customWidth="1"/>
    <col min="443" max="443" width="10.69" hidden="false" outlineLevel="1" customWidth="1"/>
    <col min="444" max="444" width="10.69" hidden="false" outlineLevel="1" customWidth="1"/>
    <col min="445" max="445" width="10.69" hidden="false" outlineLevel="1" customWidth="1"/>
    <col min="446" max="446" width="10.69" hidden="false" outlineLevel="1" customWidth="1"/>
    <col min="447" max="447" width="10.69" hidden="false" outlineLevel="1" customWidth="1"/>
    <col min="448" max="448" width="10.69" hidden="false" outlineLevel="1" customWidth="1"/>
    <col min="449" max="449" width="10.69" hidden="false" outlineLevel="1" customWidth="1"/>
    <col min="450" max="450" width="10.69" hidden="false" outlineLevel="1" customWidth="1"/>
    <col min="451" max="451" width="10.69" hidden="false" outlineLevel="1" customWidth="1"/>
    <col min="452" max="452" width="10.69" hidden="false" outlineLevel="1" customWidth="1"/>
    <col min="453" max="453" width="10.69" hidden="false" outlineLevel="1" customWidth="1"/>
    <col min="454" max="454" width="10.69" hidden="false" outlineLevel="1" customWidth="1"/>
    <col min="455" max="455" width="10.69" hidden="false" outlineLevel="1" customWidth="1"/>
    <col min="456" max="456" width="10.69" hidden="false" outlineLevel="1" customWidth="1"/>
    <col min="457" max="457" width="10.69" hidden="false" outlineLevel="1" customWidth="1"/>
    <col min="458" max="458" width="10.69" hidden="false" outlineLevel="1" customWidth="1"/>
    <col min="459" max="459" width="10.69" hidden="false" outlineLevel="1" customWidth="1"/>
    <col min="460" max="460" width="10.69" hidden="false" outlineLevel="1" customWidth="1"/>
    <col min="461" max="461" width="10.69" hidden="false" outlineLevel="1" customWidth="1"/>
    <col min="462" max="462" width="10.69" hidden="false" outlineLevel="1" customWidth="1"/>
    <col min="463" max="463" width="10.69" hidden="false" outlineLevel="1" customWidth="1"/>
    <col min="464" max="464" width="10.69" hidden="false" outlineLevel="1" customWidth="1"/>
    <col min="465" max="465" width="10.69" hidden="false" outlineLevel="1" customWidth="1"/>
    <col min="466" max="466" width="10.69" hidden="false" outlineLevel="1" customWidth="1"/>
    <col min="467" max="467" width="10.69" hidden="false" outlineLevel="1" customWidth="1"/>
    <col min="468" max="468" width="10.69" hidden="false" outlineLevel="1" customWidth="1"/>
    <col min="469" max="469" width="10.69" hidden="false" outlineLevel="1" customWidth="1"/>
    <col min="470" max="470" width="10.69" hidden="false" outlineLevel="1" customWidth="1"/>
    <col min="471" max="471" width="10.69" hidden="false" outlineLevel="1" customWidth="1"/>
    <col min="472" max="472" width="10.69" hidden="false" outlineLevel="1" customWidth="1"/>
    <col min="473" max="473" width="10.69" hidden="false" outlineLevel="1" customWidth="1"/>
    <col min="474" max="474" width="10.69" hidden="false" outlineLevel="1" customWidth="1"/>
    <col min="475" max="475" width="10.69" hidden="false" outlineLevel="1" customWidth="1"/>
    <col min="476" max="476" width="10.69" hidden="false" outlineLevel="1" customWidth="1"/>
    <col min="477" max="477" width="10.69" hidden="false" outlineLevel="1" customWidth="1"/>
    <col min="478" max="478" width="10.69" hidden="false" outlineLevel="1" customWidth="1"/>
    <col min="479" max="479" width="10.69" hidden="false" outlineLevel="1" customWidth="1"/>
    <col min="480" max="480" width="10.69" hidden="false" outlineLevel="1" customWidth="1"/>
    <col min="481" max="481" width="10.69" hidden="false" outlineLevel="1" customWidth="1"/>
    <col min="482" max="482" width="10.69" hidden="false" outlineLevel="1" customWidth="1"/>
    <col min="483" max="483" width="10.69" hidden="false" outlineLevel="1" customWidth="1"/>
    <col min="484" max="484" width="10.69" hidden="false" outlineLevel="1" customWidth="1"/>
    <col min="485" max="485" width="10.69" hidden="false" outlineLevel="1" customWidth="1"/>
    <col min="486" max="486" width="10.69" hidden="false" outlineLevel="1" customWidth="1"/>
    <col min="487" max="487" width="10.69" hidden="false" outlineLevel="1" customWidth="1"/>
    <col min="488" max="488" width="10.69" hidden="false" outlineLevel="1" customWidth="1"/>
    <col min="489" max="489" width="10.69" hidden="false" outlineLevel="1" customWidth="1"/>
    <col min="490" max="490" width="10.69" hidden="false" outlineLevel="1" customWidth="1"/>
    <col min="491" max="491" width="10.69" hidden="false" outlineLevel="1" customWidth="1"/>
    <col min="492" max="492" width="10.69" hidden="false" outlineLevel="1" customWidth="1"/>
    <col min="493" max="493" width="10.69" hidden="false" outlineLevel="1" customWidth="1"/>
    <col min="494" max="494" width="10.69" hidden="false" outlineLevel="1" customWidth="1"/>
    <col min="495" max="495" width="10.69" hidden="false" outlineLevel="1" customWidth="1"/>
    <col min="496" max="496" width="10.69" hidden="false" outlineLevel="1" customWidth="1"/>
    <col min="497" max="497" width="10.69" hidden="false" outlineLevel="1" customWidth="1"/>
    <col min="498" max="498" width="10.69" hidden="false" outlineLevel="1" customWidth="1"/>
    <col min="499" max="499" width="10.69" hidden="false" outlineLevel="1" customWidth="1"/>
    <col min="500" max="500" width="10.69" hidden="false" outlineLevel="1" customWidth="1"/>
    <col min="501" max="501" width="10.69" hidden="false" outlineLevel="1" customWidth="1"/>
    <col min="502" max="502" width="10.69" hidden="false" outlineLevel="1" customWidth="1"/>
    <col min="503" max="503" width="10.69" hidden="false" outlineLevel="1" customWidth="1"/>
    <col min="504" max="504" width="10.69" hidden="false" outlineLevel="1" customWidth="1"/>
    <col min="505" max="505" width="10.69" hidden="false" outlineLevel="1" customWidth="1"/>
    <col min="506" max="506" width="10.69" hidden="false" outlineLevel="1" customWidth="1"/>
    <col min="507" max="507" width="10.69" hidden="false" outlineLevel="1" customWidth="1"/>
    <col min="508" max="508" width="10.69" hidden="false" outlineLevel="1" customWidth="1"/>
    <col min="509" max="509" width="10.69" hidden="false" outlineLevel="1" customWidth="1"/>
    <col min="510" max="510" width="10.69" hidden="false" outlineLevel="1" customWidth="1"/>
    <col min="511" max="511" width="10.69" hidden="false" outlineLevel="1" customWidth="1"/>
    <col min="512" max="512" width="10.69" hidden="false" outlineLevel="1" customWidth="1"/>
    <col min="513" max="513" width="10.69" hidden="false" outlineLevel="1" customWidth="1"/>
    <col min="514" max="514" width="10.69" hidden="false" outlineLevel="1" customWidth="1"/>
    <col min="515" max="515" width="10.69" hidden="false" outlineLevel="1" customWidth="1"/>
    <col min="516" max="516" width="10.69" hidden="false" outlineLevel="1" customWidth="1"/>
    <col min="517" max="517" width="10.69" hidden="false" outlineLevel="1" customWidth="1"/>
    <col min="518" max="518" width="10.69" hidden="false" outlineLevel="1" customWidth="1"/>
    <col min="519" max="519" width="10.69" hidden="false" outlineLevel="1" customWidth="1"/>
    <col min="520" max="520" width="10.69" hidden="false" outlineLevel="1" customWidth="1"/>
    <col min="521" max="521" width="10.69" hidden="false" outlineLevel="1" customWidth="1"/>
    <col min="522" max="522" width="10.69" hidden="false" outlineLevel="1" customWidth="1"/>
    <col min="523" max="523" width="10.69" hidden="false" outlineLevel="1" customWidth="1"/>
    <col min="524" max="524" width="10.69" hidden="false" outlineLevel="1" customWidth="1"/>
    <col min="525" max="525" width="10.69" hidden="false" outlineLevel="1" customWidth="1"/>
    <col min="526" max="526" width="10.69" hidden="false" outlineLevel="1" customWidth="1"/>
    <col min="527" max="527" width="10.69" hidden="false" outlineLevel="1" customWidth="1"/>
    <col min="528" max="528" width="10.69" hidden="false" outlineLevel="1" customWidth="1"/>
    <col min="529" max="529" width="10.69" hidden="false" outlineLevel="1" customWidth="1"/>
    <col min="530" max="530" width="10.69" hidden="false" outlineLevel="1" customWidth="1"/>
    <col min="531" max="531" width="10.69" hidden="false" outlineLevel="1" customWidth="1"/>
    <col min="532" max="532" width="10.69" hidden="false" outlineLevel="1" customWidth="1"/>
    <col min="533" max="533" width="10.69" hidden="false" outlineLevel="1" customWidth="1"/>
    <col min="534" max="534" width="10.69" hidden="false" outlineLevel="1" customWidth="1"/>
    <col min="535" max="535" width="10.69" hidden="false" outlineLevel="1" customWidth="1"/>
    <col min="536" max="536" width="10.69" hidden="false" outlineLevel="1" customWidth="1"/>
    <col min="537" max="537" width="10.69" hidden="false" outlineLevel="1" customWidth="1"/>
    <col min="538" max="538" width="10.69" hidden="false" outlineLevel="1" customWidth="1"/>
    <col min="539" max="539" width="10.69" hidden="false" outlineLevel="1" customWidth="1"/>
    <col min="540" max="540" width="10.69" hidden="false" outlineLevel="1" customWidth="1"/>
    <col min="541" max="541" width="10.69" hidden="false" outlineLevel="1" customWidth="1"/>
    <col min="542" max="542" width="10.69" hidden="false" outlineLevel="1" customWidth="1"/>
    <col min="543" max="543" width="10.69" hidden="false" outlineLevel="1" customWidth="1"/>
    <col min="544" max="544" width="10.69" hidden="false" outlineLevel="1" customWidth="1"/>
    <col min="545" max="545" width="10.69" hidden="false" outlineLevel="1" customWidth="1"/>
    <col min="546" max="546" width="10.69" hidden="false" outlineLevel="1" customWidth="1"/>
    <col min="547" max="547" width="10.69" hidden="false" outlineLevel="1" customWidth="1"/>
    <col min="548" max="548" width="10.69" hidden="false" outlineLevel="1" customWidth="1"/>
    <col min="549" max="549" width="10.69" hidden="false" outlineLevel="1" customWidth="1"/>
    <col min="550" max="550" width="10.69" hidden="false" outlineLevel="1" customWidth="1"/>
    <col min="551" max="551" width="10.69" hidden="false" outlineLevel="1" customWidth="1"/>
    <col min="552" max="552" width="10.69" hidden="false" outlineLevel="1" customWidth="1"/>
    <col min="553" max="553" width="10.69" hidden="false" outlineLevel="1" customWidth="1"/>
    <col min="554" max="554" width="10.69" hidden="false" outlineLevel="1" customWidth="1"/>
    <col min="555" max="555" width="10.69" hidden="false" outlineLevel="1" customWidth="1"/>
    <col min="556" max="556" width="10.69" hidden="false" outlineLevel="1" customWidth="1"/>
    <col min="557" max="557" width="10.69" hidden="false" outlineLevel="1" customWidth="1"/>
    <col min="558" max="558" width="10.69" hidden="false" outlineLevel="1" customWidth="1"/>
    <col min="559" max="559" width="10.69" hidden="false" outlineLevel="1" customWidth="1"/>
    <col min="560" max="560" width="10.69" hidden="false" outlineLevel="1" customWidth="1"/>
    <col min="561" max="561" width="10.69" hidden="false" outlineLevel="1" customWidth="1"/>
    <col min="562" max="562" width="10.69" hidden="false" outlineLevel="1" customWidth="1"/>
    <col min="563" max="563" width="10.69" hidden="false" outlineLevel="1" customWidth="1"/>
    <col min="564" max="564" width="10.69" hidden="false" outlineLevel="1" customWidth="1"/>
    <col min="565" max="565" width="10.69" hidden="false" outlineLevel="1" customWidth="1"/>
    <col min="566" max="566" width="10.69" hidden="false" outlineLevel="1" customWidth="1"/>
    <col min="567" max="567" width="10.69" hidden="false" outlineLevel="1" customWidth="1"/>
    <col min="568" max="568" width="10.69" hidden="false" outlineLevel="1" customWidth="1"/>
    <col min="569" max="569" width="10.69" hidden="false" outlineLevel="1" customWidth="1"/>
    <col min="570" max="570" width="10.69" hidden="false" outlineLevel="1" customWidth="1"/>
    <col min="571" max="571" width="10.69" hidden="false" outlineLevel="1" customWidth="1"/>
    <col min="572" max="572" width="10.69" hidden="false" outlineLevel="1" customWidth="1"/>
    <col min="573" max="573" width="10.69" hidden="false" outlineLevel="1" customWidth="1"/>
    <col min="574" max="574" width="10.69" hidden="false" outlineLevel="1" customWidth="1"/>
    <col min="575" max="575" width="10.69" hidden="false" outlineLevel="1" customWidth="1"/>
    <col min="576" max="576" width="10.69" hidden="false" outlineLevel="1" customWidth="1"/>
    <col min="577" max="577" width="10.69" hidden="false" outlineLevel="1" customWidth="1"/>
    <col min="578" max="578" width="10.69" hidden="false" outlineLevel="1" customWidth="1"/>
    <col min="579" max="579" width="10.69" hidden="false" outlineLevel="1" customWidth="1"/>
    <col min="580" max="580" width="10.69" hidden="false" outlineLevel="1" customWidth="1"/>
    <col min="581" max="581" width="10.69" hidden="false" outlineLevel="1" customWidth="1"/>
    <col min="582" max="582" width="10.69" hidden="false" outlineLevel="1" customWidth="1"/>
    <col min="583" max="583" width="10.69" hidden="false" outlineLevel="1" customWidth="1"/>
    <col min="584" max="584" width="10.69" hidden="false" outlineLevel="1" customWidth="1"/>
    <col min="585" max="585" width="10.69" hidden="false" outlineLevel="1" customWidth="1"/>
    <col min="586" max="586" width="10.69" hidden="false" outlineLevel="1" customWidth="1"/>
    <col min="587" max="587" width="10.69" hidden="false" outlineLevel="1" customWidth="1"/>
    <col min="588" max="588" width="10.69" hidden="false" outlineLevel="1" customWidth="1"/>
    <col min="589" max="589" width="10.69" hidden="false" outlineLevel="1" customWidth="1"/>
    <col min="590" max="590" width="10.69" hidden="false" outlineLevel="1" customWidth="1"/>
    <col min="591" max="591" width="10.69" hidden="false" outlineLevel="1" customWidth="1"/>
    <col min="592" max="592" width="10.69" hidden="false" outlineLevel="1" customWidth="1"/>
    <col min="593" max="593" width="10.69" hidden="false" outlineLevel="1" customWidth="1"/>
    <col min="594" max="594" width="10.69" hidden="false" outlineLevel="1" customWidth="1"/>
    <col min="595" max="595" width="10.69" hidden="false" outlineLevel="1" customWidth="1"/>
    <col min="596" max="596" width="10.69" hidden="false" outlineLevel="1" customWidth="1"/>
    <col min="597" max="597" width="10.69" hidden="false" outlineLevel="1" customWidth="1"/>
    <col min="598" max="598" width="10.69" hidden="false" outlineLevel="1" customWidth="1"/>
    <col min="599" max="599" width="10.69" hidden="false" outlineLevel="1" customWidth="1"/>
    <col min="600" max="600" width="10.69" hidden="false" outlineLevel="1" customWidth="1"/>
    <col min="601" max="601" width="10.69" hidden="false" outlineLevel="1" customWidth="1"/>
    <col min="602" max="602" width="10.69" hidden="false" outlineLevel="1" customWidth="1"/>
    <col min="603" max="603" width="10.69" hidden="false" outlineLevel="1" customWidth="1"/>
    <col min="604" max="604" width="10.69" hidden="false" outlineLevel="1" customWidth="1"/>
    <col min="605" max="605" width="10.69" hidden="false" outlineLevel="1" customWidth="1"/>
    <col min="606" max="606" width="10.69" hidden="false" outlineLevel="1" customWidth="1"/>
    <col min="607" max="607" width="10.69" hidden="false" outlineLevel="1" customWidth="1"/>
    <col min="608" max="608" width="10.69" hidden="false" outlineLevel="1" customWidth="1"/>
    <col min="609" max="609" width="10.69" hidden="false" outlineLevel="1" customWidth="1"/>
    <col min="610" max="610" width="10.69" hidden="false" outlineLevel="1" customWidth="1"/>
    <col min="611" max="611" width="10.69" hidden="false" outlineLevel="1" customWidth="1"/>
    <col min="612" max="612" width="10.69" hidden="false" outlineLevel="1" customWidth="1"/>
    <col min="613" max="613" width="10.69" hidden="false" outlineLevel="1" customWidth="1"/>
    <col min="614" max="614" width="10.69" hidden="false" outlineLevel="1" customWidth="1"/>
    <col min="615" max="615" width="10.69" hidden="false" outlineLevel="1" customWidth="1"/>
    <col min="616" max="616" width="10.69" hidden="false" outlineLevel="1" customWidth="1"/>
    <col min="617" max="617" width="10.69" hidden="false" outlineLevel="1" customWidth="1"/>
    <col min="618" max="618" width="10.69" hidden="false" outlineLevel="1" customWidth="1"/>
    <col min="619" max="619" width="10.69" hidden="false" outlineLevel="1" customWidth="1"/>
    <col min="620" max="620" width="10.69" hidden="false" outlineLevel="1" customWidth="1"/>
    <col min="621" max="621" width="10.69" hidden="false" outlineLevel="1" customWidth="1"/>
    <col min="622" max="622" width="10.69" hidden="false" outlineLevel="1" customWidth="1"/>
    <col min="623" max="623" width="10.69" hidden="false" outlineLevel="1" customWidth="1"/>
    <col min="624" max="624" width="10.69" hidden="false" outlineLevel="1" customWidth="1"/>
    <col min="625" max="625" width="10.69" hidden="false" outlineLevel="1" customWidth="1"/>
    <col min="626" max="626" width="10.69" hidden="false" outlineLevel="1" customWidth="1"/>
    <col min="627" max="627" width="10.69" hidden="false" outlineLevel="1" customWidth="1"/>
    <col min="628" max="628" width="10.69" hidden="false" outlineLevel="1" customWidth="1"/>
    <col min="629" max="629" width="10.69" hidden="false" outlineLevel="1" customWidth="1"/>
    <col min="630" max="630" width="10.69" hidden="false" outlineLevel="1" customWidth="1"/>
    <col min="631" max="631" width="10.69" hidden="false" outlineLevel="1" customWidth="1"/>
    <col min="632" max="632" width="10.69" hidden="false" outlineLevel="1" customWidth="1"/>
    <col min="633" max="633" width="10.69" hidden="false" outlineLevel="1" customWidth="1"/>
    <col min="634" max="634" width="10.69" hidden="false" outlineLevel="1" customWidth="1"/>
    <col min="635" max="635" width="10.69" hidden="false" outlineLevel="1" customWidth="1"/>
    <col min="636" max="636" width="10.69" hidden="false" outlineLevel="1" customWidth="1"/>
    <col min="637" max="637" width="10.69" hidden="false" outlineLevel="1" customWidth="1"/>
    <col min="638" max="638" width="10.69" hidden="false" outlineLevel="1" customWidth="1"/>
    <col min="639" max="639" width="10.69" hidden="false" outlineLevel="1" customWidth="1"/>
    <col min="640" max="640" width="10.69" hidden="false" outlineLevel="1" customWidth="1"/>
    <col min="641" max="641" width="10.69" hidden="false" outlineLevel="1" customWidth="1"/>
    <col min="642" max="642" width="10.69" hidden="false" outlineLevel="1" customWidth="1"/>
    <col min="643" max="643" width="10.69" hidden="false" outlineLevel="1" customWidth="1"/>
    <col min="644" max="644" width="10.69" hidden="false" outlineLevel="1" customWidth="1"/>
    <col min="645" max="645" width="10.69" hidden="false" outlineLevel="1" customWidth="1"/>
    <col min="646" max="646" width="10.69" hidden="false" outlineLevel="1" customWidth="1"/>
    <col min="647" max="647" width="10.69" hidden="false" outlineLevel="1" customWidth="1"/>
    <col min="648" max="648" width="10.69" hidden="false" outlineLevel="1" customWidth="1"/>
    <col min="649" max="649" width="10.69" hidden="false" outlineLevel="1" customWidth="1"/>
    <col min="650" max="650" width="10.69" hidden="false" outlineLevel="1" customWidth="1"/>
    <col min="651" max="651" width="10.69" hidden="false" outlineLevel="1" customWidth="1"/>
    <col min="652" max="652" width="10.69" hidden="false" outlineLevel="1" customWidth="1"/>
    <col min="653" max="653" width="10.69" hidden="false" outlineLevel="1" customWidth="1"/>
    <col min="654" max="654" width="10.69" hidden="false" outlineLevel="1" customWidth="1"/>
    <col min="655" max="655" width="10.69" hidden="false" outlineLevel="1" customWidth="1"/>
    <col min="656" max="656" width="10.69" hidden="false" outlineLevel="1" customWidth="1"/>
    <col min="657" max="657" width="10.69" hidden="false" outlineLevel="1" customWidth="1"/>
    <col min="658" max="658" width="10.69" hidden="false" outlineLevel="1" customWidth="1"/>
    <col min="659" max="659" width="10.69" hidden="false" outlineLevel="1" customWidth="1"/>
    <col min="660" max="660" width="10.69" hidden="false" outlineLevel="1" customWidth="1"/>
    <col min="661" max="661" width="10.69" hidden="false" outlineLevel="1" customWidth="1"/>
    <col min="662" max="662" width="10.69" hidden="false" outlineLevel="1" customWidth="1"/>
    <col min="663" max="663" width="10.69" hidden="false" outlineLevel="1" customWidth="1"/>
    <col min="664" max="664" width="10.69" hidden="false" outlineLevel="1" customWidth="1"/>
    <col min="665" max="665" width="10.69" hidden="false" outlineLevel="1" customWidth="1"/>
    <col min="666" max="666" width="10.69" hidden="false" outlineLevel="1" customWidth="1"/>
    <col min="667" max="667" width="10.69" hidden="false" outlineLevel="1" customWidth="1"/>
    <col min="668" max="668" width="10.69" hidden="false" outlineLevel="1" customWidth="1"/>
    <col min="669" max="669" width="10.69" hidden="false" outlineLevel="1" customWidth="1"/>
    <col min="670" max="670" width="10.69" hidden="false" outlineLevel="1" customWidth="1"/>
    <col min="671" max="671" width="10.69" hidden="false" outlineLevel="1" customWidth="1"/>
    <col min="672" max="672" width="10.69" hidden="false" outlineLevel="1" customWidth="1"/>
    <col min="673" max="673" width="10.69" hidden="false" outlineLevel="1" customWidth="1"/>
    <col min="674" max="674" width="10.69" hidden="false" outlineLevel="1" customWidth="1"/>
    <col min="675" max="675" width="10.69" hidden="false" outlineLevel="1" customWidth="1"/>
    <col min="676" max="676" width="10.69" hidden="false" outlineLevel="1" customWidth="1"/>
    <col min="677" max="677" width="10.69" hidden="false" outlineLevel="1" customWidth="1"/>
    <col min="678" max="678" width="10.69" hidden="false" outlineLevel="1" customWidth="1"/>
    <col min="679" max="679" width="10.69" hidden="false" outlineLevel="1" customWidth="1"/>
    <col min="680" max="680" width="10.69" hidden="false" outlineLevel="1" customWidth="1"/>
    <col min="681" max="681" width="10.69" hidden="false" outlineLevel="1" customWidth="1"/>
    <col min="682" max="682" width="10.69" hidden="false" outlineLevel="1" customWidth="1"/>
    <col min="683" max="683" width="10.69" hidden="false" outlineLevel="1" customWidth="1"/>
    <col min="684" max="684" width="10.69" hidden="false" outlineLevel="1" customWidth="1"/>
    <col min="685" max="685" width="10.69" hidden="false" outlineLevel="1" customWidth="1"/>
    <col min="686" max="686" width="10.69" hidden="false" outlineLevel="1" customWidth="1"/>
    <col min="687" max="687" width="10.69" hidden="false" outlineLevel="1" customWidth="1"/>
    <col min="688" max="688" width="10.69" hidden="false" outlineLevel="1" customWidth="1"/>
    <col min="689" max="689" width="10.69" hidden="false" outlineLevel="1" customWidth="1"/>
    <col min="690" max="690" width="10.69" hidden="false" outlineLevel="1" customWidth="1"/>
    <col min="691" max="691" width="10.69" hidden="false" outlineLevel="1" customWidth="1"/>
    <col min="692" max="692" width="10.69" hidden="false" outlineLevel="1" customWidth="1"/>
    <col min="693" max="693" width="10.69" hidden="false" outlineLevel="1" customWidth="1"/>
    <col min="694" max="694" width="10.69" hidden="false" outlineLevel="1" customWidth="1"/>
    <col min="695" max="695" width="10.69" hidden="false" outlineLevel="1" customWidth="1"/>
    <col min="696" max="696" width="10.69" hidden="false" outlineLevel="1" customWidth="1"/>
    <col min="697" max="697" width="10.69" hidden="false" outlineLevel="1" customWidth="1"/>
    <col min="698" max="698" width="10.69" hidden="false" outlineLevel="1" customWidth="1"/>
    <col min="699" max="699" width="10.69" hidden="false" outlineLevel="1" customWidth="1"/>
    <col min="700" max="700" width="10.69" hidden="false" outlineLevel="1" customWidth="1"/>
    <col min="701" max="701" width="10.69" hidden="false" outlineLevel="1" customWidth="1"/>
    <col min="702" max="702" width="10.69" hidden="false" outlineLevel="1" customWidth="1"/>
    <col min="703" max="703" width="10.69" hidden="false" outlineLevel="1" customWidth="1"/>
    <col min="704" max="704" width="10.69" hidden="false" outlineLevel="1" customWidth="1"/>
    <col min="705" max="705" width="10.69" hidden="false" outlineLevel="1" customWidth="1"/>
    <col min="706" max="706" width="10.69" hidden="false" outlineLevel="1" customWidth="1"/>
    <col min="707" max="707" width="10.69" hidden="false" outlineLevel="1" customWidth="1"/>
    <col min="708" max="708" width="10.69" hidden="false" outlineLevel="1" customWidth="1"/>
    <col min="709" max="709" width="10.69" hidden="false" outlineLevel="1" customWidth="1"/>
    <col min="710" max="710" width="10.69" hidden="false" outlineLevel="1" customWidth="1"/>
    <col min="711" max="711" width="10.69" hidden="false" outlineLevel="1" customWidth="1"/>
    <col min="712" max="712" width="10.69" hidden="false" outlineLevel="1" customWidth="1"/>
    <col min="713" max="713" width="10.69" hidden="false" outlineLevel="1" customWidth="1"/>
    <col min="714" max="714" width="10.69" hidden="false" outlineLevel="1" customWidth="1"/>
    <col min="715" max="715" width="10.69" hidden="false" outlineLevel="1" customWidth="1"/>
    <col min="716" max="716" width="10.69" hidden="false" outlineLevel="1" customWidth="1"/>
    <col min="717" max="717" width="10.69" hidden="false" outlineLevel="1" customWidth="1"/>
    <col min="718" max="718" width="10.69" hidden="false" outlineLevel="1" customWidth="1"/>
    <col min="719" max="719" width="10.69" hidden="false" outlineLevel="1" customWidth="1"/>
    <col min="720" max="720" width="10.69" hidden="false" outlineLevel="1" customWidth="1"/>
    <col min="721" max="721" width="10.69" hidden="false" outlineLevel="1" customWidth="1"/>
    <col min="722" max="722" width="10.69" hidden="false" outlineLevel="1" customWidth="1"/>
    <col min="723" max="723" width="10.69" hidden="false" outlineLevel="1" customWidth="1"/>
    <col min="724" max="724" width="10.69" hidden="false" outlineLevel="1" customWidth="1"/>
    <col min="725" max="725" width="10.69" hidden="false" outlineLevel="1" customWidth="1"/>
    <col min="726" max="726" width="10.69" hidden="false" outlineLevel="1" customWidth="1"/>
    <col min="727" max="727" width="10.69" hidden="false" outlineLevel="1" customWidth="1"/>
    <col min="728" max="728" width="10.69" hidden="false" outlineLevel="1" customWidth="1"/>
    <col min="729" max="729" width="10.69" hidden="false" outlineLevel="1" customWidth="1"/>
    <col min="730" max="730" width="10.69" hidden="false" outlineLevel="1" customWidth="1"/>
    <col min="731" max="731" width="10.69" hidden="false" outlineLevel="1" customWidth="1"/>
    <col min="732" max="732" width="10.69" hidden="false" outlineLevel="1" customWidth="1"/>
    <col min="733" max="733" width="10.69" hidden="false" outlineLevel="1" customWidth="1"/>
    <col min="734" max="734" width="10.69" hidden="false" outlineLevel="1" customWidth="1"/>
    <col min="735" max="735" width="10.69" hidden="false" outlineLevel="1" customWidth="1"/>
    <col min="736" max="736" width="10.69" hidden="false" outlineLevel="1" customWidth="1"/>
    <col min="737" max="737" width="10.69" hidden="false" outlineLevel="1" customWidth="1"/>
    <col min="738" max="738" width="10.69" hidden="false" outlineLevel="1" customWidth="1"/>
    <col min="739" max="739" width="10.69" hidden="false" outlineLevel="1" customWidth="1"/>
    <col min="740" max="740" width="10.69" hidden="false" outlineLevel="1" customWidth="1"/>
    <col min="741" max="741" width="10.69" hidden="false" outlineLevel="1" customWidth="1"/>
    <col min="742" max="742" width="10.69" hidden="false" outlineLevel="1" customWidth="1"/>
    <col min="743" max="743" width="10.69" hidden="false" outlineLevel="1" customWidth="1"/>
    <col min="744" max="744" width="10.69" hidden="false" outlineLevel="1" customWidth="1"/>
    <col min="745" max="745" width="10.69" hidden="false" outlineLevel="1" customWidth="1"/>
    <col min="746" max="746" width="10.69" hidden="false" outlineLevel="1" customWidth="1"/>
    <col min="747" max="747" width="10.69" hidden="false" outlineLevel="1" customWidth="1"/>
    <col min="748" max="748" width="10.69" hidden="false" outlineLevel="1" customWidth="1"/>
    <col min="749" max="749" width="10.69" hidden="false" outlineLevel="1" customWidth="1"/>
    <col min="750" max="750" width="10.69" hidden="false" outlineLevel="1" customWidth="1"/>
    <col min="751" max="751" width="10.69" hidden="false" outlineLevel="1" customWidth="1"/>
    <col min="752" max="752" width="10.69" hidden="false" outlineLevel="1" customWidth="1"/>
    <col min="753" max="753" width="10.69" hidden="false" outlineLevel="1" customWidth="1"/>
    <col min="754" max="754" width="10.69" hidden="false" outlineLevel="1" customWidth="1"/>
    <col min="755" max="755" width="10.69" hidden="false" outlineLevel="1" customWidth="1"/>
    <col min="756" max="756" width="10.69" hidden="false" outlineLevel="1" customWidth="1"/>
    <col min="757" max="757" width="10.69" hidden="false" outlineLevel="1" customWidth="1"/>
    <col min="758" max="758" width="10.69" hidden="false" outlineLevel="1" customWidth="1"/>
    <col min="759" max="759" width="10.69" hidden="false" outlineLevel="1" customWidth="1"/>
    <col min="760" max="760" width="10.69" hidden="false" outlineLevel="1" customWidth="1"/>
    <col min="761" max="761" width="10.69" hidden="false" outlineLevel="1" customWidth="1"/>
    <col min="762" max="762" width="10.69" hidden="false" outlineLevel="1" customWidth="1"/>
    <col min="763" max="763" width="10.69" hidden="false" outlineLevel="1" customWidth="1"/>
    <col min="764" max="764" width="10.69" hidden="false" outlineLevel="1" customWidth="1"/>
    <col min="765" max="765" width="10.69" hidden="false" outlineLevel="1" customWidth="1"/>
    <col min="766" max="766" width="10.69" hidden="false" outlineLevel="1" customWidth="1"/>
    <col min="767" max="767" width="10.69" hidden="false" outlineLevel="1" customWidth="1"/>
    <col min="768" max="768" width="10.69" hidden="false" outlineLevel="1" customWidth="1"/>
    <col min="769" max="769" width="10.69" hidden="false" outlineLevel="1" customWidth="1"/>
    <col min="770" max="770" width="10.69" hidden="false" outlineLevel="1" customWidth="1"/>
    <col min="771" max="771" width="10.69" hidden="false" outlineLevel="1" customWidth="1"/>
    <col min="772" max="772" width="10.69" hidden="false" outlineLevel="1" customWidth="1"/>
    <col min="773" max="773" width="10.69" hidden="false" outlineLevel="1" customWidth="1"/>
    <col min="774" max="774" width="10.69" hidden="false" outlineLevel="1" customWidth="1"/>
    <col min="775" max="775" width="10.69" hidden="false" outlineLevel="1" customWidth="1"/>
    <col min="776" max="776" width="10.69" hidden="false" outlineLevel="1" customWidth="1"/>
    <col min="777" max="777" width="10.69" hidden="false" outlineLevel="1" customWidth="1"/>
    <col min="778" max="778" width="10.69" hidden="false" outlineLevel="1" customWidth="1"/>
    <col min="779" max="779" width="10.69" hidden="false" outlineLevel="1" customWidth="1"/>
    <col min="780" max="780" width="10.69" hidden="false" outlineLevel="1" customWidth="1"/>
    <col min="781" max="781" width="10.69" hidden="false" outlineLevel="1" customWidth="1"/>
    <col min="782" max="782" width="10.69" hidden="false" outlineLevel="1" customWidth="1"/>
    <col min="783" max="783" width="10.69" hidden="false" outlineLevel="1" customWidth="1"/>
    <col min="784" max="784" width="10.69" hidden="false" outlineLevel="1" customWidth="1"/>
    <col min="785" max="785" width="10.69" hidden="false" outlineLevel="1" customWidth="1"/>
    <col min="786" max="786" width="10.69" hidden="false" outlineLevel="1" customWidth="1"/>
    <col min="787" max="787" width="10.69" hidden="false" outlineLevel="1" customWidth="1"/>
    <col min="788" max="788" width="10.69" hidden="false" outlineLevel="1" customWidth="1"/>
    <col min="789" max="789" width="10.69" hidden="false" outlineLevel="1" customWidth="1"/>
    <col min="790" max="790" width="10.69" hidden="false" outlineLevel="1" customWidth="1"/>
    <col min="791" max="791" width="10.69" hidden="false" outlineLevel="1" customWidth="1"/>
    <col min="792" max="792" width="10.69" hidden="false" outlineLevel="1" customWidth="1"/>
    <col min="793" max="793" width="10.69" hidden="false" outlineLevel="1" customWidth="1"/>
    <col min="794" max="794" width="10.69" hidden="false" outlineLevel="1" customWidth="1"/>
    <col min="795" max="795" width="10.69" hidden="false" outlineLevel="1" customWidth="1"/>
    <col min="796" max="796" width="10.69" hidden="false" outlineLevel="1" customWidth="1"/>
    <col min="797" max="797" width="10.69" hidden="false" outlineLevel="1" customWidth="1"/>
    <col min="798" max="798" width="10.69" hidden="false" outlineLevel="1" customWidth="1"/>
    <col min="799" max="799" width="10.69" hidden="false" outlineLevel="1" customWidth="1"/>
    <col min="800" max="800" width="10.69" hidden="false" outlineLevel="1" customWidth="1"/>
    <col min="801" max="801" width="10.69" hidden="false" outlineLevel="1" customWidth="1"/>
    <col min="802" max="802" width="10.69" hidden="false" outlineLevel="1" customWidth="1"/>
    <col min="803" max="803" width="10.69" hidden="false" outlineLevel="1" customWidth="1"/>
    <col min="804" max="804" width="10.69" hidden="false" outlineLevel="1" customWidth="1"/>
    <col min="805" max="805" width="10.69" hidden="false" outlineLevel="1" customWidth="1"/>
    <col min="806" max="806" width="10.69" hidden="false" outlineLevel="1" customWidth="1"/>
    <col min="807" max="807" width="10.69" hidden="false" outlineLevel="1" customWidth="1"/>
    <col min="808" max="808" width="10.69" hidden="false" outlineLevel="1" customWidth="1"/>
    <col min="809" max="809" width="10.69" hidden="false" outlineLevel="1" customWidth="1"/>
    <col min="810" max="810" width="10.69" hidden="false" outlineLevel="1" customWidth="1"/>
    <col min="811" max="811" width="10.69" hidden="false" outlineLevel="1" customWidth="1"/>
    <col min="812" max="812" width="10.69" hidden="false" outlineLevel="1" customWidth="1"/>
    <col min="813" max="813" width="10.69" hidden="false" outlineLevel="1" customWidth="1"/>
    <col min="814" max="814" width="10.69" hidden="false" outlineLevel="1" customWidth="1"/>
    <col min="815" max="815" width="10.69" hidden="false" outlineLevel="1" customWidth="1"/>
    <col min="816" max="816" width="10.69" hidden="false" outlineLevel="1" customWidth="1"/>
    <col min="817" max="817" width="10.69" hidden="false" outlineLevel="1" customWidth="1"/>
    <col min="818" max="818" width="10.69" hidden="false" outlineLevel="1" customWidth="1"/>
    <col min="819" max="819" width="10.69" hidden="false" outlineLevel="1" customWidth="1"/>
    <col min="820" max="820" width="10.69" hidden="false" outlineLevel="1" customWidth="1"/>
    <col min="821" max="821" width="10.69" hidden="false" outlineLevel="1" customWidth="1"/>
    <col min="822" max="822" width="10.69" hidden="false" outlineLevel="1" customWidth="1"/>
    <col min="823" max="823" width="10.69" hidden="false" outlineLevel="1" customWidth="1"/>
    <col min="824" max="824" width="10.69" hidden="false" outlineLevel="1" customWidth="1"/>
    <col min="825" max="825" width="10.69" hidden="false" outlineLevel="1" customWidth="1"/>
    <col min="826" max="826" width="10.69" hidden="false" outlineLevel="1" customWidth="1"/>
    <col min="827" max="827" width="10.69" hidden="false" outlineLevel="1" customWidth="1"/>
    <col min="828" max="828" width="10.69" hidden="false" outlineLevel="1" customWidth="1"/>
    <col min="829" max="829" width="10.69" hidden="false" outlineLevel="1" customWidth="1"/>
    <col min="830" max="830" width="10.69" hidden="false" outlineLevel="1" customWidth="1"/>
    <col min="831" max="831" width="10.69" hidden="false" outlineLevel="1" customWidth="1"/>
    <col min="832" max="832" width="10.69" hidden="false" outlineLevel="1" customWidth="1"/>
    <col min="833" max="833" width="10.69" hidden="false" outlineLevel="1" customWidth="1"/>
    <col min="834" max="834" width="10.69" hidden="false" outlineLevel="1" customWidth="1"/>
    <col min="835" max="835" width="10.69" hidden="false" outlineLevel="1" customWidth="1"/>
    <col min="836" max="836" width="10.69" hidden="false" outlineLevel="1" customWidth="1"/>
    <col min="837" max="837" width="10.69" hidden="false" outlineLevel="1" customWidth="1"/>
    <col min="838" max="838" width="10.69" hidden="false" outlineLevel="1" customWidth="1"/>
    <col min="839" max="839" width="10.69" hidden="false" outlineLevel="1" customWidth="1"/>
    <col min="840" max="840" width="10.69" hidden="false" outlineLevel="1" customWidth="1"/>
    <col min="841" max="841" width="10.69" hidden="false" outlineLevel="1" customWidth="1"/>
    <col min="842" max="842" width="10.69" hidden="false" outlineLevel="1" customWidth="1"/>
    <col min="843" max="843" width="10.69" hidden="false" outlineLevel="1" customWidth="1"/>
    <col min="844" max="844" width="10.69" hidden="false" outlineLevel="1" customWidth="1"/>
    <col min="845" max="845" width="10.69" hidden="false" outlineLevel="1" customWidth="1"/>
    <col min="846" max="846" width="10.69" hidden="false" outlineLevel="1" customWidth="1"/>
    <col min="847" max="847" width="10.69" hidden="false" outlineLevel="1" customWidth="1"/>
    <col min="848" max="848" width="10.69" hidden="false" outlineLevel="1" customWidth="1"/>
    <col min="849" max="849" width="10.69" hidden="false" outlineLevel="1" customWidth="1"/>
    <col min="850" max="850" width="10.69" hidden="false" outlineLevel="1" customWidth="1"/>
    <col min="851" max="851" width="10.69" hidden="false" outlineLevel="1" customWidth="1"/>
    <col min="852" max="852" width="10.69" hidden="false" outlineLevel="1" customWidth="1"/>
    <col min="853" max="853" width="10.69" hidden="false" outlineLevel="1" customWidth="1"/>
    <col min="854" max="854" width="10.69" hidden="false" outlineLevel="1" customWidth="1"/>
    <col min="855" max="855" width="10.69" hidden="false" outlineLevel="1" customWidth="1"/>
    <col min="856" max="856" width="10.69" hidden="false" outlineLevel="1" customWidth="1"/>
    <col min="857" max="857" width="10.69" hidden="false" outlineLevel="1" customWidth="1"/>
    <col min="858" max="858" width="10.69" hidden="false" outlineLevel="1" customWidth="1"/>
    <col min="859" max="859" width="10.69" hidden="false" outlineLevel="1" customWidth="1"/>
    <col min="860" max="860" width="10.69" hidden="false" outlineLevel="1" customWidth="1"/>
    <col min="861" max="861" width="10.69" hidden="false" outlineLevel="1" customWidth="1"/>
    <col min="862" max="862" width="10.69" hidden="false" outlineLevel="1" customWidth="1"/>
    <col min="863" max="863" width="10.69" hidden="false" outlineLevel="1" customWidth="1"/>
    <col min="864" max="864" width="10.69" hidden="false" outlineLevel="1" customWidth="1"/>
    <col min="865" max="865" width="10.69" hidden="false" outlineLevel="1" customWidth="1"/>
    <col min="866" max="866" width="10.69" hidden="false" outlineLevel="1" customWidth="1"/>
    <col min="867" max="867" width="10.69" hidden="false" outlineLevel="1" customWidth="1"/>
    <col min="868" max="868" width="10.69" hidden="false" outlineLevel="1" customWidth="1"/>
    <col min="869" max="869" width="10.69" hidden="false" outlineLevel="1" customWidth="1"/>
    <col min="870" max="870" width="10.69" hidden="false" outlineLevel="1" customWidth="1"/>
    <col min="871" max="871" width="10.69" hidden="false" outlineLevel="1" customWidth="1"/>
    <col min="872" max="872" width="10.69" hidden="false" outlineLevel="1" customWidth="1"/>
    <col min="873" max="873" width="10.69" hidden="false" outlineLevel="1" customWidth="1"/>
    <col min="874" max="874" width="10.69" hidden="false" outlineLevel="1" customWidth="1"/>
    <col min="875" max="875" width="10.69" hidden="false" outlineLevel="1" customWidth="1"/>
    <col min="876" max="876" width="10.69" hidden="false" outlineLevel="1" customWidth="1"/>
    <col min="877" max="877" width="10.69" hidden="false" outlineLevel="1" customWidth="1"/>
    <col min="878" max="878" width="10.69" hidden="false" outlineLevel="1" customWidth="1"/>
    <col min="879" max="879" width="10.69" hidden="false" outlineLevel="1" customWidth="1"/>
    <col min="880" max="880" width="10.69" hidden="false" outlineLevel="1" customWidth="1"/>
    <col min="881" max="881" width="10.69" hidden="false" outlineLevel="1" customWidth="1"/>
    <col min="882" max="882" width="10.69" hidden="false" outlineLevel="1" customWidth="1"/>
    <col min="883" max="883" width="10.69" hidden="false" outlineLevel="1" customWidth="1"/>
    <col min="884" max="884" width="10.69" hidden="false" outlineLevel="1" customWidth="1"/>
    <col min="885" max="885" width="10.69" hidden="false" outlineLevel="1" customWidth="1"/>
    <col min="886" max="886" width="10.69" hidden="false" outlineLevel="1" customWidth="1"/>
    <col min="887" max="887" width="10.69" hidden="false" outlineLevel="1" customWidth="1"/>
    <col min="888" max="888" width="10.69" hidden="false" outlineLevel="1" customWidth="1"/>
    <col min="889" max="889" width="10.69" hidden="false" outlineLevel="1" customWidth="1"/>
    <col min="890" max="890" width="10.69" hidden="false" outlineLevel="1" customWidth="1"/>
    <col min="891" max="891" width="10.69" hidden="false" outlineLevel="1" customWidth="1"/>
    <col min="892" max="892" width="10.69" hidden="false" outlineLevel="1" customWidth="1"/>
    <col min="893" max="893" width="10.69" hidden="false" outlineLevel="1" customWidth="1"/>
    <col min="894" max="894" width="10.69" hidden="false" outlineLevel="1" customWidth="1"/>
    <col min="895" max="895" width="10.69" hidden="false" outlineLevel="1" customWidth="1"/>
    <col min="896" max="896" width="10.69" hidden="false" outlineLevel="1" customWidth="1"/>
    <col min="897" max="897" width="10.69" hidden="false" outlineLevel="1" customWidth="1"/>
    <col min="898" max="898" width="10.69" hidden="false" outlineLevel="1" customWidth="1"/>
    <col min="899" max="899" width="10.69" hidden="false" outlineLevel="1" customWidth="1"/>
    <col min="900" max="900" width="10.69" hidden="false" outlineLevel="1" customWidth="1"/>
    <col min="901" max="901" width="10.69" hidden="false" outlineLevel="1" customWidth="1"/>
    <col min="902" max="902" width="10.69" hidden="false" outlineLevel="1" customWidth="1"/>
    <col min="903" max="903" width="10.69" hidden="false" outlineLevel="1" customWidth="1"/>
    <col min="904" max="904" width="10.69" hidden="false" outlineLevel="1" customWidth="1"/>
    <col min="905" max="905" width="10.69" hidden="false" outlineLevel="1" customWidth="1"/>
    <col min="906" max="906" width="10.69" hidden="false" outlineLevel="1" customWidth="1"/>
    <col min="907" max="907" width="10.69" hidden="false" outlineLevel="1" customWidth="1"/>
    <col min="908" max="908" width="10.69" hidden="false" outlineLevel="1" customWidth="1"/>
    <col min="909" max="909" width="10.69" hidden="false" outlineLevel="1" customWidth="1"/>
    <col min="910" max="910" width="10.69" hidden="false" outlineLevel="1" customWidth="1"/>
    <col min="911" max="911" width="10.69" hidden="false" outlineLevel="1" customWidth="1"/>
    <col min="912" max="912" width="10.69" hidden="false" outlineLevel="1" customWidth="1"/>
    <col min="913" max="913" width="10.69" hidden="false" outlineLevel="1" customWidth="1"/>
    <col min="914" max="914" width="10.69" hidden="false" outlineLevel="1" customWidth="1"/>
    <col min="915" max="915" width="10.69" hidden="false" outlineLevel="1" customWidth="1"/>
    <col min="916" max="916" width="10.69" hidden="false" outlineLevel="1" customWidth="1"/>
    <col min="917" max="917" width="10.69" hidden="false" outlineLevel="1" customWidth="1"/>
    <col min="918" max="918" width="10.69" hidden="false" outlineLevel="1" customWidth="1"/>
    <col min="919" max="919" width="10.69" hidden="false" outlineLevel="1" customWidth="1"/>
    <col min="920" max="920" width="10.69" hidden="false" outlineLevel="1" customWidth="1"/>
    <col min="921" max="921" width="10.69" hidden="false" outlineLevel="1" customWidth="1"/>
    <col min="922" max="922" width="10.69" hidden="false" outlineLevel="1" customWidth="1"/>
    <col min="923" max="923" width="10.69" hidden="false" outlineLevel="1" customWidth="1"/>
    <col min="924" max="924" width="10.69" hidden="false" outlineLevel="1" customWidth="1"/>
    <col min="925" max="925" width="10.69" hidden="false" outlineLevel="1" customWidth="1"/>
    <col min="926" max="926" width="10.69" hidden="false" outlineLevel="1" customWidth="1"/>
    <col min="927" max="927" width="10.69" hidden="false" outlineLevel="1" customWidth="1"/>
    <col min="928" max="928" width="10.69" hidden="false" outlineLevel="1" customWidth="1"/>
    <col min="929" max="929" width="10.69" hidden="false" outlineLevel="1" customWidth="1"/>
    <col min="930" max="930" width="10.69" hidden="false" outlineLevel="1" customWidth="1"/>
    <col min="931" max="931" width="10.69" hidden="false" outlineLevel="1" customWidth="1"/>
    <col min="932" max="932" width="10.69" hidden="false" outlineLevel="1" customWidth="1"/>
    <col min="933" max="933" width="10.69" hidden="false" outlineLevel="1" customWidth="1"/>
    <col min="934" max="934" width="10.69" hidden="false" outlineLevel="1" customWidth="1"/>
    <col min="935" max="935" width="10.69" hidden="false" outlineLevel="1" customWidth="1"/>
    <col min="936" max="936" width="10.69" hidden="false" outlineLevel="1" customWidth="1"/>
    <col min="937" max="937" width="10.69" hidden="false" outlineLevel="1" customWidth="1"/>
    <col min="938" max="938" width="10.69" hidden="false" outlineLevel="1" customWidth="1"/>
    <col min="939" max="939" width="10.69" hidden="false" outlineLevel="1" customWidth="1"/>
    <col min="940" max="940" width="10.69" hidden="false" outlineLevel="1" customWidth="1"/>
    <col min="941" max="941" width="10.69" hidden="false" outlineLevel="1" customWidth="1"/>
    <col min="942" max="942" width="10.69" hidden="false" outlineLevel="1" customWidth="1"/>
    <col min="943" max="943" width="10.69" hidden="false" outlineLevel="1" customWidth="1"/>
    <col min="944" max="944" width="10.69" hidden="false" outlineLevel="1" customWidth="1"/>
    <col min="945" max="945" width="10.69" hidden="false" outlineLevel="1" customWidth="1"/>
    <col min="946" max="946" width="10.69" hidden="false" outlineLevel="1" customWidth="1"/>
    <col min="947" max="947" width="10.69" hidden="false" outlineLevel="1" customWidth="1"/>
    <col min="948" max="948" width="10.69" hidden="false" outlineLevel="1" customWidth="1"/>
    <col min="949" max="949" width="10.69" hidden="false" outlineLevel="1" customWidth="1"/>
    <col min="950" max="950" width="10.69" hidden="false" outlineLevel="1" customWidth="1"/>
    <col min="951" max="951" width="10.69" hidden="false" outlineLevel="1" customWidth="1"/>
    <col min="952" max="952" width="10.69" hidden="false" outlineLevel="1" customWidth="1"/>
    <col min="953" max="953" width="10.69" hidden="false" outlineLevel="1" customWidth="1"/>
    <col min="954" max="954" width="10.69" hidden="false" outlineLevel="1" customWidth="1"/>
    <col min="955" max="955" width="10.69" hidden="false" outlineLevel="1" customWidth="1"/>
    <col min="956" max="956" width="10.69" hidden="false" outlineLevel="1" customWidth="1"/>
    <col min="957" max="957" width="10.69" hidden="false" outlineLevel="1" customWidth="1"/>
    <col min="958" max="958" width="10.69" hidden="false" outlineLevel="1" customWidth="1"/>
    <col min="959" max="959" width="10.69" hidden="false" outlineLevel="1" customWidth="1"/>
    <col min="960" max="960" width="10.69" hidden="false" outlineLevel="1" customWidth="1"/>
    <col min="961" max="961" width="10.69" hidden="false" outlineLevel="1" customWidth="1"/>
    <col min="962" max="962" width="10.69" hidden="false" outlineLevel="1" customWidth="1"/>
    <col min="963" max="963" width="10.69" hidden="false" outlineLevel="1" customWidth="1"/>
    <col min="964" max="964" width="10.69" hidden="false" outlineLevel="1" customWidth="1"/>
    <col min="965" max="965" width="10.69" hidden="false" outlineLevel="1" customWidth="1"/>
    <col min="966" max="966" width="10.69" hidden="false" outlineLevel="1" customWidth="1"/>
    <col min="967" max="967" width="10.69" hidden="false" outlineLevel="1" customWidth="1"/>
    <col min="968" max="968" width="10.69" hidden="false" outlineLevel="1" customWidth="1"/>
    <col min="969" max="969" width="10.69" hidden="false" outlineLevel="1" customWidth="1"/>
    <col min="970" max="970" width="10.69" hidden="false" outlineLevel="1" customWidth="1"/>
    <col min="971" max="971" width="10.69" hidden="false" outlineLevel="1" customWidth="1"/>
    <col min="972" max="972" width="10.69" hidden="false" outlineLevel="1" customWidth="1"/>
    <col min="973" max="973" width="10.69" hidden="false" outlineLevel="1" customWidth="1"/>
    <col min="974" max="974" width="10.69" hidden="false" outlineLevel="1" customWidth="1"/>
    <col min="975" max="975" width="10.69" hidden="false" outlineLevel="1" customWidth="1"/>
    <col min="976" max="976" width="10.69" hidden="false" outlineLevel="1" customWidth="1"/>
    <col min="977" max="977" width="10.69" hidden="false" outlineLevel="1" customWidth="1"/>
    <col min="978" max="978" width="10.69" hidden="false" outlineLevel="1" customWidth="1"/>
    <col min="979" max="979" width="10.69" hidden="false" outlineLevel="1" customWidth="1"/>
    <col min="980" max="980" width="10.69" hidden="false" outlineLevel="1" customWidth="1"/>
    <col min="981" max="981" width="10.69" hidden="false" outlineLevel="1" customWidth="1"/>
    <col min="982" max="982" width="10.69" hidden="false" outlineLevel="1" customWidth="1"/>
    <col min="983" max="983" width="10.69" hidden="false" outlineLevel="1" customWidth="1"/>
    <col min="984" max="984" width="10.69" hidden="false" outlineLevel="1" customWidth="1"/>
    <col min="985" max="985" width="10.69" hidden="false" outlineLevel="1" customWidth="1"/>
    <col min="986" max="986" width="10.69" hidden="false" outlineLevel="1" customWidth="1"/>
    <col min="987" max="987" width="10.69" hidden="false" outlineLevel="1" customWidth="1"/>
    <col min="988" max="988" width="10.69" hidden="false" outlineLevel="1" customWidth="1"/>
    <col min="989" max="989" width="10.69" hidden="false" outlineLevel="1" customWidth="1"/>
    <col min="990" max="990" width="10.69" hidden="false" outlineLevel="1" customWidth="1"/>
    <col min="991" max="991" width="10.69" hidden="false" outlineLevel="1" customWidth="1"/>
    <col min="992" max="992" width="10.69" hidden="false" outlineLevel="1" customWidth="1"/>
    <col min="993" max="993" width="10.69" hidden="false" outlineLevel="1" customWidth="1"/>
    <col min="994" max="994" width="10.69" hidden="false" outlineLevel="1" customWidth="1"/>
    <col min="995" max="995" width="10.69" hidden="false" outlineLevel="1" customWidth="1"/>
    <col min="996" max="996" width="10.69" hidden="false" outlineLevel="1" customWidth="1"/>
    <col min="997" max="997" width="10.69" hidden="false" outlineLevel="1" customWidth="1"/>
    <col min="998" max="998" width="10.69" hidden="false" outlineLevel="1" customWidth="1"/>
    <col min="999" max="999" width="10.69" hidden="false" outlineLevel="1" customWidth="1"/>
    <col min="1000" max="1000" width="10.69" hidden="false" outlineLevel="1" customWidth="1"/>
    <col min="1001" max="1001" width="10.69" hidden="false" outlineLevel="1" customWidth="1"/>
    <col min="1002" max="1002" width="10.69" hidden="false" outlineLevel="1" customWidth="1"/>
    <col min="1003" max="1003" width="10.69" hidden="false" outlineLevel="1" customWidth="1"/>
    <col min="1004" max="1004" width="10.69" hidden="false" outlineLevel="1" customWidth="1"/>
    <col min="1005" max="1005" width="10.69" hidden="false" outlineLevel="1" customWidth="1"/>
    <col min="1006" max="1006" width="10.69" hidden="false" outlineLevel="1" customWidth="1"/>
    <col min="1007" max="1007" width="10.69" hidden="false" outlineLevel="1" customWidth="1"/>
    <col min="1008" max="1008" width="10.69" hidden="false" outlineLevel="1" customWidth="1"/>
    <col min="1009" max="1009" width="10.69" hidden="false" outlineLevel="1" customWidth="1"/>
    <col min="1010" max="1010" width="10.69" hidden="false" outlineLevel="1" customWidth="1"/>
    <col min="1011" max="1011" width="10.69" hidden="false" outlineLevel="1" customWidth="1"/>
    <col min="1012" max="1012" width="10.69" hidden="false" outlineLevel="1" customWidth="1"/>
    <col min="1013" max="1013" width="10.69" hidden="false" outlineLevel="1" customWidth="1"/>
    <col min="1014" max="1014" width="10.69" hidden="false" outlineLevel="1" customWidth="1"/>
    <col min="1015" max="1015" width="10.69" hidden="false" outlineLevel="1" customWidth="1"/>
    <col min="1016" max="1016" width="10.69" hidden="false" outlineLevel="1" customWidth="1"/>
    <col min="1017" max="1017" width="10.69" hidden="false" outlineLevel="1" customWidth="1"/>
    <col min="1018" max="1018" width="10.69" hidden="false" outlineLevel="1" customWidth="1"/>
    <col min="1019" max="1019" width="10.69" hidden="false" outlineLevel="1" customWidth="1"/>
    <col min="1020" max="1020" width="10.69" hidden="false" outlineLevel="1" customWidth="1"/>
    <col min="1021" max="1021" width="10.69" hidden="false" outlineLevel="1" customWidth="1"/>
    <col min="1022" max="1022" width="10.69" hidden="false" outlineLevel="1" customWidth="1"/>
    <col min="1023" max="1023" width="10.69" hidden="false" outlineLevel="1" customWidth="1"/>
    <col min="1024" max="1024" width="10.69" hidden="false" outlineLevel="1" customWidth="1"/>
    <col min="1025" max="1025" width="10.69" hidden="false" outlineLevel="1" customWidth="1"/>
  </cols>
  <sheetData>
    <row r="1" ht="60" customHeight="1">
      <c r="A1" s="1442" t="s">
        <v>2818</v>
      </c>
      <c r="B1" s="1442"/>
      <c r="C1" s="1442"/>
      <c r="D1" s="1442"/>
      <c r="E1" s="1442"/>
      <c r="F1" s="1442"/>
      <c r="G1" s="1442"/>
      <c r="H1" s="1442"/>
      <c r="I1" s="1442"/>
      <c r="J1" s="1442"/>
      <c r="K1" s="1442"/>
    </row>
    <row r="2" ht="15.75" customHeight="1">
      <c r="A2" s="1443"/>
      <c r="B2" s="1444"/>
      <c r="C2" s="1444"/>
    </row>
    <row r="3" ht="15.75" customHeight="1">
      <c r="A3" s="1445" t="s">
        <v>2819</v>
      </c>
      <c r="B3" s="646" t="s">
        <v>471</v>
      </c>
      <c r="C3" s="1446" t="s">
        <v>2820</v>
      </c>
      <c r="D3" s="1446"/>
      <c r="E3" s="1446"/>
      <c r="F3" s="1446"/>
      <c r="G3" s="1446"/>
      <c r="H3" s="1446"/>
      <c r="I3" s="1447" t="s">
        <v>2821</v>
      </c>
      <c r="J3" s="646"/>
      <c r="K3" s="1448" t="n">
        <f aca="false">MIN(20,SUM(I6,I69,I45,I22,I85))</f>
        <v>8</v>
      </c>
    </row>
    <row r="4" ht="15.75" customHeight="1">
      <c r="A4" s="1445"/>
      <c r="B4" s="1449"/>
      <c r="C4" s="646"/>
      <c r="D4" s="646"/>
      <c r="E4" s="646"/>
      <c r="F4" s="646"/>
      <c r="G4" s="646"/>
      <c r="H4" s="646"/>
      <c r="I4" s="646"/>
      <c r="J4" s="646"/>
      <c r="K4" s="1448"/>
      <c r="S4" s="37"/>
      <c r="T4" s="37"/>
      <c r="U4" s="1165"/>
    </row>
    <row r="5" ht="25.5" customHeight="1">
      <c r="A5" s="1445"/>
      <c r="B5" s="1449"/>
      <c r="C5" s="1165" t="s">
        <v>2822</v>
      </c>
      <c r="D5" s="1165"/>
      <c r="E5" s="1165"/>
      <c r="F5" s="1165"/>
      <c r="G5" s="1165"/>
      <c r="H5" s="1171" t="s">
        <v>2823</v>
      </c>
      <c r="I5" s="1171" t="s">
        <v>2824</v>
      </c>
      <c r="J5" s="646"/>
      <c r="K5" s="1448"/>
      <c r="N5" s="1165" t="s">
        <v>2825</v>
      </c>
      <c r="O5" s="1450" t="s">
        <v>2826</v>
      </c>
      <c r="P5" s="1450" t="s">
        <v>1259</v>
      </c>
      <c r="Q5" s="1450" t="s">
        <v>2827</v>
      </c>
      <c r="R5" s="1451" t="s">
        <v>2828</v>
      </c>
      <c r="S5" s="811"/>
      <c r="T5" s="811"/>
      <c r="U5" s="1165"/>
    </row>
    <row r="6" ht="15.75" customHeight="1">
      <c r="A6" s="1445"/>
      <c r="B6" s="1449"/>
      <c r="C6" s="1452" t="s">
        <v>2829</v>
      </c>
      <c r="D6" s="1452"/>
      <c r="E6" s="1452"/>
      <c r="F6" s="1452"/>
      <c r="G6" s="1453" t="n">
        <f aca="false">ROUND(F8*F9+F11*F14,0)</f>
        <v>3</v>
      </c>
      <c r="H6" s="1454" t="n">
        <f aca="false">IF(G15=4,4,G6+G15)</f>
        <v>3</v>
      </c>
      <c r="I6" s="1455" t="n">
        <f aca="false">MIN(5,H6)</f>
        <v>3</v>
      </c>
      <c r="J6" s="646"/>
      <c r="K6" s="1448"/>
      <c r="N6" s="1171" t="s">
        <v>2830</v>
      </c>
      <c r="O6" s="1165" t="n">
        <v>0</v>
      </c>
      <c r="P6" s="1165" t="n">
        <v>1</v>
      </c>
      <c r="Q6" s="1165" t="n">
        <v>2</v>
      </c>
      <c r="R6" s="1456" t="n">
        <v>3</v>
      </c>
      <c r="S6" s="811"/>
      <c r="T6" s="811"/>
      <c r="U6" s="1165"/>
    </row>
    <row r="7" ht="15.75" customHeight="1">
      <c r="A7" s="1445"/>
      <c r="B7" s="1449"/>
      <c r="C7" s="1457"/>
      <c r="D7" s="1458" t="s">
        <v>2831</v>
      </c>
      <c r="E7" s="1458"/>
      <c r="F7" s="1458"/>
      <c r="G7" s="1453"/>
      <c r="H7" s="1454"/>
      <c r="I7" s="1455"/>
      <c r="J7" s="646"/>
      <c r="K7" s="1448"/>
      <c r="S7" s="811"/>
      <c r="T7" s="811"/>
      <c r="U7" s="1165"/>
    </row>
    <row r="8" ht="15.75" customHeight="1">
      <c r="A8" s="1445"/>
      <c r="B8" s="1449"/>
      <c r="C8" s="1459"/>
      <c r="D8" s="1460"/>
      <c r="E8" s="634" t="s">
        <v>2832</v>
      </c>
      <c r="F8" s="1461" t="n">
        <f aca="false">'Saisie et Calculateur'!J391</f>
        <v>3</v>
      </c>
      <c r="G8" s="1453"/>
      <c r="H8" s="1454"/>
      <c r="I8" s="1455"/>
      <c r="J8" s="646"/>
      <c r="K8" s="1448"/>
      <c r="N8" s="1171"/>
      <c r="O8" s="1165"/>
      <c r="P8" s="1165"/>
      <c r="Q8" s="1165"/>
      <c r="S8" s="811"/>
      <c r="T8" s="811"/>
      <c r="U8" s="1165"/>
    </row>
    <row r="9" ht="15.75" customHeight="1">
      <c r="A9" s="1445"/>
      <c r="B9" s="1449"/>
      <c r="C9" s="1459"/>
      <c r="D9" s="634" t="s">
        <v>2833</v>
      </c>
      <c r="E9" s="634"/>
      <c r="F9" s="1462" t="n">
        <f aca="false">O12</f>
        <v>1</v>
      </c>
      <c r="G9" s="1453"/>
      <c r="H9" s="1454"/>
      <c r="I9" s="1455"/>
      <c r="J9" s="646"/>
      <c r="K9" s="1448"/>
      <c r="N9" s="1171"/>
      <c r="O9" s="1463" t="s">
        <v>2831</v>
      </c>
      <c r="P9" s="1463"/>
      <c r="Q9" s="1463" t="s">
        <v>2834</v>
      </c>
      <c r="S9" s="811"/>
      <c r="T9" s="811"/>
      <c r="U9" s="1165"/>
    </row>
    <row r="10" ht="15.75" customHeight="1">
      <c r="A10" s="1445"/>
      <c r="B10" s="1449"/>
      <c r="C10" s="1457"/>
      <c r="D10" s="1464" t="s">
        <v>100</v>
      </c>
      <c r="E10" s="1464"/>
      <c r="F10" s="1464"/>
      <c r="G10" s="1453"/>
      <c r="H10" s="1454"/>
      <c r="I10" s="1455"/>
      <c r="J10" s="646"/>
      <c r="K10" s="1448"/>
      <c r="N10" s="1171"/>
      <c r="O10" s="1463"/>
      <c r="P10" s="1463"/>
      <c r="Q10" s="1463"/>
      <c r="S10" s="811"/>
      <c r="T10" s="811"/>
      <c r="U10" s="1165"/>
    </row>
    <row r="11" ht="15.75" customHeight="1">
      <c r="A11" s="1445"/>
      <c r="B11" s="1449"/>
      <c r="C11" s="1465"/>
      <c r="D11" s="634" t="str">
        <f aca="false">'Saisie et Calculateur'!H394</f>
        <v>2 ou 3 familles</v>
      </c>
      <c r="E11" s="634" t="n">
        <f aca="false">IF(D11=O5,O6,IF(D11=P5,P6,IF(D11=Q5,Q6,IF(D11=R5,R6,"Erreur"))))</f>
        <v>1</v>
      </c>
      <c r="F11" s="1466" t="n">
        <f aca="false">MIN(5,SUM(E11:E13))</f>
        <v>1</v>
      </c>
      <c r="G11" s="1453"/>
      <c r="H11" s="1454"/>
      <c r="I11" s="1455"/>
      <c r="J11" s="646"/>
      <c r="K11" s="1448"/>
      <c r="N11" s="1463" t="s">
        <v>459</v>
      </c>
      <c r="O11" s="1467" t="n">
        <f aca="false">SUM('Saisie et Calculateur'!B25:B26,'Saisie et Calculateur'!B28:B29)</f>
        <v>76</v>
      </c>
      <c r="P11" s="1467"/>
      <c r="Q11" s="1468" t="n">
        <f aca="false">'Saisie et Calculateur'!B30</f>
        <v>0</v>
      </c>
      <c r="S11" s="811"/>
      <c r="T11" s="811"/>
      <c r="U11" s="1165"/>
    </row>
    <row r="12" ht="15.75" customHeight="1">
      <c r="A12" s="1445"/>
      <c r="B12" s="1449"/>
      <c r="C12" s="1465" t="s">
        <v>2835</v>
      </c>
      <c r="D12" s="1465"/>
      <c r="E12" s="634" t="n">
        <f aca="false">IF('Saisie et Calculateur'!H396="oui",2,0)</f>
        <v>0</v>
      </c>
      <c r="F12" s="1466"/>
      <c r="G12" s="1453"/>
      <c r="H12" s="1454"/>
      <c r="I12" s="1455"/>
      <c r="J12" s="646"/>
      <c r="K12" s="1448"/>
      <c r="N12" s="1456" t="s">
        <v>2836</v>
      </c>
      <c r="O12" s="1469" t="n">
        <f aca="false">O11/('Saisie et Calculateur'!B24-'Saisie et Calculateur'!B27-'Saisie et Calculateur'!B32)</f>
        <v>1</v>
      </c>
      <c r="P12" s="1469"/>
      <c r="Q12" s="1470" t="n">
        <f aca="false">Q11/('Saisie et Calculateur'!B24-'Saisie et Calculateur'!B27-'Saisie et Calculateur'!B32)</f>
        <v>0</v>
      </c>
      <c r="S12" s="811"/>
      <c r="T12" s="811"/>
      <c r="U12" s="1165"/>
    </row>
    <row r="13" ht="15.75" customHeight="1">
      <c r="A13" s="1445"/>
      <c r="B13" s="1449"/>
      <c r="C13" s="1471"/>
      <c r="D13" s="634" t="s">
        <v>2837</v>
      </c>
      <c r="E13" s="634" t="n">
        <f aca="false">IF('Saisie et Calculateur'!H398="oui",1,0)</f>
        <v>0</v>
      </c>
      <c r="F13" s="1466"/>
      <c r="G13" s="1453"/>
      <c r="H13" s="1454"/>
      <c r="I13" s="1455"/>
      <c r="J13" s="646"/>
      <c r="K13" s="1448"/>
      <c r="R13" s="1165"/>
      <c r="S13" s="811"/>
      <c r="T13" s="811"/>
      <c r="U13" s="1165"/>
    </row>
    <row r="14" ht="15.75" customHeight="1">
      <c r="A14" s="1445"/>
      <c r="B14" s="1449"/>
      <c r="C14" s="1459"/>
      <c r="D14" s="634" t="s">
        <v>2833</v>
      </c>
      <c r="E14" s="634"/>
      <c r="F14" s="1462" t="n">
        <f aca="false">Q12</f>
        <v>0</v>
      </c>
      <c r="G14" s="1453"/>
      <c r="H14" s="1454"/>
      <c r="I14" s="1455"/>
      <c r="J14" s="646"/>
      <c r="K14" s="1448"/>
      <c r="N14" s="1165" t="s">
        <v>2838</v>
      </c>
      <c r="O14" s="1472" t="n">
        <v>0.2</v>
      </c>
      <c r="P14" s="1472" t="n">
        <v>0.5</v>
      </c>
      <c r="Q14" s="1472" t="n">
        <v>0.9</v>
      </c>
      <c r="R14" s="1165"/>
      <c r="S14" s="811"/>
      <c r="T14" s="811"/>
      <c r="U14" s="1165"/>
    </row>
    <row r="15" ht="15" customHeight="1">
      <c r="A15" s="1445"/>
      <c r="B15" s="1449"/>
      <c r="C15" s="1473" t="s">
        <v>2839</v>
      </c>
      <c r="D15" s="1473"/>
      <c r="E15" s="1473"/>
      <c r="F15" s="1473"/>
      <c r="G15" s="1474" t="n">
        <f aca="false">IF(E16&gt;Q14,Q15,IF(E16&gt;P14,P15,IF(E16&gt;O14,O15,0)))</f>
        <v>0</v>
      </c>
      <c r="H15" s="1454"/>
      <c r="I15" s="1455"/>
      <c r="J15" s="646"/>
      <c r="K15" s="1448"/>
      <c r="M15" s="1165"/>
      <c r="N15" s="1171" t="s">
        <v>2840</v>
      </c>
      <c r="O15" s="1165" t="n">
        <v>1</v>
      </c>
      <c r="P15" s="1165" t="n">
        <v>2</v>
      </c>
      <c r="Q15" s="1165" t="n">
        <v>4</v>
      </c>
      <c r="R15" s="1165"/>
      <c r="S15" s="1165"/>
      <c r="T15" s="1165"/>
      <c r="U15" s="1165"/>
    </row>
    <row r="16" ht="15.75" customHeight="1">
      <c r="A16" s="1445"/>
      <c r="B16" s="1449"/>
      <c r="C16" s="1475"/>
      <c r="D16" s="1476" t="s">
        <v>1130</v>
      </c>
      <c r="E16" s="1477" t="n">
        <f aca="false">'Saisie et Calculateur'!D402</f>
        <v>0.012987012987013</v>
      </c>
      <c r="F16" s="1478"/>
      <c r="G16" s="1474"/>
      <c r="H16" s="1454"/>
      <c r="I16" s="1455"/>
      <c r="J16" s="646"/>
      <c r="K16" s="1448"/>
      <c r="M16" s="1165"/>
      <c r="P16" s="1165"/>
      <c r="Q16" s="1165"/>
      <c r="R16" s="1165"/>
      <c r="S16" s="1165"/>
      <c r="T16" s="1165"/>
      <c r="U16" s="1165"/>
    </row>
    <row r="17" ht="12.75" customHeight="1">
      <c r="A17" s="1445"/>
      <c r="B17" s="1449"/>
      <c r="C17" s="646"/>
      <c r="D17" s="646"/>
      <c r="E17" s="646"/>
      <c r="F17" s="646"/>
      <c r="G17" s="646"/>
      <c r="H17" s="646"/>
      <c r="I17" s="646"/>
      <c r="J17" s="646"/>
      <c r="K17" s="1448"/>
      <c r="M17" s="1165"/>
      <c r="P17" s="1165"/>
      <c r="Q17" s="1165"/>
      <c r="R17" s="1165"/>
      <c r="U17" s="1165"/>
    </row>
    <row r="18" ht="14.1" customHeight="1">
      <c r="A18" s="1445"/>
      <c r="B18" s="1449"/>
      <c r="C18" s="646"/>
      <c r="D18" s="646"/>
      <c r="E18" s="646"/>
      <c r="F18" s="646"/>
      <c r="G18" s="646"/>
      <c r="H18" s="646"/>
      <c r="I18" s="646"/>
      <c r="J18" s="646"/>
      <c r="K18" s="1448"/>
      <c r="M18" s="1165"/>
      <c r="N18" s="1165"/>
      <c r="O18" s="1165"/>
      <c r="P18" s="1165"/>
      <c r="Q18" s="1165"/>
      <c r="R18" s="1165"/>
      <c r="U18" s="1165"/>
    </row>
    <row r="19" ht="14.1" customHeight="1">
      <c r="A19" s="1445"/>
      <c r="B19" s="1449" t="s">
        <v>251</v>
      </c>
      <c r="C19" s="1479" t="s">
        <v>2841</v>
      </c>
      <c r="D19" s="1479"/>
      <c r="E19" s="1479"/>
      <c r="F19" s="1479"/>
      <c r="G19" s="1479"/>
      <c r="H19" s="1479"/>
      <c r="I19" s="1480" t="s">
        <v>2821</v>
      </c>
      <c r="K19" s="1448"/>
      <c r="M19" s="1165"/>
      <c r="N19" s="1165"/>
      <c r="O19" s="1165"/>
      <c r="P19" s="1165"/>
      <c r="Q19" s="1165"/>
      <c r="R19" s="1165"/>
      <c r="U19" s="1165"/>
    </row>
    <row r="20" ht="14.1" customHeight="1">
      <c r="A20" s="1445"/>
      <c r="B20" s="1449"/>
      <c r="C20" s="646"/>
      <c r="D20" s="646"/>
      <c r="E20" s="646"/>
      <c r="F20" s="646"/>
      <c r="G20" s="646"/>
      <c r="H20" s="646"/>
      <c r="I20" s="646"/>
      <c r="J20" s="646"/>
      <c r="K20" s="1448"/>
      <c r="M20" s="1165"/>
      <c r="N20" s="1165"/>
      <c r="O20" s="1165"/>
      <c r="P20" s="1165"/>
      <c r="Q20" s="1165"/>
      <c r="R20" s="1165"/>
      <c r="S20" s="1165"/>
      <c r="T20" s="1165"/>
      <c r="U20" s="1165"/>
    </row>
    <row r="21" ht="25.5" customHeight="1">
      <c r="A21" s="1445"/>
      <c r="B21" s="1449"/>
      <c r="C21" s="1165" t="s">
        <v>2822</v>
      </c>
      <c r="D21" s="1165"/>
      <c r="E21" s="1165"/>
      <c r="F21" s="1165"/>
      <c r="G21" s="1165"/>
      <c r="H21" s="1171" t="s">
        <v>2823</v>
      </c>
      <c r="I21" s="1171" t="s">
        <v>2824</v>
      </c>
      <c r="J21" s="646"/>
      <c r="K21" s="1448"/>
    </row>
    <row r="22" ht="12.75" customHeight="1">
      <c r="A22" s="1445"/>
      <c r="B22" s="1449"/>
      <c r="C22" s="1140" t="s">
        <v>2842</v>
      </c>
      <c r="D22" s="1140"/>
      <c r="E22" s="1140"/>
      <c r="F22" s="1140"/>
      <c r="G22" s="1453" t="n">
        <f aca="false">IF(E23="oui",1,0)</f>
        <v>0</v>
      </c>
      <c r="H22" s="1481" t="n">
        <f aca="false">SUM(G22,G35,G24)</f>
        <v>2</v>
      </c>
      <c r="I22" s="1455" t="n">
        <f aca="false">MIN(5,H22)</f>
        <v>2</v>
      </c>
      <c r="J22" s="646"/>
      <c r="K22" s="1448"/>
    </row>
    <row r="23" ht="14.1" customHeight="1">
      <c r="A23" s="1445"/>
      <c r="B23" s="1449"/>
      <c r="C23" s="1473"/>
      <c r="D23" s="1460" t="s">
        <v>2843</v>
      </c>
      <c r="E23" s="1460" t="str">
        <f aca="false">'Saisie et Calculateur'!J407</f>
        <v>non</v>
      </c>
      <c r="F23" s="1460"/>
      <c r="G23" s="1453"/>
      <c r="H23" s="1481"/>
      <c r="I23" s="1455"/>
      <c r="J23" s="646"/>
      <c r="K23" s="1448"/>
    </row>
    <row r="24" ht="15" customHeight="1">
      <c r="A24" s="1445"/>
      <c r="B24" s="1449"/>
      <c r="C24" s="1473" t="s">
        <v>2844</v>
      </c>
      <c r="D24" s="1473"/>
      <c r="E24" s="1473"/>
      <c r="F24" s="1473"/>
      <c r="G24" s="1482" t="n">
        <f aca="false">ROUND(MIN(4,F26+F28+F30+F32+F34),0)</f>
        <v>2</v>
      </c>
      <c r="H24" s="1481"/>
      <c r="I24" s="1455"/>
      <c r="J24" s="646"/>
      <c r="K24" s="1448"/>
      <c r="N24" s="1483" t="s">
        <v>2845</v>
      </c>
      <c r="O24" s="1483" t="s">
        <v>2846</v>
      </c>
      <c r="P24" s="1483"/>
      <c r="Q24" s="1483" t="s">
        <v>97</v>
      </c>
      <c r="R24" s="1483" t="s">
        <v>98</v>
      </c>
      <c r="S24" s="1483" t="s">
        <v>100</v>
      </c>
    </row>
    <row r="25" ht="14.1" customHeight="1">
      <c r="A25" s="1445"/>
      <c r="B25" s="1449"/>
      <c r="C25" s="1484"/>
      <c r="D25" s="748" t="s">
        <v>2847</v>
      </c>
      <c r="E25" s="748"/>
      <c r="F25" s="748"/>
      <c r="G25" s="1482"/>
      <c r="H25" s="1481"/>
      <c r="I25" s="1455"/>
      <c r="J25" s="646"/>
      <c r="K25" s="1448"/>
      <c r="N25" s="1483" t="s">
        <v>2832</v>
      </c>
      <c r="O25" s="1483" t="n">
        <f aca="false">'Saisie et Calculateur'!I437</f>
        <v>1</v>
      </c>
      <c r="P25" s="1483"/>
      <c r="Q25" s="1483" t="n">
        <f aca="false">'Saisie et Calculateur'!I452</f>
        <v>0</v>
      </c>
      <c r="R25" s="1483" t="n">
        <f aca="false">'Saisie et Calculateur'!I461</f>
        <v>0</v>
      </c>
      <c r="S25" s="1483" t="n">
        <f aca="false">'Saisie et Calculateur'!I468</f>
        <v>0</v>
      </c>
    </row>
    <row r="26" ht="14.1" customHeight="1">
      <c r="A26" s="1445"/>
      <c r="B26" s="1449"/>
      <c r="C26" s="1459"/>
      <c r="D26" s="748" t="s">
        <v>2843</v>
      </c>
      <c r="E26" s="1485" t="str">
        <f aca="false">'Saisie et Calculateur'!F412</f>
        <v>oui</v>
      </c>
      <c r="F26" s="1486" t="n">
        <f aca="false">IF(E26="oui",1,0)</f>
        <v>1</v>
      </c>
      <c r="G26" s="1482"/>
      <c r="H26" s="1481"/>
      <c r="I26" s="1455"/>
      <c r="J26" s="646"/>
      <c r="K26" s="1448"/>
      <c r="N26" s="1456" t="s">
        <v>2848</v>
      </c>
      <c r="O26" s="1483" t="n">
        <f aca="false">SUM('Saisie et Calculateur'!B25:B26)</f>
        <v>76</v>
      </c>
      <c r="P26" s="1483"/>
      <c r="Q26" s="1483" t="n">
        <f aca="false">'Saisie et Calculateur'!B28</f>
        <v>0</v>
      </c>
      <c r="R26" s="1483" t="n">
        <f aca="false">'Saisie et Calculateur'!B29</f>
        <v>0</v>
      </c>
      <c r="S26" s="1483" t="n">
        <f aca="false">'Saisie et Calculateur'!B30</f>
        <v>0</v>
      </c>
    </row>
    <row r="27" ht="14.1" customHeight="1">
      <c r="A27" s="1445"/>
      <c r="B27" s="1449"/>
      <c r="C27" s="1473"/>
      <c r="D27" s="646" t="s">
        <v>2849</v>
      </c>
      <c r="E27" s="646"/>
      <c r="F27" s="646"/>
      <c r="G27" s="1482"/>
      <c r="H27" s="1481"/>
      <c r="I27" s="1455"/>
      <c r="J27" s="646"/>
      <c r="K27" s="1448"/>
      <c r="N27" s="1483" t="s">
        <v>2850</v>
      </c>
      <c r="O27" s="1487" t="n">
        <f aca="false">O26/('Saisie et Calculateur'!B24-'Saisie et Calculateur'!B27-'Saisie et Calculateur'!B32)</f>
        <v>1</v>
      </c>
      <c r="P27" s="1487"/>
      <c r="Q27" s="1488" t="n">
        <f aca="false">Q26/('Saisie et Calculateur'!B24-'Saisie et Calculateur'!B27-'Saisie et Calculateur'!B32)</f>
        <v>0</v>
      </c>
      <c r="R27" s="1488" t="n">
        <f aca="false">R26/('Saisie et Calculateur'!B24-'Saisie et Calculateur'!B27-'Saisie et Calculateur'!B32)</f>
        <v>0</v>
      </c>
      <c r="S27" s="1487" t="n">
        <f aca="false">S26/('Saisie et Calculateur'!B24-'Saisie et Calculateur'!B27-'Saisie et Calculateur'!B32)</f>
        <v>0</v>
      </c>
    </row>
    <row r="28" ht="14.1" customHeight="1">
      <c r="A28" s="1445"/>
      <c r="B28" s="1449"/>
      <c r="C28" s="1473"/>
      <c r="D28" s="748" t="s">
        <v>2851</v>
      </c>
      <c r="E28" s="748"/>
      <c r="F28" s="1466" t="n">
        <f aca="false">O25*O27</f>
        <v>1</v>
      </c>
      <c r="G28" s="1482"/>
      <c r="H28" s="1481"/>
      <c r="I28" s="1455"/>
      <c r="J28" s="646"/>
      <c r="K28" s="1448"/>
    </row>
    <row r="29" ht="14.1" customHeight="1">
      <c r="A29" s="1445"/>
      <c r="B29" s="1449"/>
      <c r="C29" s="1457"/>
      <c r="D29" s="1165" t="s">
        <v>97</v>
      </c>
      <c r="E29" s="646"/>
      <c r="F29" s="1489"/>
      <c r="G29" s="1482"/>
      <c r="H29" s="1481"/>
      <c r="I29" s="1455"/>
      <c r="J29" s="646"/>
      <c r="K29" s="1448"/>
    </row>
    <row r="30" ht="14.1" customHeight="1">
      <c r="A30" s="1445"/>
      <c r="B30" s="1449"/>
      <c r="C30" s="1457"/>
      <c r="D30" s="748" t="s">
        <v>2851</v>
      </c>
      <c r="E30" s="646"/>
      <c r="F30" s="1489" t="n">
        <f aca="false">Q25*Q27</f>
        <v>0</v>
      </c>
      <c r="G30" s="1482"/>
      <c r="H30" s="1481"/>
      <c r="I30" s="1455"/>
      <c r="J30" s="646"/>
      <c r="K30" s="1448"/>
    </row>
    <row r="31" ht="14.1" customHeight="1">
      <c r="A31" s="1445"/>
      <c r="B31" s="1449"/>
      <c r="C31" s="1457"/>
      <c r="D31" s="1165" t="s">
        <v>98</v>
      </c>
      <c r="E31" s="646"/>
      <c r="F31" s="1489"/>
      <c r="G31" s="1482"/>
      <c r="H31" s="1481"/>
      <c r="I31" s="1455"/>
      <c r="J31" s="646"/>
      <c r="K31" s="1448"/>
    </row>
    <row r="32" ht="14.1" customHeight="1">
      <c r="A32" s="1445"/>
      <c r="B32" s="1449"/>
      <c r="C32" s="1457"/>
      <c r="D32" s="748" t="s">
        <v>2851</v>
      </c>
      <c r="E32" s="646"/>
      <c r="F32" s="1489" t="n">
        <f aca="false">R25*R27</f>
        <v>0</v>
      </c>
      <c r="G32" s="1482"/>
      <c r="H32" s="1481"/>
      <c r="I32" s="1455"/>
      <c r="J32" s="646"/>
      <c r="K32" s="1448"/>
    </row>
    <row r="33" ht="14.1" customHeight="1">
      <c r="A33" s="1445"/>
      <c r="B33" s="1449"/>
      <c r="C33" s="1457"/>
      <c r="D33" s="1165" t="s">
        <v>100</v>
      </c>
      <c r="E33" s="646"/>
      <c r="F33" s="1489"/>
      <c r="G33" s="1482"/>
      <c r="H33" s="1481"/>
      <c r="I33" s="1455"/>
      <c r="J33" s="646"/>
      <c r="K33" s="1448"/>
    </row>
    <row r="34" ht="14.1" customHeight="1">
      <c r="A34" s="1445"/>
      <c r="B34" s="1449"/>
      <c r="C34" s="1473"/>
      <c r="D34" s="748" t="s">
        <v>2851</v>
      </c>
      <c r="E34" s="1485"/>
      <c r="F34" s="1490" t="n">
        <f aca="false">S25*S27</f>
        <v>0</v>
      </c>
      <c r="G34" s="1482"/>
      <c r="H34" s="1481"/>
      <c r="I34" s="1455"/>
      <c r="J34" s="646"/>
      <c r="K34" s="1448"/>
    </row>
    <row r="35" ht="14.1" customHeight="1">
      <c r="A35" s="1445"/>
      <c r="B35" s="1449"/>
      <c r="C35" s="1473" t="s">
        <v>2852</v>
      </c>
      <c r="D35" s="1473"/>
      <c r="E35" s="1473"/>
      <c r="F35" s="1473"/>
      <c r="G35" s="1491" t="n">
        <f aca="false">IF('Saisie et Calculateur'!F472="oui",MIN(2,F37+F39),0)</f>
        <v>0</v>
      </c>
      <c r="H35" s="1481"/>
      <c r="I35" s="1455"/>
      <c r="J35" s="646"/>
      <c r="K35" s="1448"/>
      <c r="N35" s="1165" t="s">
        <v>2853</v>
      </c>
      <c r="O35" s="1472" t="n">
        <v>0</v>
      </c>
      <c r="P35" s="1472" t="n">
        <v>0.3</v>
      </c>
      <c r="Q35" s="1472"/>
    </row>
    <row r="36" ht="14.1" customHeight="1">
      <c r="A36" s="1445"/>
      <c r="B36" s="1449"/>
      <c r="C36" s="1492"/>
      <c r="D36" s="646" t="s">
        <v>2854</v>
      </c>
      <c r="E36" s="1460"/>
      <c r="F36" s="1460"/>
      <c r="G36" s="1491"/>
      <c r="H36" s="1481"/>
      <c r="I36" s="1455"/>
      <c r="J36" s="646"/>
      <c r="K36" s="1448"/>
      <c r="N36" s="1165" t="s">
        <v>2855</v>
      </c>
      <c r="O36" s="1165" t="n">
        <v>0</v>
      </c>
      <c r="P36" s="1165" t="n">
        <v>1</v>
      </c>
      <c r="Q36" s="1165" t="n">
        <v>2</v>
      </c>
    </row>
    <row r="37" ht="14.1" customHeight="1">
      <c r="A37" s="1445"/>
      <c r="B37" s="1449"/>
      <c r="C37" s="1459"/>
      <c r="D37" s="1460" t="s">
        <v>1130</v>
      </c>
      <c r="E37" s="1493" t="n">
        <f aca="false">'Saisie et Calculateur'!J474</f>
        <v>0</v>
      </c>
      <c r="F37" s="1486" t="n">
        <f aca="false">IF(E37=O35,O36,IF(E37&lt;P35,P36,Q36))</f>
        <v>0</v>
      </c>
      <c r="G37" s="1491"/>
      <c r="H37" s="1481"/>
      <c r="I37" s="1455"/>
      <c r="J37" s="646"/>
      <c r="K37" s="1448"/>
      <c r="P37" s="1494"/>
    </row>
    <row r="38" ht="14.1" customHeight="1">
      <c r="A38" s="1445"/>
      <c r="B38" s="1449"/>
      <c r="C38" s="1473"/>
      <c r="D38" s="748" t="s">
        <v>2856</v>
      </c>
      <c r="E38" s="1460"/>
      <c r="F38" s="1460"/>
      <c r="G38" s="1491"/>
      <c r="H38" s="1481"/>
      <c r="I38" s="1455"/>
      <c r="J38" s="646"/>
      <c r="K38" s="1448"/>
      <c r="N38" s="1165" t="s">
        <v>2857</v>
      </c>
      <c r="O38" s="1483" t="s">
        <v>1310</v>
      </c>
      <c r="P38" s="1483"/>
      <c r="Q38" s="1483"/>
      <c r="R38" s="1483" t="s">
        <v>2858</v>
      </c>
      <c r="S38" s="1483"/>
    </row>
    <row r="39" ht="14.1" customHeight="1">
      <c r="A39" s="1445"/>
      <c r="B39" s="1449"/>
      <c r="C39" s="1475"/>
      <c r="D39" s="1495" t="str">
        <f aca="false">'Saisie et Calculateur'!J476</f>
        <v>non, critère secondaire ou absent</v>
      </c>
      <c r="E39" s="1495"/>
      <c r="F39" s="1495" t="n">
        <f aca="false">IF(D39=R38,R39,O39)</f>
        <v>0</v>
      </c>
      <c r="G39" s="1491"/>
      <c r="H39" s="1481"/>
      <c r="I39" s="1455"/>
      <c r="J39" s="646"/>
      <c r="K39" s="1448"/>
      <c r="N39" s="1165" t="s">
        <v>2855</v>
      </c>
      <c r="O39" s="1483" t="n">
        <v>0</v>
      </c>
      <c r="P39" s="1483"/>
      <c r="Q39" s="1483"/>
      <c r="R39" s="1483" t="n">
        <v>1</v>
      </c>
      <c r="S39" s="1483"/>
    </row>
    <row r="40" ht="14.1" customHeight="1">
      <c r="A40" s="1445"/>
      <c r="B40" s="1449"/>
      <c r="H40" s="646"/>
      <c r="I40" s="646"/>
      <c r="J40" s="646"/>
      <c r="K40" s="1448"/>
      <c r="N40" s="1192"/>
      <c r="O40" s="1192"/>
      <c r="P40" s="646"/>
    </row>
    <row r="41" ht="14.1" customHeight="1">
      <c r="A41" s="1445"/>
      <c r="B41" s="1449"/>
      <c r="H41" s="646"/>
      <c r="I41" s="646"/>
      <c r="J41" s="646"/>
      <c r="K41" s="1448"/>
    </row>
    <row r="42" ht="14.1" customHeight="1">
      <c r="A42" s="1445"/>
      <c r="B42" s="1449" t="s">
        <v>461</v>
      </c>
      <c r="C42" s="1479" t="s">
        <v>2859</v>
      </c>
      <c r="D42" s="1479"/>
      <c r="E42" s="1479"/>
      <c r="F42" s="1479"/>
      <c r="G42" s="1479"/>
      <c r="H42" s="1479"/>
      <c r="I42" s="1480" t="s">
        <v>2821</v>
      </c>
      <c r="J42" s="646"/>
      <c r="K42" s="1448"/>
    </row>
    <row r="43" ht="13.5" customHeight="1">
      <c r="A43" s="1445"/>
      <c r="B43" s="1449"/>
      <c r="C43" s="646"/>
      <c r="D43" s="646"/>
      <c r="E43" s="646"/>
      <c r="F43" s="646"/>
      <c r="G43" s="646"/>
      <c r="H43" s="646"/>
      <c r="I43" s="646"/>
      <c r="J43" s="646"/>
      <c r="K43" s="1448"/>
      <c r="S43" s="646"/>
      <c r="T43" s="646"/>
      <c r="U43" s="646"/>
      <c r="V43" s="646"/>
    </row>
    <row r="44" ht="25.5" customHeight="1">
      <c r="A44" s="1445"/>
      <c r="B44" s="1449"/>
      <c r="C44" s="1483" t="s">
        <v>2822</v>
      </c>
      <c r="D44" s="1483"/>
      <c r="E44" s="1483"/>
      <c r="F44" s="1483"/>
      <c r="G44" s="1483"/>
      <c r="H44" s="1496" t="s">
        <v>2823</v>
      </c>
      <c r="I44" s="1463" t="s">
        <v>2824</v>
      </c>
      <c r="J44" s="646"/>
      <c r="K44" s="1448"/>
      <c r="S44" s="646"/>
      <c r="T44" s="646"/>
      <c r="U44" s="646"/>
      <c r="V44" s="646"/>
    </row>
    <row r="45" ht="13.5" customHeight="1">
      <c r="A45" s="1445"/>
      <c r="B45" s="1449"/>
      <c r="C45" s="1497" t="s">
        <v>2860</v>
      </c>
      <c r="D45" s="1498"/>
      <c r="E45" s="1498"/>
      <c r="F45" s="1498"/>
      <c r="G45" s="1453" t="n">
        <f aca="false">MIN(5,SUM(F49,F47))</f>
        <v>0</v>
      </c>
      <c r="H45" s="1499" t="n">
        <f aca="false">IF(T63&gt;=0.9,4,ROUND(SUM((G45*O63),(G50*Q63),(G57*S63)),0))</f>
        <v>0</v>
      </c>
      <c r="I45" s="1500" t="n">
        <f aca="false">MIN(5,H45)</f>
        <v>0</v>
      </c>
      <c r="J45" s="646"/>
      <c r="K45" s="1448"/>
      <c r="S45" s="646"/>
      <c r="U45" s="1192" t="s">
        <v>2861</v>
      </c>
      <c r="V45" s="646"/>
    </row>
    <row r="46" ht="14.1" customHeight="1">
      <c r="A46" s="1445"/>
      <c r="B46" s="1449"/>
      <c r="C46" s="1457"/>
      <c r="D46" s="1128" t="s">
        <v>2862</v>
      </c>
      <c r="E46" s="1128"/>
      <c r="F46" s="1128"/>
      <c r="G46" s="1453"/>
      <c r="H46" s="1499"/>
      <c r="I46" s="1500"/>
      <c r="J46" s="646"/>
      <c r="K46" s="1448"/>
      <c r="N46" s="1165" t="s">
        <v>2863</v>
      </c>
      <c r="O46" s="1472" t="n">
        <v>0.75</v>
      </c>
      <c r="P46" s="1472" t="n">
        <v>0.5</v>
      </c>
      <c r="Q46" s="1472" t="n">
        <v>0.25</v>
      </c>
      <c r="R46" s="1472" t="n">
        <v>0</v>
      </c>
      <c r="T46" s="1456" t="s">
        <v>253</v>
      </c>
      <c r="U46" s="1456" t="n">
        <v>3</v>
      </c>
    </row>
    <row r="47" ht="15" customHeight="1">
      <c r="A47" s="1445"/>
      <c r="B47" s="1449"/>
      <c r="C47" s="1457"/>
      <c r="D47" s="646" t="s">
        <v>1130</v>
      </c>
      <c r="E47" s="1295" t="n">
        <f aca="false">'Saisie et Calculateur'!I481</f>
        <v>0.960526315789474</v>
      </c>
      <c r="F47" s="646" t="n">
        <f aca="false">IF(E47&lt;Q46,R47,IF(E47&lt;P46,Q47,IF(E47&lt;O46,P47,O47)))</f>
        <v>0</v>
      </c>
      <c r="G47" s="1453"/>
      <c r="H47" s="1499"/>
      <c r="I47" s="1500"/>
      <c r="J47" s="646"/>
      <c r="K47" s="1448"/>
      <c r="N47" s="1165" t="s">
        <v>2855</v>
      </c>
      <c r="O47" s="1165" t="n">
        <v>0</v>
      </c>
      <c r="P47" s="1165" t="n">
        <v>1</v>
      </c>
      <c r="Q47" s="1165" t="n">
        <v>2</v>
      </c>
      <c r="R47" s="1165" t="n">
        <v>3</v>
      </c>
      <c r="T47" s="1456" t="s">
        <v>254</v>
      </c>
      <c r="U47" s="1456" t="n">
        <v>0</v>
      </c>
    </row>
    <row r="48" ht="14.1" customHeight="1">
      <c r="A48" s="1445"/>
      <c r="B48" s="1449"/>
      <c r="C48" s="1457"/>
      <c r="D48" s="1128" t="s">
        <v>2864</v>
      </c>
      <c r="E48" s="1128"/>
      <c r="F48" s="1128"/>
      <c r="G48" s="1453"/>
      <c r="H48" s="1499"/>
      <c r="I48" s="1500"/>
      <c r="J48" s="646"/>
      <c r="K48" s="1448"/>
    </row>
    <row r="49" ht="14.1" customHeight="1">
      <c r="A49" s="1445"/>
      <c r="B49" s="1449"/>
      <c r="C49" s="1473"/>
      <c r="D49" s="1460" t="s">
        <v>2843</v>
      </c>
      <c r="E49" s="1460" t="str">
        <f aca="false">'Saisie et Calculateur'!J483</f>
        <v>non</v>
      </c>
      <c r="F49" s="646" t="n">
        <f aca="false">IF(E49=T46,U46,U47)</f>
        <v>0</v>
      </c>
      <c r="G49" s="1453"/>
      <c r="H49" s="1499"/>
      <c r="I49" s="1500"/>
      <c r="J49" s="646"/>
      <c r="K49" s="1448"/>
      <c r="N49" s="1456" t="s">
        <v>2865</v>
      </c>
      <c r="O49" s="1456"/>
      <c r="P49" s="1456" t="s">
        <v>2866</v>
      </c>
      <c r="Q49" s="1456" t="s">
        <v>2867</v>
      </c>
      <c r="R49" s="1456"/>
      <c r="S49" s="1456"/>
      <c r="U49" s="1501" t="s">
        <v>2868</v>
      </c>
      <c r="V49" s="1501"/>
      <c r="W49" s="1456" t="s">
        <v>2866</v>
      </c>
    </row>
    <row r="50" ht="14.1" customHeight="1">
      <c r="A50" s="1445"/>
      <c r="B50" s="1449"/>
      <c r="C50" s="1473" t="s">
        <v>2869</v>
      </c>
      <c r="D50" s="1473"/>
      <c r="E50" s="1473"/>
      <c r="F50" s="1473"/>
      <c r="G50" s="1502" t="n">
        <f aca="false">MIN(5,SUM(F56,MAX(F54,F52)))</f>
        <v>0</v>
      </c>
      <c r="H50" s="1499"/>
      <c r="I50" s="1500"/>
      <c r="J50" s="646"/>
      <c r="K50" s="1448"/>
      <c r="N50" s="1456" t="s">
        <v>2870</v>
      </c>
      <c r="O50" s="1456"/>
      <c r="P50" s="1456" t="n">
        <v>0</v>
      </c>
      <c r="Q50" s="1456" t="s">
        <v>2871</v>
      </c>
      <c r="R50" s="1456"/>
      <c r="S50" s="1456"/>
      <c r="U50" s="1456" t="s">
        <v>464</v>
      </c>
      <c r="V50" s="1456"/>
      <c r="W50" s="1456" t="n">
        <v>0</v>
      </c>
    </row>
    <row r="51" ht="14.1" customHeight="1">
      <c r="A51" s="1445"/>
      <c r="B51" s="1449"/>
      <c r="C51" s="1473"/>
      <c r="D51" s="1460" t="s">
        <v>2865</v>
      </c>
      <c r="E51" s="1460"/>
      <c r="F51" s="1460"/>
      <c r="G51" s="1502"/>
      <c r="H51" s="1499"/>
      <c r="I51" s="1500"/>
      <c r="J51" s="646"/>
      <c r="K51" s="1448"/>
      <c r="N51" s="1456" t="s">
        <v>2872</v>
      </c>
      <c r="O51" s="1456"/>
      <c r="P51" s="1456" t="n">
        <v>1</v>
      </c>
      <c r="Q51" s="1456" t="s">
        <v>2873</v>
      </c>
      <c r="R51" s="1456"/>
      <c r="S51" s="1456"/>
      <c r="U51" s="1501" t="s">
        <v>465</v>
      </c>
      <c r="V51" s="1501"/>
      <c r="W51" s="1456" t="n">
        <v>3</v>
      </c>
    </row>
    <row r="52" ht="14.1" customHeight="1">
      <c r="A52" s="1445"/>
      <c r="B52" s="1449"/>
      <c r="C52" s="1473"/>
      <c r="D52" s="1460" t="s">
        <v>2874</v>
      </c>
      <c r="E52" s="1460" t="n">
        <f aca="false">'Saisie et Calculateur'!J487</f>
        <v>0</v>
      </c>
      <c r="F52" s="646" t="n">
        <f aca="false">IF(E52=N53,P53,IF(E52=N52,P52,IF(E52=N51,P51,P50)))</f>
        <v>0</v>
      </c>
      <c r="G52" s="1502"/>
      <c r="H52" s="1499"/>
      <c r="I52" s="1500"/>
      <c r="J52" s="646"/>
      <c r="K52" s="1448"/>
      <c r="N52" s="1456" t="s">
        <v>2875</v>
      </c>
      <c r="O52" s="1456"/>
      <c r="P52" s="1456" t="n">
        <v>2</v>
      </c>
      <c r="Q52" s="1456" t="s">
        <v>2876</v>
      </c>
      <c r="R52" s="1456"/>
      <c r="S52" s="1456"/>
      <c r="U52" s="1456" t="s">
        <v>466</v>
      </c>
      <c r="V52" s="1456"/>
      <c r="W52" s="1456" t="n">
        <v>3</v>
      </c>
    </row>
    <row r="53" ht="14.1" customHeight="1">
      <c r="A53" s="1445"/>
      <c r="B53" s="1449"/>
      <c r="C53" s="1473"/>
      <c r="D53" s="1460" t="s">
        <v>2867</v>
      </c>
      <c r="E53" s="1460"/>
      <c r="F53" s="1460"/>
      <c r="G53" s="1502"/>
      <c r="H53" s="1499"/>
      <c r="I53" s="1500"/>
      <c r="J53" s="646"/>
      <c r="K53" s="1448"/>
      <c r="N53" s="1456" t="s">
        <v>2877</v>
      </c>
      <c r="O53" s="1456"/>
      <c r="P53" s="1456" t="n">
        <v>3</v>
      </c>
      <c r="Q53" s="1456" t="s">
        <v>2878</v>
      </c>
      <c r="R53" s="1456"/>
      <c r="S53" s="1456"/>
    </row>
    <row r="54" ht="14.1" customHeight="1">
      <c r="A54" s="1445"/>
      <c r="B54" s="1449"/>
      <c r="C54" s="1473"/>
      <c r="D54" s="1460" t="s">
        <v>2874</v>
      </c>
      <c r="E54" s="1460" t="n">
        <f aca="false">'Saisie et Calculateur'!J489</f>
        <v>0</v>
      </c>
      <c r="F54" s="646" t="n">
        <f aca="false">IF(E54=Q53,P53,IF(E54=Q52,P52,IF(E54=Q51,P51,P50)))</f>
        <v>0</v>
      </c>
      <c r="G54" s="1502"/>
      <c r="H54" s="1499"/>
      <c r="I54" s="1500"/>
      <c r="J54" s="646"/>
      <c r="K54" s="1448"/>
    </row>
    <row r="55" ht="14.1" customHeight="1">
      <c r="A55" s="1445"/>
      <c r="B55" s="1449"/>
      <c r="C55" s="1473"/>
      <c r="D55" s="1460" t="s">
        <v>2879</v>
      </c>
      <c r="E55" s="1460"/>
      <c r="F55" s="1460"/>
      <c r="G55" s="1502"/>
      <c r="H55" s="1499"/>
      <c r="I55" s="1500"/>
      <c r="J55" s="646"/>
      <c r="K55" s="1448"/>
      <c r="N55" s="1456" t="s">
        <v>2880</v>
      </c>
      <c r="O55" s="1456"/>
      <c r="P55" s="1456" t="s">
        <v>2866</v>
      </c>
      <c r="R55" s="1456" t="s">
        <v>2881</v>
      </c>
      <c r="S55" s="1456"/>
      <c r="U55" s="1456" t="s">
        <v>2880</v>
      </c>
      <c r="V55" s="1456"/>
    </row>
    <row r="56" ht="14.1" customHeight="1">
      <c r="A56" s="1445"/>
      <c r="B56" s="1449"/>
      <c r="C56" s="1473"/>
      <c r="D56" s="1503" t="n">
        <f aca="false">'Saisie et Calculateur'!J491</f>
        <v>0</v>
      </c>
      <c r="E56" s="1503"/>
      <c r="F56" s="646" t="n">
        <f aca="false">IF(D56=U52,W52,IF(D56=U51,W51,W50))</f>
        <v>0</v>
      </c>
      <c r="G56" s="1502"/>
      <c r="H56" s="1499"/>
      <c r="I56" s="1500"/>
      <c r="J56" s="646"/>
      <c r="K56" s="1448"/>
      <c r="N56" s="1456" t="s">
        <v>2826</v>
      </c>
      <c r="O56" s="1456"/>
      <c r="P56" s="1456" t="n">
        <v>0</v>
      </c>
      <c r="R56" s="1456" t="s">
        <v>253</v>
      </c>
      <c r="S56" s="1456" t="n">
        <v>-1</v>
      </c>
      <c r="U56" s="1456" t="s">
        <v>253</v>
      </c>
      <c r="V56" s="1456" t="n">
        <v>2</v>
      </c>
    </row>
    <row r="57" ht="14.1" customHeight="1">
      <c r="A57" s="1445"/>
      <c r="B57" s="1449"/>
      <c r="C57" s="1473" t="s">
        <v>2882</v>
      </c>
      <c r="D57" s="1473"/>
      <c r="E57" s="1473"/>
      <c r="F57" s="1473"/>
      <c r="G57" s="1474" t="n">
        <f aca="false">MIN(5,SUM(F59,F61,F63))</f>
        <v>0</v>
      </c>
      <c r="H57" s="1499"/>
      <c r="I57" s="1500"/>
      <c r="J57" s="646"/>
      <c r="K57" s="1448"/>
      <c r="N57" s="1456" t="s">
        <v>2883</v>
      </c>
      <c r="O57" s="1456"/>
      <c r="P57" s="1456" t="n">
        <v>1</v>
      </c>
      <c r="R57" s="1456" t="s">
        <v>254</v>
      </c>
      <c r="S57" s="1456" t="n">
        <v>0</v>
      </c>
      <c r="U57" s="1456" t="s">
        <v>254</v>
      </c>
      <c r="V57" s="1456" t="n">
        <v>0</v>
      </c>
    </row>
    <row r="58" ht="14.1" customHeight="1">
      <c r="A58" s="1445"/>
      <c r="B58" s="1449"/>
      <c r="C58" s="1473"/>
      <c r="D58" s="1460" t="s">
        <v>2884</v>
      </c>
      <c r="E58" s="1460"/>
      <c r="F58" s="1460"/>
      <c r="G58" s="1474"/>
      <c r="H58" s="1499"/>
      <c r="I58" s="1500"/>
      <c r="J58" s="646"/>
      <c r="K58" s="1448"/>
      <c r="N58" s="1456" t="s">
        <v>2885</v>
      </c>
      <c r="O58" s="1456"/>
      <c r="P58" s="1456" t="n">
        <v>2</v>
      </c>
    </row>
    <row r="59" ht="14.1" customHeight="1">
      <c r="A59" s="1445"/>
      <c r="B59" s="1449"/>
      <c r="C59" s="1473"/>
      <c r="D59" s="1503" t="n">
        <f aca="false">'Saisie et Calculateur'!J494</f>
        <v>0</v>
      </c>
      <c r="E59" s="1503"/>
      <c r="F59" s="646" t="n">
        <f aca="false">IF(D59=N59,P59,IF(D59=N58,P58,IF(D59=N57,P57,P56)))</f>
        <v>0</v>
      </c>
      <c r="G59" s="1474"/>
      <c r="H59" s="1499"/>
      <c r="I59" s="1500"/>
      <c r="J59" s="646"/>
      <c r="K59" s="1448"/>
      <c r="N59" s="1456" t="s">
        <v>2886</v>
      </c>
      <c r="O59" s="1456"/>
      <c r="P59" s="1456" t="n">
        <v>3</v>
      </c>
    </row>
    <row r="60" ht="14.1" customHeight="1">
      <c r="A60" s="1445"/>
      <c r="B60" s="1449"/>
      <c r="C60" s="1473"/>
      <c r="D60" s="1460" t="s">
        <v>2887</v>
      </c>
      <c r="E60" s="1460"/>
      <c r="F60" s="1460"/>
      <c r="G60" s="1474"/>
      <c r="H60" s="1499"/>
      <c r="I60" s="1500"/>
      <c r="J60" s="646"/>
      <c r="K60" s="1448"/>
    </row>
    <row r="61" ht="14.1" customHeight="1">
      <c r="A61" s="1445"/>
      <c r="B61" s="1449"/>
      <c r="C61" s="1473"/>
      <c r="D61" s="1503" t="n">
        <f aca="false">'Saisie et Calculateur'!J496</f>
        <v>0</v>
      </c>
      <c r="E61" s="1503"/>
      <c r="F61" s="1486" t="n">
        <f aca="false">IF(D61=R56,S56,S57)</f>
        <v>0</v>
      </c>
      <c r="G61" s="1474"/>
      <c r="H61" s="1499"/>
      <c r="I61" s="1500"/>
      <c r="J61" s="646"/>
      <c r="K61" s="1448"/>
      <c r="N61" s="1483" t="s">
        <v>2845</v>
      </c>
      <c r="O61" s="1483" t="s">
        <v>2888</v>
      </c>
      <c r="P61" s="1483"/>
      <c r="Q61" s="1483" t="s">
        <v>2889</v>
      </c>
      <c r="R61" s="1483"/>
      <c r="S61" s="1483" t="s">
        <v>100</v>
      </c>
      <c r="T61" s="1483" t="s">
        <v>2890</v>
      </c>
    </row>
    <row r="62" ht="14.1" customHeight="1">
      <c r="A62" s="1445"/>
      <c r="B62" s="1449"/>
      <c r="C62" s="1473"/>
      <c r="D62" s="1460" t="s">
        <v>2891</v>
      </c>
      <c r="E62" s="1460"/>
      <c r="F62" s="1460"/>
      <c r="G62" s="1474"/>
      <c r="H62" s="1499"/>
      <c r="I62" s="1500"/>
      <c r="J62" s="646"/>
      <c r="K62" s="1448"/>
      <c r="N62" s="1456" t="s">
        <v>2848</v>
      </c>
      <c r="O62" s="1483" t="n">
        <f aca="false">'Saisie et Calculateur'!B25+'Saisie et Calculateur'!B26</f>
        <v>76</v>
      </c>
      <c r="P62" s="1483"/>
      <c r="Q62" s="1483" t="n">
        <f aca="false">'Saisie et Calculateur'!B28+'Saisie et Calculateur'!B29</f>
        <v>0</v>
      </c>
      <c r="R62" s="1483"/>
      <c r="S62" s="1483" t="n">
        <f aca="false">'Saisie et Calculateur'!B30</f>
        <v>0</v>
      </c>
      <c r="T62" s="1483" t="n">
        <f aca="false">'Saisie et Calculateur'!B27</f>
        <v>1</v>
      </c>
    </row>
    <row r="63" ht="14.1" customHeight="1">
      <c r="A63" s="1445"/>
      <c r="B63" s="1449"/>
      <c r="C63" s="1504"/>
      <c r="D63" s="1505" t="n">
        <f aca="false">'Saisie et Calculateur'!J498</f>
        <v>0</v>
      </c>
      <c r="E63" s="1505"/>
      <c r="F63" s="1478" t="n">
        <f aca="false">IF(D63=U56,V56,V57)</f>
        <v>0</v>
      </c>
      <c r="G63" s="1474"/>
      <c r="H63" s="1499"/>
      <c r="I63" s="1500"/>
      <c r="J63" s="646"/>
      <c r="K63" s="1448"/>
      <c r="N63" s="1483" t="s">
        <v>2850</v>
      </c>
      <c r="O63" s="1487" t="n">
        <f aca="false">O62/('Saisie et Calculateur'!B24-'Saisie et Calculateur'!B27-'Saisie et Calculateur'!B32)</f>
        <v>1</v>
      </c>
      <c r="P63" s="1487"/>
      <c r="Q63" s="1506" t="n">
        <f aca="false">Q62/('Saisie et Calculateur'!B24-'Saisie et Calculateur'!B28)</f>
        <v>0</v>
      </c>
      <c r="R63" s="1506"/>
      <c r="S63" s="1487" t="n">
        <f aca="false">S62/('Saisie et Calculateur'!B24-'Saisie et Calculateur'!B27-'Saisie et Calculateur'!B32)</f>
        <v>0</v>
      </c>
      <c r="T63" s="1487" t="n">
        <f aca="false">'Saisie et Calculateur'!B27/('Saisie et Calculateur'!B24-'Saisie et Calculateur'!B32)</f>
        <v>0.012987012987013</v>
      </c>
    </row>
    <row r="64" ht="15" customHeight="1">
      <c r="A64" s="1445"/>
      <c r="B64" s="1449"/>
      <c r="C64" s="646"/>
      <c r="D64" s="646"/>
      <c r="E64" s="646"/>
      <c r="F64" s="646"/>
      <c r="G64" s="646"/>
      <c r="H64" s="646"/>
      <c r="I64" s="646"/>
      <c r="J64" s="646"/>
      <c r="K64" s="1448"/>
    </row>
    <row r="65" ht="15" customHeight="1">
      <c r="A65" s="1445"/>
      <c r="B65" s="1449"/>
      <c r="C65" s="646"/>
      <c r="D65" s="646"/>
      <c r="E65" s="646"/>
      <c r="F65" s="646"/>
      <c r="G65" s="646"/>
      <c r="H65" s="646"/>
      <c r="I65" s="646"/>
      <c r="J65" s="646"/>
      <c r="K65" s="1448"/>
    </row>
    <row r="66" ht="12.75" customHeight="1">
      <c r="A66" s="1445"/>
      <c r="B66" s="1449" t="s">
        <v>480</v>
      </c>
      <c r="C66" s="1479" t="s">
        <v>2892</v>
      </c>
      <c r="D66" s="1479"/>
      <c r="E66" s="1479"/>
      <c r="F66" s="1479"/>
      <c r="G66" s="1479"/>
      <c r="H66" s="1479"/>
      <c r="I66" s="1480" t="s">
        <v>2821</v>
      </c>
      <c r="J66" s="646"/>
      <c r="K66" s="1448"/>
    </row>
    <row r="67" ht="15" customHeight="1">
      <c r="A67" s="1445"/>
      <c r="B67" s="1449"/>
      <c r="C67" s="646"/>
      <c r="D67" s="646"/>
      <c r="E67" s="646"/>
      <c r="F67" s="646"/>
      <c r="G67" s="646"/>
      <c r="H67" s="646"/>
      <c r="I67" s="646"/>
      <c r="J67" s="646"/>
      <c r="K67" s="1448"/>
    </row>
    <row r="68" ht="25.5" customHeight="1">
      <c r="A68" s="1445"/>
      <c r="B68" s="1449"/>
      <c r="C68" s="1165" t="s">
        <v>2822</v>
      </c>
      <c r="D68" s="1165"/>
      <c r="E68" s="1165"/>
      <c r="F68" s="1165"/>
      <c r="G68" s="1165"/>
      <c r="H68" s="1171" t="s">
        <v>2823</v>
      </c>
      <c r="I68" s="1171" t="s">
        <v>2824</v>
      </c>
      <c r="J68" s="646"/>
      <c r="K68" s="1448"/>
      <c r="N68" s="1165" t="s">
        <v>2893</v>
      </c>
      <c r="O68" s="1472" t="n">
        <v>0.5</v>
      </c>
      <c r="P68" s="1472" t="n">
        <v>0.6</v>
      </c>
      <c r="Q68" s="1472" t="n">
        <v>0.7</v>
      </c>
      <c r="R68" s="1380"/>
    </row>
    <row r="69" ht="14.1" customHeight="1">
      <c r="A69" s="1445"/>
      <c r="B69" s="1449"/>
      <c r="C69" s="1452" t="s">
        <v>2894</v>
      </c>
      <c r="D69" s="1452"/>
      <c r="E69" s="1452"/>
      <c r="F69" s="1452"/>
      <c r="G69" s="1453" t="n">
        <f aca="false">MIN(3,ROUND(SUM(F71,F73,F75,F77),0))</f>
        <v>1</v>
      </c>
      <c r="H69" s="1507" t="n">
        <f aca="false">G69+G78</f>
        <v>1</v>
      </c>
      <c r="I69" s="1508" t="n">
        <f aca="false">MIN(5,H69)</f>
        <v>1</v>
      </c>
      <c r="J69" s="646"/>
      <c r="K69" s="1448"/>
      <c r="N69" s="1165" t="s">
        <v>2895</v>
      </c>
      <c r="O69" s="1165" t="n">
        <v>0</v>
      </c>
      <c r="P69" s="1165" t="n">
        <v>1</v>
      </c>
      <c r="Q69" s="1165" t="n">
        <v>2</v>
      </c>
      <c r="R69" s="1509" t="n">
        <v>3</v>
      </c>
    </row>
    <row r="70" ht="14.1" customHeight="1">
      <c r="A70" s="1445"/>
      <c r="B70" s="1449"/>
      <c r="C70" s="1459"/>
      <c r="D70" s="748" t="s">
        <v>2849</v>
      </c>
      <c r="E70" s="748"/>
      <c r="F70" s="748"/>
      <c r="G70" s="1453"/>
      <c r="H70" s="1507"/>
      <c r="I70" s="1508"/>
      <c r="J70" s="646"/>
      <c r="K70" s="1448"/>
    </row>
    <row r="71" ht="14.1" customHeight="1">
      <c r="A71" s="1445"/>
      <c r="B71" s="1449"/>
      <c r="C71" s="1459"/>
      <c r="D71" s="748" t="s">
        <v>2851</v>
      </c>
      <c r="E71" s="1485"/>
      <c r="F71" s="1485" t="n">
        <f aca="false">O72*O74</f>
        <v>0.974358974358974</v>
      </c>
      <c r="G71" s="1453"/>
      <c r="H71" s="1507"/>
      <c r="I71" s="1508"/>
      <c r="J71" s="646"/>
      <c r="K71" s="1448"/>
      <c r="N71" s="1483" t="s">
        <v>2845</v>
      </c>
      <c r="O71" s="1483" t="s">
        <v>2846</v>
      </c>
      <c r="P71" s="1483"/>
      <c r="Q71" s="1483" t="s">
        <v>97</v>
      </c>
      <c r="R71" s="1483" t="s">
        <v>98</v>
      </c>
      <c r="S71" s="1483" t="s">
        <v>100</v>
      </c>
      <c r="T71" s="1483"/>
    </row>
    <row r="72" ht="14.1" customHeight="1">
      <c r="A72" s="1445"/>
      <c r="B72" s="1449"/>
      <c r="C72" s="1459"/>
      <c r="D72" s="1356" t="s">
        <v>97</v>
      </c>
      <c r="E72" s="1485"/>
      <c r="F72" s="1485"/>
      <c r="G72" s="1453"/>
      <c r="H72" s="1507"/>
      <c r="I72" s="1508"/>
      <c r="J72" s="646"/>
      <c r="K72" s="1448"/>
      <c r="N72" s="1483" t="s">
        <v>2832</v>
      </c>
      <c r="O72" s="1483" t="n">
        <f aca="false">IF('Saisie et Calculateur'!J503=0,3,IF('Saisie et Calculateur'!J503=1,2,IF('Saisie et Calculateur'!J503=2,1,0)))</f>
        <v>1</v>
      </c>
      <c r="P72" s="1483"/>
      <c r="Q72" s="1483" t="n">
        <f aca="false">IF('Saisie et Calculateur'!J506=0,3,IF('Saisie et Calculateur'!J506=1,2,IF('Saisie et Calculateur'!J506=2,1,0)))</f>
        <v>3</v>
      </c>
      <c r="R72" s="1483" t="n">
        <f aca="false">IF('Saisie et Calculateur'!J508=0,3,IF('Saisie et Calculateur'!J508=1,2,IF('Saisie et Calculateur'!J508=2,1,0)))</f>
        <v>3</v>
      </c>
      <c r="S72" s="1509" t="n">
        <f aca="false">IF('Saisie et Calculateur'!J511=0,2,IF('Saisie et Calculateur'!J511=1,1,0))</f>
        <v>2</v>
      </c>
      <c r="T72" s="1456" t="n">
        <f aca="false">IF('Saisie et Calculateur'!J513="oui",1,0)</f>
        <v>0</v>
      </c>
    </row>
    <row r="73" ht="14.1" customHeight="1">
      <c r="A73" s="1445"/>
      <c r="B73" s="1449"/>
      <c r="C73" s="1459"/>
      <c r="D73" s="748" t="s">
        <v>2851</v>
      </c>
      <c r="E73" s="1485"/>
      <c r="F73" s="1485" t="n">
        <f aca="false">Q72*Q74</f>
        <v>0</v>
      </c>
      <c r="G73" s="1453"/>
      <c r="H73" s="1507"/>
      <c r="I73" s="1508"/>
      <c r="J73" s="646"/>
      <c r="K73" s="1448"/>
      <c r="N73" s="1483" t="s">
        <v>2848</v>
      </c>
      <c r="O73" s="1483" t="n">
        <f aca="false">'Saisie et Calculateur'!B25+'Saisie et Calculateur'!B26</f>
        <v>76</v>
      </c>
      <c r="P73" s="1483"/>
      <c r="Q73" s="1483" t="n">
        <f aca="false">'Saisie et Calculateur'!B28</f>
        <v>0</v>
      </c>
      <c r="R73" s="1483" t="n">
        <f aca="false">'Saisie et Calculateur'!B29</f>
        <v>0</v>
      </c>
      <c r="S73" s="1483" t="n">
        <f aca="false">'Saisie et Calculateur'!B30</f>
        <v>0</v>
      </c>
      <c r="T73" s="1483"/>
    </row>
    <row r="74" ht="14.1" customHeight="1">
      <c r="A74" s="1445"/>
      <c r="B74" s="1449"/>
      <c r="C74" s="1459"/>
      <c r="D74" s="1356" t="s">
        <v>98</v>
      </c>
      <c r="E74" s="1485"/>
      <c r="F74" s="1485"/>
      <c r="G74" s="1453"/>
      <c r="H74" s="1507"/>
      <c r="I74" s="1508"/>
      <c r="J74" s="646"/>
      <c r="K74" s="1448"/>
      <c r="N74" s="1483" t="s">
        <v>2850</v>
      </c>
      <c r="O74" s="1487" t="n">
        <f aca="false">O73/('Saisie et Calculateur'!$B$24--'Saisie et Calculateur'!B27-'Saisie et Calculateur'!B32)</f>
        <v>0.974358974358974</v>
      </c>
      <c r="P74" s="1487"/>
      <c r="Q74" s="1487" t="n">
        <f aca="false">Q73/('Saisie et Calculateur'!$B$24-'Saisie et Calculateur'!B27-'Saisie et Calculateur'!B32)</f>
        <v>0</v>
      </c>
      <c r="R74" s="1487" t="n">
        <f aca="false">R73/('Saisie et Calculateur'!$B$24-'Saisie et Calculateur'!B27-'Saisie et Calculateur'!B32)</f>
        <v>0</v>
      </c>
      <c r="S74" s="1487" t="n">
        <f aca="false">S73/('Saisie et Calculateur'!$B$24-'Saisie et Calculateur'!B27-'Saisie et Calculateur'!B32)</f>
        <v>0</v>
      </c>
      <c r="T74" s="1487"/>
    </row>
    <row r="75" ht="14.1" customHeight="1">
      <c r="A75" s="1445"/>
      <c r="B75" s="1449"/>
      <c r="C75" s="1459"/>
      <c r="D75" s="748" t="s">
        <v>2851</v>
      </c>
      <c r="E75" s="1485"/>
      <c r="F75" s="1485" t="n">
        <f aca="false">R72*R74</f>
        <v>0</v>
      </c>
      <c r="G75" s="1453"/>
      <c r="H75" s="1507"/>
      <c r="I75" s="1508"/>
      <c r="J75" s="646"/>
      <c r="K75" s="1448"/>
    </row>
    <row r="76" ht="14.1" customHeight="1">
      <c r="A76" s="1445"/>
      <c r="B76" s="1449"/>
      <c r="C76" s="1459"/>
      <c r="D76" s="1356" t="s">
        <v>100</v>
      </c>
      <c r="E76" s="1485"/>
      <c r="F76" s="1485"/>
      <c r="G76" s="1453"/>
      <c r="H76" s="1507"/>
      <c r="I76" s="1508"/>
      <c r="J76" s="646"/>
      <c r="K76" s="1448"/>
    </row>
    <row r="77" ht="14.1" customHeight="1">
      <c r="A77" s="1445"/>
      <c r="B77" s="1449"/>
      <c r="C77" s="1459"/>
      <c r="D77" s="748" t="s">
        <v>2851</v>
      </c>
      <c r="E77" s="1485"/>
      <c r="F77" s="1485" t="n">
        <f aca="false">(S72+T72)*S74</f>
        <v>0</v>
      </c>
      <c r="G77" s="1453"/>
      <c r="H77" s="1507"/>
      <c r="I77" s="1508"/>
      <c r="J77" s="646"/>
      <c r="K77" s="1448"/>
    </row>
    <row r="78" ht="14.1" customHeight="1">
      <c r="A78" s="1445"/>
      <c r="B78" s="1449"/>
      <c r="C78" s="1510" t="s">
        <v>2896</v>
      </c>
      <c r="D78" s="1510"/>
      <c r="E78" s="1510"/>
      <c r="F78" s="1510"/>
      <c r="G78" s="1491" t="n">
        <f aca="false">IF(E79&gt;Q68,R69,IF(E79&gt;P68,Q69,IF(E79&gt;O68,P69,O69)))</f>
        <v>0</v>
      </c>
      <c r="H78" s="1507"/>
      <c r="I78" s="1508"/>
      <c r="J78" s="646"/>
      <c r="K78" s="1448"/>
    </row>
    <row r="79" ht="14.1" customHeight="1">
      <c r="A79" s="1445"/>
      <c r="B79" s="1449"/>
      <c r="C79" s="1511"/>
      <c r="D79" s="1478" t="s">
        <v>2897</v>
      </c>
      <c r="E79" s="1512" t="n">
        <f aca="false">'Saisie et Calculateur'!J521</f>
        <v>0.113084415584416</v>
      </c>
      <c r="F79" s="1478"/>
      <c r="G79" s="1491"/>
      <c r="H79" s="1507"/>
      <c r="I79" s="1508"/>
      <c r="J79" s="646"/>
      <c r="K79" s="1448"/>
    </row>
    <row r="80" ht="14.1" customHeight="1">
      <c r="A80" s="1445"/>
      <c r="B80" s="1449"/>
      <c r="C80" s="646"/>
      <c r="D80" s="646"/>
      <c r="E80" s="1462"/>
      <c r="F80" s="646"/>
      <c r="G80" s="1513"/>
      <c r="H80" s="1165"/>
      <c r="I80" s="276"/>
      <c r="J80" s="646"/>
      <c r="K80" s="1448"/>
    </row>
    <row r="81" ht="15" customHeight="1">
      <c r="A81" s="1445"/>
      <c r="B81" s="1449"/>
      <c r="C81" s="1460"/>
      <c r="D81" s="1460"/>
      <c r="E81" s="1460"/>
      <c r="F81" s="1460"/>
      <c r="G81" s="584"/>
      <c r="H81" s="1165"/>
      <c r="I81" s="276"/>
      <c r="J81" s="646"/>
      <c r="K81" s="1448"/>
    </row>
    <row r="82" ht="14.1" customHeight="1">
      <c r="A82" s="1445"/>
      <c r="B82" s="1449" t="s">
        <v>271</v>
      </c>
      <c r="C82" s="1479" t="s">
        <v>2898</v>
      </c>
      <c r="D82" s="1479"/>
      <c r="E82" s="1479"/>
      <c r="F82" s="1479"/>
      <c r="G82" s="1479"/>
      <c r="H82" s="1479"/>
      <c r="I82" s="1480" t="s">
        <v>2821</v>
      </c>
      <c r="J82" s="646"/>
      <c r="K82" s="1448"/>
    </row>
    <row r="83" ht="12.75" customHeight="1">
      <c r="A83" s="1445"/>
      <c r="B83" s="1449"/>
      <c r="C83" s="646"/>
      <c r="D83" s="646"/>
      <c r="E83" s="646"/>
      <c r="F83" s="646"/>
      <c r="G83" s="646"/>
      <c r="H83" s="646"/>
      <c r="I83" s="646"/>
      <c r="J83" s="646"/>
      <c r="K83" s="1448"/>
    </row>
    <row r="84" ht="25.5" customHeight="1">
      <c r="A84" s="1445"/>
      <c r="B84" s="1449"/>
      <c r="C84" s="1165" t="s">
        <v>2822</v>
      </c>
      <c r="D84" s="1165"/>
      <c r="E84" s="1165"/>
      <c r="F84" s="1165"/>
      <c r="G84" s="1165"/>
      <c r="H84" s="1171" t="s">
        <v>2823</v>
      </c>
      <c r="I84" s="1514" t="s">
        <v>2824</v>
      </c>
      <c r="J84" s="646"/>
      <c r="K84" s="1448"/>
    </row>
    <row r="85" ht="13.5" customHeight="1">
      <c r="A85" s="1445"/>
      <c r="B85" s="1449"/>
      <c r="C85" s="1515" t="s">
        <v>2899</v>
      </c>
      <c r="D85" s="1516"/>
      <c r="E85" s="1516"/>
      <c r="F85" s="1517" t="n">
        <f aca="false">E16</f>
        <v>0.012987012987013</v>
      </c>
      <c r="G85" s="1518" t="str">
        <f aca="false">IF(F85&gt;=0.75,"SCORE MAX"," ")</f>
        <v> </v>
      </c>
      <c r="H85" s="1519" t="n">
        <f aca="false">IF(F85&gt;=0.75,5,SUM(G86,G88,G93))</f>
        <v>2</v>
      </c>
      <c r="I85" s="1520" t="n">
        <f aca="false">MIN(5,H85)</f>
        <v>2</v>
      </c>
      <c r="J85" s="646"/>
      <c r="K85" s="1448"/>
      <c r="N85" s="1192" t="s">
        <v>2900</v>
      </c>
      <c r="O85" s="1521" t="s">
        <v>620</v>
      </c>
      <c r="P85" s="1521"/>
      <c r="Q85" s="1521" t="s">
        <v>621</v>
      </c>
      <c r="R85" s="1521"/>
      <c r="S85" s="1521" t="s">
        <v>622</v>
      </c>
      <c r="T85" s="1521"/>
      <c r="U85" s="1521" t="s">
        <v>623</v>
      </c>
      <c r="V85" s="1521"/>
    </row>
    <row r="86" ht="12.75" customHeight="1">
      <c r="A86" s="1445"/>
      <c r="B86" s="1449"/>
      <c r="C86" s="1473" t="s">
        <v>2901</v>
      </c>
      <c r="D86" s="1473"/>
      <c r="E86" s="1473"/>
      <c r="F86" s="646"/>
      <c r="G86" s="1502" t="n">
        <f aca="false">IF(E87=O85,O86,IF(E87=Q85,Q86,S86))</f>
        <v>2</v>
      </c>
      <c r="H86" s="1519"/>
      <c r="I86" s="1520"/>
      <c r="J86" s="646"/>
      <c r="K86" s="1448"/>
      <c r="N86" s="1192" t="s">
        <v>2855</v>
      </c>
      <c r="O86" s="1192" t="n">
        <v>2</v>
      </c>
      <c r="P86" s="1192"/>
      <c r="Q86" s="1192" t="n">
        <v>1</v>
      </c>
      <c r="R86" s="1192"/>
      <c r="S86" s="1192" t="n">
        <v>0</v>
      </c>
      <c r="T86" s="1192"/>
      <c r="U86" s="1192" t="n">
        <v>0</v>
      </c>
      <c r="V86" s="1192"/>
    </row>
    <row r="87" ht="14.1" customHeight="1">
      <c r="A87" s="1445"/>
      <c r="B87" s="1449"/>
      <c r="C87" s="1471" t="s">
        <v>2902</v>
      </c>
      <c r="D87" s="1471"/>
      <c r="E87" s="1503" t="str">
        <f aca="false">'Saisie et Calculateur'!J537</f>
        <v>sans phyto entretien écologique</v>
      </c>
      <c r="F87" s="1503"/>
      <c r="G87" s="1502"/>
      <c r="H87" s="1519"/>
      <c r="I87" s="1520"/>
      <c r="J87" s="646"/>
      <c r="K87" s="1448"/>
    </row>
    <row r="88" ht="12" customHeight="1">
      <c r="A88" s="1445"/>
      <c r="B88" s="1449"/>
      <c r="C88" s="1459" t="s">
        <v>2903</v>
      </c>
      <c r="D88" s="1459"/>
      <c r="E88" s="1459"/>
      <c r="F88" s="1459"/>
      <c r="G88" s="1482" t="n">
        <f aca="false">IF('Saisie et Calculateur'!B19="non",F90,MIN(F90,F92))</f>
        <v>0</v>
      </c>
      <c r="H88" s="1519"/>
      <c r="I88" s="1520"/>
      <c r="J88" s="646"/>
      <c r="K88" s="1448"/>
      <c r="N88" s="1192" t="s">
        <v>2904</v>
      </c>
      <c r="O88" s="1192" t="s">
        <v>2905</v>
      </c>
    </row>
    <row r="89" ht="14.1" customHeight="1">
      <c r="A89" s="1445"/>
      <c r="B89" s="1449"/>
      <c r="C89" s="1457"/>
      <c r="D89" s="1460" t="s">
        <v>2906</v>
      </c>
      <c r="E89" s="1460"/>
      <c r="F89" s="1460"/>
      <c r="G89" s="1482"/>
      <c r="H89" s="1519"/>
      <c r="I89" s="1520"/>
      <c r="J89" s="646"/>
      <c r="K89" s="1448"/>
      <c r="N89" s="1522" t="n">
        <v>0.3</v>
      </c>
      <c r="O89" s="1192" t="n">
        <v>0</v>
      </c>
    </row>
    <row r="90" ht="14.1" customHeight="1">
      <c r="A90" s="1445"/>
      <c r="B90" s="1449"/>
      <c r="C90" s="1459"/>
      <c r="D90" s="1460" t="s">
        <v>1130</v>
      </c>
      <c r="E90" s="1493" t="n">
        <f aca="false">'Saisie et Calculateur'!J540</f>
        <v>0.948051948051948</v>
      </c>
      <c r="F90" s="1523" t="n">
        <f aca="false">IF(E90&gt;N89,O89,IF(E90&gt;N90,O90,O91))</f>
        <v>0</v>
      </c>
      <c r="G90" s="1482"/>
      <c r="H90" s="1519"/>
      <c r="I90" s="1520"/>
      <c r="J90" s="646"/>
      <c r="K90" s="1448"/>
      <c r="N90" s="1522" t="n">
        <v>0.1</v>
      </c>
      <c r="O90" s="1192" t="n">
        <v>1</v>
      </c>
    </row>
    <row r="91" ht="14.1" customHeight="1">
      <c r="A91" s="1445"/>
      <c r="B91" s="1449"/>
      <c r="C91" s="1457"/>
      <c r="D91" s="1460" t="s">
        <v>2907</v>
      </c>
      <c r="E91" s="1460"/>
      <c r="F91" s="1460"/>
      <c r="G91" s="1482"/>
      <c r="H91" s="1519"/>
      <c r="I91" s="1520"/>
      <c r="J91" s="646"/>
      <c r="K91" s="1448"/>
      <c r="O91" s="1192" t="n">
        <v>2</v>
      </c>
    </row>
    <row r="92" ht="14.1" customHeight="1">
      <c r="A92" s="1445"/>
      <c r="B92" s="1449"/>
      <c r="C92" s="1457"/>
      <c r="D92" s="1460" t="s">
        <v>1130</v>
      </c>
      <c r="E92" s="1493" t="n">
        <f aca="false">'Saisie et Calculateur'!J542</f>
        <v>0</v>
      </c>
      <c r="F92" s="1523" t="n">
        <f aca="false">IF(E92&gt;N89,O89,IF(E92&gt;N90,O90,O91))</f>
        <v>2</v>
      </c>
      <c r="G92" s="1482"/>
      <c r="H92" s="1519"/>
      <c r="I92" s="1520"/>
      <c r="J92" s="646"/>
      <c r="K92" s="1448"/>
    </row>
    <row r="93" ht="14.1" customHeight="1">
      <c r="A93" s="1445"/>
      <c r="B93" s="1449"/>
      <c r="C93" s="1473" t="s">
        <v>2908</v>
      </c>
      <c r="D93" s="1473"/>
      <c r="E93" s="1473"/>
      <c r="F93" s="1473"/>
      <c r="G93" s="1474" t="n">
        <f aca="false">IF(E94=O94,O95,P95)</f>
        <v>0</v>
      </c>
      <c r="H93" s="1519"/>
      <c r="I93" s="1520"/>
      <c r="J93" s="646"/>
      <c r="K93" s="1448"/>
    </row>
    <row r="94" ht="15" customHeight="1">
      <c r="A94" s="1445"/>
      <c r="B94" s="1449"/>
      <c r="C94" s="1504"/>
      <c r="D94" s="1478"/>
      <c r="E94" s="1476" t="str">
        <f aca="false">'Saisie et Calculateur'!J545</f>
        <v>non</v>
      </c>
      <c r="F94" s="1524"/>
      <c r="G94" s="1474"/>
      <c r="H94" s="1519"/>
      <c r="I94" s="1520"/>
      <c r="J94" s="646"/>
      <c r="K94" s="1448"/>
      <c r="N94" s="1192" t="s">
        <v>2909</v>
      </c>
      <c r="O94" s="1192" t="s">
        <v>253</v>
      </c>
      <c r="P94" s="1192" t="s">
        <v>254</v>
      </c>
    </row>
    <row r="95" ht="14.1" customHeight="1">
      <c r="A95" s="1445"/>
      <c r="B95" s="1369"/>
      <c r="C95" s="1460"/>
      <c r="D95" s="1460"/>
      <c r="E95" s="1460"/>
      <c r="F95" s="1460"/>
      <c r="G95" s="584"/>
      <c r="H95" s="1165"/>
      <c r="I95" s="276"/>
      <c r="J95" s="646"/>
      <c r="K95" s="1448"/>
      <c r="N95" s="1192" t="s">
        <v>2910</v>
      </c>
      <c r="O95" s="1192" t="n">
        <v>1</v>
      </c>
      <c r="P95" s="1192" t="n">
        <v>0</v>
      </c>
    </row>
    <row r="96" ht="14.1" customHeight="1"/>
    <row r="97" ht="14.1" customHeight="1">
      <c r="A97" s="1525" t="s">
        <v>2911</v>
      </c>
      <c r="B97" s="646" t="s">
        <v>483</v>
      </c>
      <c r="C97" s="1526" t="s">
        <v>2912</v>
      </c>
      <c r="D97" s="1526"/>
      <c r="E97" s="1526"/>
      <c r="F97" s="1526"/>
      <c r="G97" s="1526"/>
      <c r="H97" s="1526"/>
      <c r="I97" s="1527" t="s">
        <v>2913</v>
      </c>
      <c r="J97" s="646"/>
      <c r="K97" s="1528" t="n">
        <f aca="false">MIN(20,SUM(I100,I111,I121))</f>
        <v>5</v>
      </c>
    </row>
    <row r="98" ht="14.1" customHeight="1">
      <c r="A98" s="1525"/>
      <c r="B98" s="1449"/>
      <c r="C98" s="646"/>
      <c r="D98" s="646"/>
      <c r="E98" s="646"/>
      <c r="F98" s="646"/>
      <c r="G98" s="646"/>
      <c r="H98" s="646"/>
      <c r="I98" s="646"/>
      <c r="J98" s="646"/>
      <c r="K98" s="1528"/>
      <c r="R98" s="1192"/>
    </row>
    <row r="99" ht="24" customHeight="1">
      <c r="A99" s="1525"/>
      <c r="B99" s="1449"/>
      <c r="C99" s="1165" t="s">
        <v>2822</v>
      </c>
      <c r="D99" s="1165"/>
      <c r="E99" s="1165"/>
      <c r="F99" s="1165"/>
      <c r="G99" s="1165"/>
      <c r="H99" s="1171" t="s">
        <v>2823</v>
      </c>
      <c r="I99" s="1171" t="s">
        <v>2824</v>
      </c>
      <c r="J99" s="646"/>
      <c r="K99" s="1528"/>
      <c r="N99" s="1165" t="s">
        <v>2914</v>
      </c>
      <c r="O99" s="1171" t="s">
        <v>2915</v>
      </c>
      <c r="P99" s="1171"/>
      <c r="Q99" s="1171" t="s">
        <v>2916</v>
      </c>
      <c r="R99" s="1171"/>
      <c r="S99" s="1171"/>
      <c r="T99" s="1521" t="s">
        <v>1346</v>
      </c>
      <c r="U99" s="1250"/>
    </row>
    <row r="100" ht="14.1" customHeight="1">
      <c r="A100" s="1525"/>
      <c r="B100" s="1449"/>
      <c r="C100" s="1460" t="s">
        <v>2917</v>
      </c>
      <c r="D100" s="1460"/>
      <c r="E100" s="1460"/>
      <c r="F100" s="1460"/>
      <c r="G100" s="1529" t="n">
        <f aca="false">IF(E101=O99,O100,IF(E101=Q99,Q100,T100))</f>
        <v>0</v>
      </c>
      <c r="H100" s="1454" t="n">
        <f aca="false">G100+G102+G104</f>
        <v>2</v>
      </c>
      <c r="I100" s="1455" t="n">
        <f aca="false">MIN(8,H100)</f>
        <v>2</v>
      </c>
      <c r="J100" s="646"/>
      <c r="K100" s="1528"/>
      <c r="N100" s="1165" t="s">
        <v>2895</v>
      </c>
      <c r="O100" s="1165" t="n">
        <v>3</v>
      </c>
      <c r="P100" s="1165"/>
      <c r="Q100" s="1165" t="n">
        <v>1</v>
      </c>
      <c r="R100" s="1165"/>
      <c r="S100" s="1165"/>
      <c r="T100" s="1192" t="n">
        <v>0</v>
      </c>
    </row>
    <row r="101" ht="14.1" customHeight="1">
      <c r="A101" s="1525"/>
      <c r="B101" s="1449"/>
      <c r="C101" s="1530"/>
      <c r="D101" s="1460"/>
      <c r="E101" s="1460" t="str">
        <f aca="false">'Saisie et Calculateur'!H550</f>
        <v>Non</v>
      </c>
      <c r="F101" s="417"/>
      <c r="G101" s="1529"/>
      <c r="H101" s="1454"/>
      <c r="I101" s="1455"/>
      <c r="J101" s="646"/>
      <c r="K101" s="1528"/>
    </row>
    <row r="102" ht="14.1" customHeight="1">
      <c r="A102" s="1525"/>
      <c r="B102" s="1449"/>
      <c r="C102" s="1531" t="s">
        <v>2918</v>
      </c>
      <c r="D102" s="1460"/>
      <c r="E102" s="1460"/>
      <c r="F102" s="1460"/>
      <c r="G102" s="1532" t="n">
        <f aca="false">E103</f>
        <v>2</v>
      </c>
      <c r="H102" s="1454"/>
      <c r="I102" s="1455"/>
      <c r="J102" s="646"/>
      <c r="K102" s="1528"/>
      <c r="N102" s="1501" t="s">
        <v>2919</v>
      </c>
      <c r="O102" s="1456" t="s">
        <v>2905</v>
      </c>
    </row>
    <row r="103" ht="14.1" customHeight="1">
      <c r="A103" s="1525"/>
      <c r="B103" s="1449"/>
      <c r="C103" s="1457"/>
      <c r="D103" s="1460"/>
      <c r="E103" s="1460" t="n">
        <f aca="false">'Saisie et Calculateur'!H557</f>
        <v>2</v>
      </c>
      <c r="F103" s="1460"/>
      <c r="G103" s="1532"/>
      <c r="H103" s="1454"/>
      <c r="I103" s="1455"/>
      <c r="J103" s="646"/>
      <c r="K103" s="1528"/>
      <c r="N103" s="1501"/>
      <c r="O103" s="1456"/>
    </row>
    <row r="104" ht="14.1" customHeight="1">
      <c r="A104" s="1525"/>
      <c r="B104" s="1449"/>
      <c r="C104" s="1531" t="s">
        <v>2920</v>
      </c>
      <c r="D104" s="1460"/>
      <c r="E104" s="1460"/>
      <c r="F104" s="1460"/>
      <c r="G104" s="1533" t="n">
        <f aca="false">IF(E105&gt;N104,O104,IF(E105&gt;=N105,O105,IF(E105&gt;N106,O106,O107)))</f>
        <v>0</v>
      </c>
      <c r="H104" s="1454"/>
      <c r="I104" s="1455"/>
      <c r="J104" s="646"/>
      <c r="K104" s="1528"/>
      <c r="N104" s="1506" t="n">
        <v>0.6</v>
      </c>
      <c r="O104" s="1456" t="n">
        <v>3</v>
      </c>
    </row>
    <row r="105" ht="14.1" customHeight="1">
      <c r="A105" s="1525"/>
      <c r="B105" s="1449"/>
      <c r="C105" s="1534"/>
      <c r="D105" s="1535"/>
      <c r="E105" s="1536" t="n">
        <f aca="false">'Saisie et Calculateur'!J559</f>
        <v>0</v>
      </c>
      <c r="F105" s="1535"/>
      <c r="G105" s="1533"/>
      <c r="H105" s="1454"/>
      <c r="I105" s="1455"/>
      <c r="J105" s="646"/>
      <c r="K105" s="1528"/>
      <c r="N105" s="1506" t="n">
        <v>0.3</v>
      </c>
      <c r="O105" s="1456" t="n">
        <v>2</v>
      </c>
    </row>
    <row r="106" ht="12.75" customHeight="1">
      <c r="A106" s="1525"/>
      <c r="B106" s="1449"/>
      <c r="C106" s="646"/>
      <c r="D106" s="646"/>
      <c r="E106" s="646"/>
      <c r="F106" s="646"/>
      <c r="G106" s="646"/>
      <c r="H106" s="646"/>
      <c r="I106" s="646"/>
      <c r="J106" s="646"/>
      <c r="K106" s="1528"/>
      <c r="N106" s="1506" t="n">
        <v>0</v>
      </c>
      <c r="O106" s="1456" t="n">
        <v>1</v>
      </c>
    </row>
    <row r="107" ht="14.1" customHeight="1">
      <c r="A107" s="1525"/>
      <c r="B107" s="1449"/>
      <c r="C107" s="646"/>
      <c r="D107" s="646"/>
      <c r="E107" s="646"/>
      <c r="F107" s="646"/>
      <c r="G107" s="646"/>
      <c r="H107" s="646"/>
      <c r="I107" s="646"/>
      <c r="J107" s="646"/>
      <c r="K107" s="1528"/>
      <c r="N107" s="1380"/>
      <c r="O107" s="1456" t="n">
        <v>0</v>
      </c>
    </row>
    <row r="108" ht="15" customHeight="1">
      <c r="A108" s="1525"/>
      <c r="B108" s="1449" t="s">
        <v>246</v>
      </c>
      <c r="C108" s="1526" t="s">
        <v>2921</v>
      </c>
      <c r="D108" s="1526"/>
      <c r="E108" s="1526"/>
      <c r="F108" s="1526"/>
      <c r="G108" s="1526"/>
      <c r="H108" s="1526"/>
      <c r="I108" s="1537" t="s">
        <v>2913</v>
      </c>
      <c r="J108" s="646"/>
      <c r="K108" s="1528"/>
    </row>
    <row r="109" ht="14.1" customHeight="1">
      <c r="A109" s="1525"/>
      <c r="B109" s="1449"/>
      <c r="C109" s="646"/>
      <c r="D109" s="646"/>
      <c r="E109" s="646"/>
      <c r="F109" s="646"/>
      <c r="G109" s="646"/>
      <c r="H109" s="646"/>
      <c r="I109" s="646"/>
      <c r="J109" s="646"/>
      <c r="K109" s="1528"/>
      <c r="N109" s="1165" t="s">
        <v>2922</v>
      </c>
      <c r="O109" s="1472" t="n">
        <v>1</v>
      </c>
      <c r="P109" s="1472" t="n">
        <v>0.9</v>
      </c>
      <c r="Q109" s="1165"/>
      <c r="R109" s="1165"/>
      <c r="S109" s="646"/>
    </row>
    <row r="110" ht="25.5" customHeight="1">
      <c r="A110" s="1525"/>
      <c r="B110" s="1449"/>
      <c r="C110" s="1165" t="s">
        <v>2822</v>
      </c>
      <c r="D110" s="1165"/>
      <c r="E110" s="1165"/>
      <c r="F110" s="1165"/>
      <c r="G110" s="1165"/>
      <c r="H110" s="1171" t="s">
        <v>2823</v>
      </c>
      <c r="I110" s="1171" t="s">
        <v>2824</v>
      </c>
      <c r="J110" s="646"/>
      <c r="K110" s="1528"/>
      <c r="N110" s="1165" t="s">
        <v>2855</v>
      </c>
      <c r="O110" s="1165" t="n">
        <v>8</v>
      </c>
      <c r="P110" s="1165" t="n">
        <v>4</v>
      </c>
      <c r="Q110" s="1165" t="n">
        <v>0</v>
      </c>
      <c r="R110" s="1165"/>
      <c r="S110" s="1165"/>
    </row>
    <row r="111" ht="12.75" customHeight="1">
      <c r="A111" s="1525"/>
      <c r="B111" s="1449"/>
      <c r="C111" s="1192" t="s">
        <v>2923</v>
      </c>
      <c r="D111" s="1192"/>
      <c r="E111" s="1485" t="str">
        <f aca="false">'Saisie et Calculateur'!B564</f>
        <v>monogastrique</v>
      </c>
      <c r="F111" s="1485"/>
      <c r="G111" s="1485"/>
      <c r="H111" s="1454" t="n">
        <f aca="false">IF(E111="pas d'élevage",0,IF(E111="monogastrique",G114,IF(E111="herbivore",ROUND(G112*0.7+G114*0.3,0),0)))</f>
        <v>0</v>
      </c>
      <c r="I111" s="1455" t="n">
        <f aca="false">MIN(8,H111)</f>
        <v>0</v>
      </c>
      <c r="J111" s="646"/>
      <c r="K111" s="1528"/>
      <c r="N111" s="1165"/>
      <c r="O111" s="1165"/>
      <c r="P111" s="1165"/>
      <c r="Q111" s="1165"/>
      <c r="R111" s="1165"/>
      <c r="S111" s="1165"/>
    </row>
    <row r="112" ht="14.1" customHeight="1">
      <c r="A112" s="1525"/>
      <c r="B112" s="1449"/>
      <c r="C112" s="1250" t="s">
        <v>2924</v>
      </c>
      <c r="D112" s="646"/>
      <c r="E112" s="1462"/>
      <c r="F112" s="646"/>
      <c r="G112" s="1532" t="n">
        <f aca="false">IF(E113&gt;=O109,O110,IF(E113&gt;=P109,P110,Q110))</f>
        <v>0</v>
      </c>
      <c r="H112" s="1454"/>
      <c r="I112" s="1455"/>
      <c r="J112" s="646"/>
      <c r="K112" s="1528"/>
      <c r="N112" s="1192" t="s">
        <v>2925</v>
      </c>
      <c r="O112" s="1522" t="n">
        <v>0.8</v>
      </c>
      <c r="P112" s="1522" t="n">
        <v>0.5</v>
      </c>
      <c r="Q112" s="1192"/>
    </row>
    <row r="113" ht="14.1" customHeight="1">
      <c r="A113" s="1525"/>
      <c r="B113" s="1449"/>
      <c r="C113" s="1250"/>
      <c r="D113" s="646" t="s">
        <v>1130</v>
      </c>
      <c r="E113" s="1295" t="n">
        <f aca="false">'Saisie et Calculateur'!J567</f>
        <v>0</v>
      </c>
      <c r="F113" s="646"/>
      <c r="G113" s="1532"/>
      <c r="H113" s="1454"/>
      <c r="I113" s="1455"/>
      <c r="J113" s="646"/>
      <c r="K113" s="1528"/>
      <c r="N113" s="1192" t="s">
        <v>2895</v>
      </c>
      <c r="O113" s="1192" t="n">
        <v>8</v>
      </c>
      <c r="P113" s="1192" t="n">
        <v>4</v>
      </c>
      <c r="Q113" s="1192" t="n">
        <v>0</v>
      </c>
      <c r="R113" s="1192"/>
      <c r="S113" s="1192"/>
      <c r="T113" s="1192"/>
    </row>
    <row r="114" ht="14.1" customHeight="1">
      <c r="A114" s="1525"/>
      <c r="B114" s="1449"/>
      <c r="C114" s="1538" t="s">
        <v>2926</v>
      </c>
      <c r="D114" s="1538"/>
      <c r="E114" s="1538"/>
      <c r="F114" s="1538"/>
      <c r="G114" s="1539" t="n">
        <f aca="false">IF(E115&gt;=O112,O113,IF(E115&gt;=P112,P113,Q113))</f>
        <v>0</v>
      </c>
      <c r="H114" s="1454"/>
      <c r="I114" s="1455"/>
      <c r="J114" s="646"/>
      <c r="K114" s="1528"/>
      <c r="R114" s="1192"/>
      <c r="S114" s="1192"/>
      <c r="T114" s="1192"/>
    </row>
    <row r="115" ht="14.1" customHeight="1">
      <c r="A115" s="1525"/>
      <c r="B115" s="1449"/>
      <c r="C115" s="1534"/>
      <c r="D115" s="1535" t="s">
        <v>1130</v>
      </c>
      <c r="E115" s="1540" t="n">
        <f aca="false">'Saisie et Calculateur'!J570</f>
        <v>0</v>
      </c>
      <c r="F115" s="1535"/>
      <c r="G115" s="1539"/>
      <c r="H115" s="1454"/>
      <c r="I115" s="1455"/>
      <c r="J115" s="646"/>
      <c r="K115" s="1528"/>
    </row>
    <row r="116" ht="14.1" customHeight="1">
      <c r="A116" s="1525"/>
      <c r="B116" s="1449"/>
      <c r="C116" s="646"/>
      <c r="D116" s="646"/>
      <c r="E116" s="646"/>
      <c r="F116" s="646"/>
      <c r="G116" s="646"/>
      <c r="H116" s="646"/>
      <c r="I116" s="646"/>
      <c r="J116" s="646"/>
      <c r="K116" s="1528"/>
    </row>
    <row r="117" ht="14.1" customHeight="1">
      <c r="A117" s="1525"/>
      <c r="B117" s="1449"/>
      <c r="C117" s="646"/>
      <c r="D117" s="646"/>
      <c r="E117" s="646"/>
      <c r="F117" s="646"/>
      <c r="G117" s="1485"/>
      <c r="H117" s="646"/>
      <c r="I117" s="646"/>
      <c r="J117" s="646"/>
      <c r="K117" s="1528"/>
    </row>
    <row r="118" ht="14.1" customHeight="1">
      <c r="A118" s="1525"/>
      <c r="B118" s="1449" t="s">
        <v>514</v>
      </c>
      <c r="C118" s="1526" t="s">
        <v>2927</v>
      </c>
      <c r="D118" s="1526"/>
      <c r="E118" s="1526"/>
      <c r="F118" s="1526"/>
      <c r="G118" s="1526"/>
      <c r="H118" s="1526"/>
      <c r="I118" s="1537" t="s">
        <v>2913</v>
      </c>
      <c r="J118" s="646"/>
      <c r="K118" s="1528"/>
    </row>
    <row r="119" ht="14.1" customHeight="1">
      <c r="A119" s="1525"/>
      <c r="B119" s="1449"/>
      <c r="C119" s="646"/>
      <c r="D119" s="646"/>
      <c r="E119" s="646"/>
      <c r="F119" s="646"/>
      <c r="G119" s="646"/>
      <c r="H119" s="646"/>
      <c r="I119" s="646"/>
      <c r="J119" s="646"/>
      <c r="K119" s="1528"/>
      <c r="N119" s="1192" t="s">
        <v>2928</v>
      </c>
      <c r="O119" s="1522" t="n">
        <v>0.6</v>
      </c>
      <c r="P119" s="1522" t="n">
        <v>0.3</v>
      </c>
      <c r="Q119" s="1522" t="n">
        <v>0</v>
      </c>
      <c r="R119" s="1522" t="s">
        <v>2929</v>
      </c>
    </row>
    <row r="120" ht="25.5" customHeight="1">
      <c r="A120" s="1525"/>
      <c r="B120" s="1449"/>
      <c r="C120" s="1165" t="s">
        <v>2822</v>
      </c>
      <c r="D120" s="1165"/>
      <c r="E120" s="1165"/>
      <c r="F120" s="1165"/>
      <c r="G120" s="1165"/>
      <c r="H120" s="1171" t="s">
        <v>2823</v>
      </c>
      <c r="I120" s="1171" t="s">
        <v>2824</v>
      </c>
      <c r="J120" s="646"/>
      <c r="K120" s="1528"/>
      <c r="N120" s="1165" t="s">
        <v>2895</v>
      </c>
      <c r="O120" s="1165" t="n">
        <v>6</v>
      </c>
      <c r="P120" s="1165" t="n">
        <v>4</v>
      </c>
      <c r="Q120" s="1165" t="n">
        <v>2</v>
      </c>
      <c r="R120" s="1165" t="n">
        <v>0</v>
      </c>
    </row>
    <row r="121" ht="14.1" customHeight="1">
      <c r="A121" s="1525"/>
      <c r="B121" s="1449"/>
      <c r="C121" s="1140" t="s">
        <v>2930</v>
      </c>
      <c r="D121" s="1140"/>
      <c r="E121" s="1140"/>
      <c r="F121" s="1140"/>
      <c r="G121" s="1541" t="n">
        <f aca="false">IF(E122&gt;=O119,O120,IF(E122&gt;=P119,P120,IF(E122&gt;Q119,Q120,R120)))</f>
        <v>2</v>
      </c>
      <c r="H121" s="1454" t="n">
        <f aca="false">IF(E16=1,8,G123+G121)</f>
        <v>3</v>
      </c>
      <c r="I121" s="1455" t="n">
        <f aca="false">MIN(8,H121)</f>
        <v>3</v>
      </c>
      <c r="J121" s="646"/>
      <c r="K121" s="1528"/>
    </row>
    <row r="122" ht="14.1" customHeight="1">
      <c r="A122" s="1525"/>
      <c r="B122" s="1449"/>
      <c r="C122" s="1531"/>
      <c r="D122" s="1460" t="s">
        <v>1130</v>
      </c>
      <c r="E122" s="1493" t="n">
        <f aca="false">'Saisie et Calculateur'!J577</f>
        <v>0.0297703430677629</v>
      </c>
      <c r="F122" s="646"/>
      <c r="G122" s="1541"/>
      <c r="H122" s="1454"/>
      <c r="I122" s="1455"/>
      <c r="J122" s="646"/>
      <c r="K122" s="1528"/>
      <c r="N122" s="1165" t="s">
        <v>2931</v>
      </c>
      <c r="O122" s="1472" t="n">
        <v>0.4</v>
      </c>
      <c r="P122" s="1472" t="n">
        <v>0.3</v>
      </c>
      <c r="Q122" s="1472" t="n">
        <v>0.2</v>
      </c>
      <c r="R122" s="1472" t="n">
        <v>0.05</v>
      </c>
      <c r="S122" s="1456" t="s">
        <v>2929</v>
      </c>
    </row>
    <row r="123" ht="14.1" customHeight="1">
      <c r="A123" s="1525"/>
      <c r="B123" s="1449"/>
      <c r="C123" s="1530" t="s">
        <v>2932</v>
      </c>
      <c r="D123" s="1530"/>
      <c r="E123" s="1530"/>
      <c r="F123" s="1530"/>
      <c r="G123" s="1533" t="n">
        <f aca="false">IF(E124&gt;=O122,O123,IF(E124&gt;=P122,P123,IF(E124&gt;=Q122,Q123,IF(E124&gt;=R122,R123,S123))))</f>
        <v>1</v>
      </c>
      <c r="H123" s="1454"/>
      <c r="I123" s="1455"/>
      <c r="J123" s="646"/>
      <c r="K123" s="1528"/>
      <c r="N123" s="1165" t="s">
        <v>2895</v>
      </c>
      <c r="O123" s="1165" t="n">
        <v>4</v>
      </c>
      <c r="P123" s="1165" t="n">
        <v>3</v>
      </c>
      <c r="Q123" s="1165" t="n">
        <v>2</v>
      </c>
      <c r="R123" s="1165" t="n">
        <v>1</v>
      </c>
      <c r="S123" s="1483" t="n">
        <v>0</v>
      </c>
    </row>
    <row r="124" ht="14.1" customHeight="1">
      <c r="A124" s="1525"/>
      <c r="B124" s="1449"/>
      <c r="C124" s="1534"/>
      <c r="D124" s="1535" t="s">
        <v>1130</v>
      </c>
      <c r="E124" s="1536" t="n">
        <f aca="false">'Saisie et Calculateur'!J582</f>
        <v>0.153947368421053</v>
      </c>
      <c r="F124" s="1535"/>
      <c r="G124" s="1533"/>
      <c r="H124" s="1454"/>
      <c r="I124" s="1455"/>
      <c r="J124" s="646"/>
      <c r="K124" s="1528"/>
    </row>
    <row r="125" ht="14.1" customHeight="1">
      <c r="A125" s="1525"/>
      <c r="B125" s="1449"/>
      <c r="C125" s="646"/>
      <c r="D125" s="646"/>
      <c r="E125" s="646"/>
      <c r="F125" s="646"/>
      <c r="G125" s="646"/>
      <c r="H125" s="646"/>
      <c r="I125" s="646"/>
      <c r="J125" s="646"/>
      <c r="K125" s="1528"/>
    </row>
    <row r="126" ht="14.1" customHeight="1">
      <c r="A126" s="1525"/>
      <c r="B126" s="1449"/>
      <c r="C126" s="646"/>
      <c r="D126" s="646"/>
      <c r="E126" s="646"/>
      <c r="F126" s="646"/>
      <c r="G126" s="646"/>
      <c r="H126" s="646"/>
      <c r="I126" s="646"/>
      <c r="J126" s="646"/>
      <c r="K126" s="1528"/>
    </row>
    <row r="127" ht="14.1" customHeight="1">
      <c r="A127" s="1525"/>
      <c r="B127" s="1369"/>
      <c r="C127" s="584"/>
      <c r="D127" s="584"/>
      <c r="E127" s="584"/>
      <c r="F127" s="584"/>
      <c r="G127" s="646"/>
      <c r="H127" s="646"/>
      <c r="I127" s="646"/>
      <c r="J127" s="646"/>
      <c r="K127" s="1528"/>
    </row>
    <row r="128" ht="13.5" customHeight="1"/>
    <row r="129" ht="15" customHeight="1">
      <c r="A129" s="1542" t="s">
        <v>2933</v>
      </c>
      <c r="B129" s="646" t="s">
        <v>566</v>
      </c>
      <c r="C129" s="1526" t="s">
        <v>2934</v>
      </c>
      <c r="D129" s="1526"/>
      <c r="E129" s="1526"/>
      <c r="F129" s="1526"/>
      <c r="G129" s="1526"/>
      <c r="H129" s="1526"/>
      <c r="I129" s="1527" t="s">
        <v>2913</v>
      </c>
      <c r="J129" s="646"/>
      <c r="K129" s="1543" t="n">
        <f aca="false">MIN(20,SUM(I132,I140,I147))</f>
        <v>11</v>
      </c>
    </row>
    <row r="130" ht="14.1" customHeight="1">
      <c r="A130" s="1542"/>
      <c r="B130" s="1449"/>
      <c r="C130" s="646"/>
      <c r="D130" s="646"/>
      <c r="E130" s="646"/>
      <c r="F130" s="646"/>
      <c r="G130" s="646"/>
      <c r="H130" s="646"/>
      <c r="I130" s="646"/>
      <c r="J130" s="646"/>
      <c r="K130" s="1543"/>
    </row>
    <row r="131" ht="25.5" customHeight="1">
      <c r="A131" s="1542"/>
      <c r="B131" s="1449"/>
      <c r="C131" s="1165" t="s">
        <v>2822</v>
      </c>
      <c r="D131" s="1165"/>
      <c r="E131" s="1165"/>
      <c r="F131" s="1165"/>
      <c r="G131" s="1165"/>
      <c r="H131" s="1171" t="s">
        <v>2823</v>
      </c>
      <c r="I131" s="1171" t="s">
        <v>2824</v>
      </c>
      <c r="J131" s="646"/>
      <c r="K131" s="1543"/>
    </row>
    <row r="132" ht="14.1" customHeight="1">
      <c r="A132" s="1542"/>
      <c r="B132" s="1449"/>
      <c r="C132" s="1460" t="s">
        <v>2935</v>
      </c>
      <c r="D132" s="1460"/>
      <c r="E132" s="1460"/>
      <c r="F132" s="1544" t="str">
        <f aca="false">'Saisie et Calculateur'!D590</f>
        <v>Oui</v>
      </c>
      <c r="G132" s="1523" t="n">
        <f aca="false">IF(F132="Non",8,0)</f>
        <v>0</v>
      </c>
      <c r="H132" s="1454" t="n">
        <f aca="false">IF(G132=8,8,G133)</f>
        <v>0</v>
      </c>
      <c r="I132" s="1455" t="n">
        <f aca="false">MIN(8,H132)</f>
        <v>0</v>
      </c>
      <c r="J132" s="646"/>
      <c r="K132" s="1543"/>
    </row>
    <row r="133" ht="14.1" customHeight="1">
      <c r="A133" s="1542"/>
      <c r="B133" s="1449"/>
      <c r="C133" s="1545" t="s">
        <v>2936</v>
      </c>
      <c r="D133" s="1545"/>
      <c r="E133" s="1545"/>
      <c r="F133" s="1545"/>
      <c r="G133" s="1546" t="n">
        <f aca="false">'Saisie et Calculateur'!H603</f>
        <v>0</v>
      </c>
      <c r="H133" s="1454"/>
      <c r="I133" s="1455"/>
      <c r="J133" s="646"/>
      <c r="K133" s="1543"/>
    </row>
    <row r="134" ht="14.1" customHeight="1">
      <c r="A134" s="1542"/>
      <c r="B134" s="1449"/>
      <c r="C134" s="1545"/>
      <c r="D134" s="1545"/>
      <c r="E134" s="1545"/>
      <c r="F134" s="1545"/>
      <c r="G134" s="1546"/>
      <c r="H134" s="1454"/>
      <c r="I134" s="1455"/>
      <c r="J134" s="646"/>
      <c r="K134" s="1543"/>
    </row>
    <row r="135" ht="14.1" customHeight="1">
      <c r="A135" s="1542"/>
      <c r="B135" s="1449"/>
      <c r="C135" s="646"/>
      <c r="D135" s="646"/>
      <c r="E135" s="646"/>
      <c r="F135" s="646"/>
      <c r="G135" s="646"/>
      <c r="H135" s="646"/>
      <c r="I135" s="646"/>
      <c r="J135" s="646"/>
      <c r="K135" s="1543"/>
    </row>
    <row r="136" ht="14.1" customHeight="1">
      <c r="A136" s="1542"/>
      <c r="B136" s="1449"/>
      <c r="C136" s="646"/>
      <c r="D136" s="646"/>
      <c r="E136" s="646"/>
      <c r="F136" s="646"/>
      <c r="G136" s="646"/>
      <c r="H136" s="646"/>
      <c r="I136" s="646"/>
      <c r="J136" s="646"/>
      <c r="K136" s="1543"/>
    </row>
    <row r="137" ht="14.1" customHeight="1">
      <c r="A137" s="1542"/>
      <c r="B137" s="1449" t="s">
        <v>2937</v>
      </c>
      <c r="C137" s="1526" t="s">
        <v>2938</v>
      </c>
      <c r="D137" s="1526"/>
      <c r="E137" s="1526"/>
      <c r="F137" s="1526"/>
      <c r="G137" s="1526"/>
      <c r="H137" s="1526"/>
      <c r="I137" s="1537" t="s">
        <v>2913</v>
      </c>
      <c r="J137" s="646"/>
      <c r="K137" s="1543"/>
      <c r="N137" s="1165" t="s">
        <v>2939</v>
      </c>
      <c r="O137" s="1165" t="n">
        <v>20</v>
      </c>
      <c r="P137" s="1165" t="n">
        <v>30</v>
      </c>
      <c r="Q137" s="1165" t="n">
        <v>40</v>
      </c>
      <c r="R137" s="1483" t="n">
        <v>60</v>
      </c>
      <c r="S137" s="1380"/>
    </row>
    <row r="138" ht="14.1" customHeight="1">
      <c r="A138" s="1542"/>
      <c r="B138" s="1449"/>
      <c r="C138" s="646"/>
      <c r="D138" s="646"/>
      <c r="E138" s="646"/>
      <c r="F138" s="646"/>
      <c r="G138" s="646"/>
      <c r="H138" s="646"/>
      <c r="I138" s="646"/>
      <c r="J138" s="646"/>
      <c r="K138" s="1543"/>
      <c r="N138" s="1165" t="s">
        <v>2855</v>
      </c>
      <c r="O138" s="1165" t="n">
        <v>8</v>
      </c>
      <c r="P138" s="1165" t="n">
        <v>6</v>
      </c>
      <c r="Q138" s="1165" t="n">
        <v>4</v>
      </c>
      <c r="R138" s="1483" t="n">
        <v>2</v>
      </c>
      <c r="S138" s="1483" t="n">
        <v>0</v>
      </c>
    </row>
    <row r="139" ht="39" customHeight="1">
      <c r="A139" s="1542"/>
      <c r="B139" s="1449"/>
      <c r="C139" s="1165" t="s">
        <v>2822</v>
      </c>
      <c r="D139" s="1165"/>
      <c r="E139" s="1165"/>
      <c r="F139" s="1165"/>
      <c r="G139" s="1165"/>
      <c r="H139" s="1171" t="s">
        <v>2823</v>
      </c>
      <c r="I139" s="1171" t="s">
        <v>2824</v>
      </c>
      <c r="J139" s="646"/>
      <c r="K139" s="1543"/>
    </row>
    <row r="140" ht="14.1" customHeight="1">
      <c r="A140" s="1542"/>
      <c r="B140" s="1449"/>
      <c r="C140" s="748" t="s">
        <v>1406</v>
      </c>
      <c r="D140" s="748"/>
      <c r="E140" s="748"/>
      <c r="F140" s="748"/>
      <c r="G140" s="1529" t="n">
        <f aca="false">IF(E141&lt;=O137,O138,IF(E141&lt;=P137,P138,IF(E141&lt;=Q137,Q138,IF(E141&lt;=R137,R138,S138))))</f>
        <v>6</v>
      </c>
      <c r="H140" s="1165" t="n">
        <f aca="false">G140</f>
        <v>6</v>
      </c>
      <c r="I140" s="1547" t="n">
        <f aca="false">MIN(8,H140)</f>
        <v>6</v>
      </c>
      <c r="J140" s="646"/>
      <c r="K140" s="1543"/>
      <c r="N140" s="1165"/>
      <c r="O140" s="1165"/>
      <c r="P140" s="1165"/>
      <c r="Q140" s="1165"/>
      <c r="R140" s="1165"/>
      <c r="S140" s="646"/>
    </row>
    <row r="141" ht="14.1" customHeight="1">
      <c r="A141" s="1542"/>
      <c r="B141" s="1449"/>
      <c r="C141" s="1545"/>
      <c r="D141" s="1548" t="s">
        <v>2940</v>
      </c>
      <c r="E141" s="1549" t="n">
        <f aca="false">'Saisie et Calculateur'!F610</f>
        <v>29.174025974026</v>
      </c>
      <c r="F141" s="1548"/>
      <c r="G141" s="1529"/>
      <c r="H141" s="1165"/>
      <c r="I141" s="1547"/>
      <c r="J141" s="646"/>
      <c r="K141" s="1543"/>
      <c r="Q141" s="1165"/>
      <c r="R141" s="1165"/>
      <c r="S141" s="646"/>
    </row>
    <row r="142" ht="14.1" customHeight="1">
      <c r="A142" s="1542"/>
      <c r="J142" s="646"/>
      <c r="K142" s="1543"/>
      <c r="Q142" s="1165"/>
      <c r="R142" s="1165"/>
      <c r="S142" s="646"/>
    </row>
    <row r="143" ht="14.1" customHeight="1">
      <c r="A143" s="1542"/>
      <c r="J143" s="646"/>
      <c r="K143" s="1543"/>
      <c r="N143" s="1165"/>
      <c r="O143" s="1165"/>
      <c r="P143" s="1165"/>
      <c r="Q143" s="1165"/>
      <c r="R143" s="1165"/>
    </row>
    <row r="144" ht="14.1" customHeight="1">
      <c r="A144" s="1542"/>
      <c r="B144" s="1449" t="s">
        <v>541</v>
      </c>
      <c r="C144" s="1526" t="s">
        <v>2941</v>
      </c>
      <c r="D144" s="1526"/>
      <c r="E144" s="1526"/>
      <c r="F144" s="1526"/>
      <c r="G144" s="1526"/>
      <c r="H144" s="1526"/>
      <c r="I144" s="1537" t="s">
        <v>2913</v>
      </c>
      <c r="J144" s="646"/>
      <c r="K144" s="1543"/>
      <c r="N144" s="1165" t="s">
        <v>2942</v>
      </c>
      <c r="O144" s="1165" t="n">
        <v>200</v>
      </c>
      <c r="P144" s="1165" t="n">
        <v>300</v>
      </c>
      <c r="Q144" s="1165" t="n">
        <v>450</v>
      </c>
      <c r="R144" s="1165" t="n">
        <v>600</v>
      </c>
      <c r="S144" s="1165" t="n">
        <v>750</v>
      </c>
      <c r="T144" s="1483" t="n">
        <v>900</v>
      </c>
      <c r="U144" s="1483" t="n">
        <v>1100</v>
      </c>
      <c r="V144" s="1483" t="n">
        <v>1300</v>
      </c>
      <c r="W144" s="1380"/>
    </row>
    <row r="145" ht="12" customHeight="1">
      <c r="A145" s="1542"/>
      <c r="B145" s="1449"/>
      <c r="C145" s="646"/>
      <c r="D145" s="646"/>
      <c r="E145" s="646"/>
      <c r="F145" s="646"/>
      <c r="G145" s="646"/>
      <c r="H145" s="646"/>
      <c r="I145" s="646"/>
      <c r="J145" s="646"/>
      <c r="K145" s="1543"/>
      <c r="N145" s="1165" t="s">
        <v>2855</v>
      </c>
      <c r="O145" s="1165" t="n">
        <v>8</v>
      </c>
      <c r="P145" s="1165" t="n">
        <v>7</v>
      </c>
      <c r="Q145" s="1165" t="n">
        <v>6</v>
      </c>
      <c r="R145" s="1165" t="n">
        <v>5</v>
      </c>
      <c r="S145" s="1165" t="n">
        <v>4</v>
      </c>
      <c r="T145" s="1483" t="n">
        <v>3</v>
      </c>
      <c r="U145" s="1483" t="n">
        <v>2</v>
      </c>
      <c r="V145" s="1483" t="n">
        <v>1</v>
      </c>
      <c r="W145" s="1483" t="n">
        <v>0</v>
      </c>
    </row>
    <row r="146" ht="25.5" customHeight="1">
      <c r="A146" s="1542"/>
      <c r="C146" s="1165" t="s">
        <v>2822</v>
      </c>
      <c r="D146" s="1165"/>
      <c r="E146" s="1165"/>
      <c r="F146" s="1165"/>
      <c r="G146" s="1165"/>
      <c r="H146" s="1171" t="s">
        <v>2823</v>
      </c>
      <c r="I146" s="1171" t="s">
        <v>2824</v>
      </c>
      <c r="J146" s="646"/>
      <c r="K146" s="1543"/>
    </row>
    <row r="147" ht="14.1" customHeight="1">
      <c r="A147" s="1542"/>
      <c r="C147" s="1460" t="s">
        <v>2943</v>
      </c>
      <c r="D147" s="1460"/>
      <c r="E147" s="1460"/>
      <c r="F147" s="1460"/>
      <c r="G147" s="1529" t="n">
        <f aca="false">IF(E148&lt;O144,O145,IF(E148&lt;P144,P145,IF(E148&lt;Q144,Q145,IF(E148&lt;R144,R145,IF(E148&lt;S144,S145,IF(E148&lt;T144,T145,IF(E148&lt;U144,U145,IF(E148&lt;V144,V145,W145))))))))</f>
        <v>5</v>
      </c>
      <c r="H147" s="1165" t="n">
        <f aca="false">G147</f>
        <v>5</v>
      </c>
      <c r="I147" s="1455" t="n">
        <f aca="false">MIN(8,H147)</f>
        <v>5</v>
      </c>
      <c r="J147" s="646"/>
      <c r="K147" s="1543"/>
    </row>
    <row r="148" ht="14.1" customHeight="1">
      <c r="A148" s="1542"/>
      <c r="C148" s="1550"/>
      <c r="D148" s="1548" t="s">
        <v>1415</v>
      </c>
      <c r="E148" s="1551" t="n">
        <f aca="false">'Saisie et Calculateur'!J635</f>
        <v>509.850874265399</v>
      </c>
      <c r="F148" s="1548"/>
      <c r="G148" s="1529"/>
      <c r="H148" s="1165"/>
      <c r="I148" s="1455"/>
      <c r="J148" s="646"/>
      <c r="K148" s="1543"/>
    </row>
    <row r="149" ht="14.1" customHeight="1">
      <c r="A149" s="1542"/>
      <c r="B149" s="1369"/>
      <c r="C149" s="584"/>
      <c r="D149" s="584"/>
      <c r="E149" s="584"/>
      <c r="F149" s="584"/>
      <c r="G149" s="646"/>
      <c r="H149" s="646"/>
      <c r="I149" s="646"/>
      <c r="J149" s="646"/>
      <c r="K149" s="1543"/>
      <c r="S149" s="646"/>
    </row>
    <row r="150" ht="14.1" customHeight="1"/>
    <row r="151" ht="14.1" customHeight="1">
      <c r="A151" s="1552" t="s">
        <v>2944</v>
      </c>
      <c r="B151" s="646" t="s">
        <v>574</v>
      </c>
      <c r="C151" s="1526" t="s">
        <v>2945</v>
      </c>
      <c r="D151" s="1526"/>
      <c r="E151" s="1526"/>
      <c r="F151" s="1526"/>
      <c r="G151" s="1526"/>
      <c r="H151" s="1526"/>
      <c r="I151" s="1527" t="s">
        <v>2913</v>
      </c>
      <c r="J151" s="646"/>
      <c r="K151" s="1553" t="n">
        <f aca="false">MIN(20,SUM(I189,I198,I154,I169))</f>
        <v>16</v>
      </c>
    </row>
    <row r="152" ht="14.1" customHeight="1">
      <c r="A152" s="1552"/>
      <c r="B152" s="1449"/>
      <c r="C152" s="646"/>
      <c r="D152" s="646"/>
      <c r="E152" s="646"/>
      <c r="F152" s="646"/>
      <c r="G152" s="646"/>
      <c r="H152" s="646"/>
      <c r="I152" s="646"/>
      <c r="J152" s="646"/>
      <c r="K152" s="1553"/>
    </row>
    <row r="153" ht="39" customHeight="1">
      <c r="A153" s="1552"/>
      <c r="B153" s="1449"/>
      <c r="C153" s="1165" t="s">
        <v>2822</v>
      </c>
      <c r="D153" s="1165"/>
      <c r="E153" s="1165"/>
      <c r="F153" s="1165"/>
      <c r="G153" s="1165"/>
      <c r="H153" s="1171" t="s">
        <v>2823</v>
      </c>
      <c r="I153" s="1171" t="s">
        <v>2824</v>
      </c>
      <c r="J153" s="646"/>
      <c r="K153" s="1553"/>
      <c r="M153" s="646"/>
    </row>
    <row r="154" ht="14.1" customHeight="1">
      <c r="A154" s="1552"/>
      <c r="B154" s="1449"/>
      <c r="C154" s="748" t="s">
        <v>2946</v>
      </c>
      <c r="D154" s="748"/>
      <c r="E154" s="748"/>
      <c r="F154" s="748"/>
      <c r="G154" s="1529" t="n">
        <f aca="false">MIN(F155+F157+F158,4)</f>
        <v>1</v>
      </c>
      <c r="H154" s="1454" t="n">
        <f aca="false">G154+G159+G162</f>
        <v>9</v>
      </c>
      <c r="I154" s="1455" t="n">
        <f aca="false">MIN(8,H154)</f>
        <v>8</v>
      </c>
      <c r="J154" s="646"/>
      <c r="K154" s="1553"/>
      <c r="M154" s="646"/>
      <c r="N154" s="1483" t="s">
        <v>2866</v>
      </c>
      <c r="O154" s="1483" t="s">
        <v>1909</v>
      </c>
      <c r="P154" s="1483"/>
      <c r="Q154" s="1483"/>
      <c r="R154" s="1483"/>
      <c r="S154" s="1483"/>
      <c r="T154" s="1483"/>
      <c r="U154" s="1483"/>
      <c r="V154" s="1483"/>
      <c r="W154" s="1483"/>
      <c r="X154" s="1483"/>
    </row>
    <row r="155" ht="14.1" customHeight="1">
      <c r="A155" s="1552"/>
      <c r="B155" s="1449"/>
      <c r="C155" s="1530"/>
      <c r="D155" s="1192" t="s">
        <v>2947</v>
      </c>
      <c r="E155" s="1460" t="str">
        <f aca="false">'Saisie et Calculateur'!D648</f>
        <v>Systèmes en grandes cultures avec cultures irriguées dominantes de maïs, soja, pomme de terre ou légumes plein champ</v>
      </c>
      <c r="F155" t="n">
        <f aca="false">IF(E155=O158,N158,IF(E155=O157,N157,IF(E155=O156,N156,N155)))</f>
        <v>1</v>
      </c>
      <c r="G155" s="1529"/>
      <c r="H155" s="1454"/>
      <c r="I155" s="1455"/>
      <c r="J155" s="646"/>
      <c r="K155" s="1553"/>
      <c r="M155" s="646"/>
      <c r="N155" s="1483" t="n">
        <v>0</v>
      </c>
      <c r="O155" s="1554" t="s">
        <v>582</v>
      </c>
      <c r="P155" s="1554"/>
      <c r="Q155" s="1554"/>
      <c r="R155" s="1554"/>
      <c r="S155" s="1554"/>
      <c r="T155" s="1554"/>
      <c r="U155" s="1554"/>
      <c r="V155" s="1554"/>
      <c r="W155" s="1554"/>
      <c r="X155" s="1554"/>
    </row>
    <row r="156" ht="14.1" customHeight="1">
      <c r="A156" s="1552"/>
      <c r="B156" s="1449"/>
      <c r="C156" s="1555"/>
      <c r="D156" s="748" t="s">
        <v>2948</v>
      </c>
      <c r="E156" s="1460"/>
      <c r="F156" s="646"/>
      <c r="G156" s="1529"/>
      <c r="H156" s="1454"/>
      <c r="I156" s="1455"/>
      <c r="J156" s="646"/>
      <c r="K156" s="1553"/>
      <c r="N156" s="1483" t="n">
        <v>1</v>
      </c>
      <c r="O156" s="1554" t="s">
        <v>583</v>
      </c>
      <c r="P156" s="1554"/>
      <c r="Q156" s="1554"/>
      <c r="R156" s="1554"/>
      <c r="S156" s="1554"/>
      <c r="T156" s="1554"/>
      <c r="U156" s="1554"/>
      <c r="V156" s="1554"/>
      <c r="W156" s="1554"/>
      <c r="X156" s="1554"/>
    </row>
    <row r="157" ht="12" customHeight="1">
      <c r="A157" s="1552"/>
      <c r="B157" s="1449"/>
      <c r="C157" s="1530"/>
      <c r="D157" s="646"/>
      <c r="E157" s="1556" t="str">
        <f aca="false">'Saisie et Calculateur'!D651</f>
        <v>non</v>
      </c>
      <c r="F157" s="1460" t="n">
        <f aca="false">IF(E157="oui",3,0)</f>
        <v>0</v>
      </c>
      <c r="G157" s="1529"/>
      <c r="H157" s="1454"/>
      <c r="I157" s="1455"/>
      <c r="J157" s="646"/>
      <c r="K157" s="1553"/>
      <c r="N157" s="1483" t="n">
        <v>2</v>
      </c>
      <c r="O157" s="1554" t="s">
        <v>584</v>
      </c>
      <c r="P157" s="1554"/>
      <c r="Q157" s="1554"/>
      <c r="R157" s="1554"/>
      <c r="S157" s="1554"/>
      <c r="T157" s="1554"/>
      <c r="U157" s="1554"/>
      <c r="V157" s="1554"/>
      <c r="W157" s="1554"/>
      <c r="X157" s="1554"/>
    </row>
    <row r="158" ht="12" customHeight="1">
      <c r="A158" s="1552"/>
      <c r="B158" s="1449"/>
      <c r="C158" s="1530"/>
      <c r="D158" s="748" t="s">
        <v>2949</v>
      </c>
      <c r="E158" s="1460"/>
      <c r="F158" s="1460" t="n">
        <f aca="false">IF('Saisie et Calculateur'!D653="oui",1,0)</f>
        <v>0</v>
      </c>
      <c r="G158" s="1529"/>
      <c r="H158" s="1454"/>
      <c r="I158" s="1455"/>
      <c r="J158" s="646"/>
      <c r="K158" s="1553"/>
      <c r="N158" s="1483" t="n">
        <v>4</v>
      </c>
      <c r="O158" s="1554" t="s">
        <v>2950</v>
      </c>
      <c r="P158" s="1554"/>
      <c r="Q158" s="1554"/>
      <c r="R158" s="1554"/>
      <c r="S158" s="1554"/>
      <c r="T158" s="1554"/>
      <c r="U158" s="1554"/>
      <c r="V158" s="1554"/>
      <c r="W158" s="1554"/>
      <c r="X158" s="1554"/>
    </row>
    <row r="159" ht="12" customHeight="1">
      <c r="A159" s="1552"/>
      <c r="B159" s="1449"/>
      <c r="C159" s="1531" t="s">
        <v>2951</v>
      </c>
      <c r="D159" s="748"/>
      <c r="E159" s="1460"/>
      <c r="F159" s="1460"/>
      <c r="G159" s="1532" t="n">
        <f aca="false">MIN(F160+F161,4)</f>
        <v>4</v>
      </c>
      <c r="H159" s="1454"/>
      <c r="I159" s="1455"/>
      <c r="J159" s="646"/>
      <c r="K159" s="1553"/>
    </row>
    <row r="160" ht="14.1" customHeight="1">
      <c r="A160" s="1552"/>
      <c r="B160" s="1449"/>
      <c r="C160" s="1531"/>
      <c r="D160" s="748" t="s">
        <v>2952</v>
      </c>
      <c r="E160" s="1460"/>
      <c r="F160" s="1460" t="n">
        <f aca="false">IF('Saisie et Calculateur'!D657="oui",2,0)</f>
        <v>2</v>
      </c>
      <c r="G160" s="1532"/>
      <c r="H160" s="1454"/>
      <c r="I160" s="1455"/>
      <c r="J160" s="646"/>
      <c r="K160" s="1553"/>
    </row>
    <row r="161" ht="14.1" customHeight="1">
      <c r="A161" s="1552"/>
      <c r="B161" s="1449"/>
      <c r="C161" s="1530"/>
      <c r="D161" s="748" t="s">
        <v>2953</v>
      </c>
      <c r="E161" s="1460"/>
      <c r="F161" s="1460" t="n">
        <f aca="false">'Saisie et Calculateur'!D659</f>
        <v>2</v>
      </c>
      <c r="G161" s="1532"/>
      <c r="H161" s="1454"/>
      <c r="I161" s="1455"/>
      <c r="J161" s="646"/>
      <c r="K161" s="1553"/>
    </row>
    <row r="162" ht="15" customHeight="1">
      <c r="A162" s="1552"/>
      <c r="B162" s="1449"/>
      <c r="C162" s="1531" t="s">
        <v>2954</v>
      </c>
      <c r="D162" s="748"/>
      <c r="E162" s="1460"/>
      <c r="F162" s="1460"/>
      <c r="G162" s="1533" t="n">
        <f aca="false">IF('Saisie et Calculateur'!H670="oui",4,0)</f>
        <v>4</v>
      </c>
      <c r="H162" s="1454"/>
      <c r="I162" s="1455"/>
      <c r="J162" s="646"/>
      <c r="K162" s="1553"/>
    </row>
    <row r="163" ht="14.1" customHeight="1">
      <c r="A163" s="1552"/>
      <c r="B163" s="1449"/>
      <c r="C163" s="1545"/>
      <c r="D163" s="1557" t="s">
        <v>2955</v>
      </c>
      <c r="E163" s="1548"/>
      <c r="F163" s="1548"/>
      <c r="G163" s="1533"/>
      <c r="H163" s="1454"/>
      <c r="I163" s="1455"/>
      <c r="J163" s="646"/>
      <c r="K163" s="1553"/>
    </row>
    <row r="164" ht="26.25" customHeight="1">
      <c r="A164" s="1552"/>
      <c r="B164" s="1449"/>
      <c r="C164" s="646"/>
      <c r="D164" s="646"/>
      <c r="E164" s="646"/>
      <c r="F164" s="646"/>
      <c r="G164" s="646"/>
      <c r="H164" s="646"/>
      <c r="I164" s="646"/>
      <c r="J164" s="646"/>
      <c r="K164" s="1553"/>
      <c r="M164" s="634"/>
    </row>
    <row r="165" ht="12.75" customHeight="1">
      <c r="A165" s="1552"/>
      <c r="B165" s="1449"/>
      <c r="C165" s="646"/>
      <c r="D165" s="646"/>
      <c r="E165" s="646"/>
      <c r="F165" s="646"/>
      <c r="G165" s="646"/>
      <c r="H165" s="646"/>
      <c r="I165" s="646"/>
      <c r="J165" s="646"/>
      <c r="K165" s="1553"/>
      <c r="M165" s="634"/>
      <c r="N165" s="1165"/>
      <c r="O165" s="1165"/>
      <c r="P165" s="646"/>
      <c r="Q165" s="634"/>
    </row>
    <row r="166" ht="14.1" customHeight="1">
      <c r="A166" s="1552"/>
      <c r="B166" s="1449" t="s">
        <v>519</v>
      </c>
      <c r="C166" s="1526" t="s">
        <v>2956</v>
      </c>
      <c r="D166" s="1526"/>
      <c r="E166" s="1526"/>
      <c r="F166" s="1526"/>
      <c r="G166" s="1526"/>
      <c r="H166" s="1526"/>
      <c r="I166" s="1537" t="s">
        <v>2913</v>
      </c>
      <c r="J166" s="646"/>
      <c r="K166" s="1553"/>
    </row>
    <row r="167" ht="14.1" customHeight="1">
      <c r="A167" s="1552"/>
      <c r="B167" s="1449"/>
      <c r="C167" s="646"/>
      <c r="D167" s="646"/>
      <c r="E167" s="646"/>
      <c r="F167" s="646"/>
      <c r="G167" s="646"/>
      <c r="H167" s="646"/>
      <c r="I167" s="646"/>
      <c r="J167" s="646"/>
      <c r="K167" s="1553"/>
    </row>
    <row r="168" ht="39" customHeight="1">
      <c r="A168" s="1552"/>
      <c r="B168" s="1449"/>
      <c r="C168" s="1165" t="s">
        <v>2822</v>
      </c>
      <c r="D168" s="1165"/>
      <c r="E168" s="1165"/>
      <c r="F168" s="1165"/>
      <c r="G168" s="1165"/>
      <c r="H168" s="1171" t="s">
        <v>2823</v>
      </c>
      <c r="I168" s="1171" t="s">
        <v>2824</v>
      </c>
      <c r="J168" s="646"/>
      <c r="K168" s="1553"/>
    </row>
    <row r="169" ht="14.1" customHeight="1">
      <c r="A169" s="1552"/>
      <c r="B169" s="1449"/>
      <c r="C169" s="748" t="s">
        <v>2957</v>
      </c>
      <c r="D169" s="748"/>
      <c r="E169" s="748"/>
      <c r="F169" s="748"/>
      <c r="G169" s="1529" t="n">
        <f aca="false">MIN(4,F172+F170+F171)</f>
        <v>1</v>
      </c>
      <c r="H169" s="1454" t="n">
        <f aca="false">G169+G173+G182</f>
        <v>2</v>
      </c>
      <c r="I169" s="1455" t="n">
        <f aca="false">IF(H169&lt;0,0,MIN(8,H169))</f>
        <v>2</v>
      </c>
      <c r="J169" s="646"/>
      <c r="K169" s="1553"/>
      <c r="N169" s="1165" t="s">
        <v>2958</v>
      </c>
      <c r="O169" s="1472" t="n">
        <v>0.6</v>
      </c>
      <c r="P169" s="1472" t="n">
        <v>0.3</v>
      </c>
      <c r="Q169" s="1165" t="n">
        <v>0</v>
      </c>
      <c r="R169" s="1462" t="n">
        <f aca="false">'Saisie et Calculateur'!F676</f>
        <v>0.194805194805195</v>
      </c>
    </row>
    <row r="170" ht="14.1" customHeight="1">
      <c r="A170" s="1552"/>
      <c r="B170" s="1449"/>
      <c r="C170" s="1531"/>
      <c r="D170" s="748" t="s">
        <v>2959</v>
      </c>
      <c r="E170" s="1460"/>
      <c r="F170" s="1460" t="n">
        <f aca="false">IF(R169&lt;P169,Q170,IF(R169&lt;O169,P170,O170))</f>
        <v>0</v>
      </c>
      <c r="G170" s="1529"/>
      <c r="H170" s="1454"/>
      <c r="I170" s="1455"/>
      <c r="J170" s="646"/>
      <c r="K170" s="1553"/>
      <c r="N170" s="1165" t="s">
        <v>2855</v>
      </c>
      <c r="O170" s="1165" t="n">
        <v>3</v>
      </c>
      <c r="P170" s="1165" t="n">
        <v>2</v>
      </c>
      <c r="Q170" s="1165" t="n">
        <v>0</v>
      </c>
      <c r="S170" s="646"/>
    </row>
    <row r="171" ht="14.1" customHeight="1">
      <c r="A171" s="1552"/>
      <c r="B171" s="1449"/>
      <c r="C171" s="1558"/>
      <c r="D171" s="748" t="s">
        <v>2960</v>
      </c>
      <c r="E171" s="1559"/>
      <c r="F171" s="1460" t="n">
        <f aca="false">IF('Saisie et Calculateur'!D679="oui",-1,0)</f>
        <v>0</v>
      </c>
      <c r="G171" s="1529"/>
      <c r="H171" s="1454"/>
      <c r="I171" s="1455"/>
      <c r="J171" s="646"/>
      <c r="K171" s="1553"/>
      <c r="S171" s="1165"/>
    </row>
    <row r="172" ht="25.5" customHeight="1">
      <c r="A172" s="1552"/>
      <c r="B172" s="1449"/>
      <c r="C172" s="1531"/>
      <c r="D172" s="748" t="s">
        <v>2961</v>
      </c>
      <c r="E172" s="1460"/>
      <c r="F172" s="1460" t="n">
        <f aca="false">IF('Saisie et Calculateur'!D681="non",1,0)</f>
        <v>1</v>
      </c>
      <c r="G172" s="1529"/>
      <c r="H172" s="1454"/>
      <c r="I172" s="1455"/>
      <c r="J172" s="646"/>
      <c r="K172" s="1553"/>
      <c r="N172" s="1165" t="s">
        <v>2962</v>
      </c>
      <c r="O172" s="1472" t="n">
        <v>0.6</v>
      </c>
      <c r="P172" s="1472" t="n">
        <v>0.3</v>
      </c>
      <c r="Q172" s="1472"/>
      <c r="S172" s="1165"/>
    </row>
    <row r="173" ht="12.75" customHeight="1">
      <c r="A173" s="1552"/>
      <c r="B173" s="1449"/>
      <c r="C173" s="1531" t="s">
        <v>2963</v>
      </c>
      <c r="D173" s="1531"/>
      <c r="E173" s="1531"/>
      <c r="F173" s="1531"/>
      <c r="G173" s="1560" t="n">
        <f aca="false">MIN(4,SUM(F174+F176+F178+F180))</f>
        <v>1</v>
      </c>
      <c r="H173" s="1454"/>
      <c r="I173" s="1455"/>
      <c r="J173" s="646"/>
      <c r="K173" s="1553"/>
      <c r="N173" s="1165" t="s">
        <v>2895</v>
      </c>
      <c r="O173" s="1165" t="n">
        <v>2</v>
      </c>
      <c r="P173" s="1165" t="n">
        <v>1</v>
      </c>
      <c r="Q173" s="1165" t="n">
        <v>0</v>
      </c>
      <c r="S173" s="646"/>
    </row>
    <row r="174" ht="13.5" customHeight="1">
      <c r="A174" s="1552"/>
      <c r="B174" s="1449"/>
      <c r="C174" s="1531"/>
      <c r="D174" s="1503" t="s">
        <v>2964</v>
      </c>
      <c r="E174" s="1503"/>
      <c r="F174" s="1460" t="n">
        <f aca="false">IF(D175&gt;O172,O173,IF(D175&gt;P172,P173,Q173))</f>
        <v>1</v>
      </c>
      <c r="G174" s="1560"/>
      <c r="H174" s="1454"/>
      <c r="I174" s="1455"/>
      <c r="J174" s="646"/>
      <c r="K174" s="1553"/>
      <c r="R174" s="1472"/>
    </row>
    <row r="175" ht="13.5" customHeight="1">
      <c r="A175" s="1552"/>
      <c r="B175" s="1449"/>
      <c r="C175" s="1530"/>
      <c r="D175" s="1493" t="n">
        <f aca="false">'Saisie et Calculateur'!H684</f>
        <v>0.506493506493506</v>
      </c>
      <c r="E175" s="1460"/>
      <c r="F175" s="1460"/>
      <c r="G175" s="1560"/>
      <c r="H175" s="1454"/>
      <c r="I175" s="1455"/>
      <c r="J175" s="646"/>
      <c r="K175" s="1553"/>
      <c r="N175" s="1165" t="s">
        <v>2965</v>
      </c>
      <c r="O175" s="1472" t="n">
        <v>0.6</v>
      </c>
      <c r="P175" s="1472" t="n">
        <v>0.3</v>
      </c>
      <c r="Q175" s="1472"/>
      <c r="R175" s="646"/>
    </row>
    <row r="176" ht="13.5" customHeight="1">
      <c r="A176" s="1552"/>
      <c r="B176" s="1449"/>
      <c r="C176" s="1531"/>
      <c r="D176" s="1503" t="s">
        <v>2966</v>
      </c>
      <c r="E176" s="1503"/>
      <c r="F176" s="1460" t="n">
        <f aca="false">IF(D177&gt;O175,O176,IF(D177&gt;P175,P176,Q176))</f>
        <v>0</v>
      </c>
      <c r="G176" s="1560"/>
      <c r="H176" s="1454"/>
      <c r="I176" s="1455"/>
      <c r="J176" s="646"/>
      <c r="K176" s="1553"/>
      <c r="N176" s="1165" t="s">
        <v>2895</v>
      </c>
      <c r="O176" s="1165" t="n">
        <v>2</v>
      </c>
      <c r="P176" s="1165" t="n">
        <v>1</v>
      </c>
      <c r="Q176" s="1165" t="n">
        <v>0</v>
      </c>
      <c r="R176" s="1472"/>
    </row>
    <row r="177" ht="14.1" customHeight="1">
      <c r="A177" s="1552"/>
      <c r="B177" s="1449"/>
      <c r="C177" s="1530"/>
      <c r="D177" s="1493" t="n">
        <f aca="false">'Saisie et Calculateur'!H685</f>
        <v>0.051948051948052</v>
      </c>
      <c r="E177" s="1460"/>
      <c r="F177" s="1460"/>
      <c r="G177" s="1560"/>
      <c r="H177" s="1454"/>
      <c r="I177" s="1455"/>
      <c r="J177" s="646"/>
      <c r="K177" s="1553"/>
    </row>
    <row r="178" ht="14.1" customHeight="1">
      <c r="A178" s="1552"/>
      <c r="B178" s="1449"/>
      <c r="C178" s="1531"/>
      <c r="D178" s="1503" t="s">
        <v>2967</v>
      </c>
      <c r="E178" s="1503"/>
      <c r="F178" s="1460" t="n">
        <f aca="false">IF(D179&gt;O178,O179,IF(D179&gt;P178,P179,Q179))</f>
        <v>0</v>
      </c>
      <c r="G178" s="1560"/>
      <c r="H178" s="1454"/>
      <c r="I178" s="1455"/>
      <c r="J178" s="646"/>
      <c r="K178" s="1553"/>
      <c r="N178" s="1165" t="s">
        <v>2968</v>
      </c>
      <c r="O178" s="1472" t="n">
        <v>0.6</v>
      </c>
      <c r="P178" s="1472" t="n">
        <v>0.3</v>
      </c>
      <c r="Q178" s="1472"/>
    </row>
    <row r="179" ht="15" customHeight="1">
      <c r="A179" s="1552"/>
      <c r="B179" s="1449"/>
      <c r="C179" s="1530"/>
      <c r="D179" s="1493" t="n">
        <f aca="false">'Saisie et Calculateur'!H686</f>
        <v>0.051948051948052</v>
      </c>
      <c r="E179" s="1460"/>
      <c r="F179" s="1460"/>
      <c r="G179" s="1560"/>
      <c r="H179" s="1454"/>
      <c r="I179" s="1455"/>
      <c r="J179" s="646"/>
      <c r="K179" s="1553"/>
      <c r="N179" s="1165" t="s">
        <v>2895</v>
      </c>
      <c r="O179" s="1165" t="n">
        <v>2</v>
      </c>
      <c r="P179" s="1165" t="n">
        <v>1</v>
      </c>
      <c r="Q179" s="1165" t="n">
        <v>0</v>
      </c>
    </row>
    <row r="180" ht="15" customHeight="1">
      <c r="A180" s="1552"/>
      <c r="B180" s="1449"/>
      <c r="C180" s="1530"/>
      <c r="D180" s="1503" t="s">
        <v>2969</v>
      </c>
      <c r="E180" s="1503"/>
      <c r="F180" s="1561" t="n">
        <f aca="false">IF(D181=O181,O182,P182)</f>
        <v>0</v>
      </c>
      <c r="G180" s="1560"/>
      <c r="H180" s="1454"/>
      <c r="I180" s="1455"/>
      <c r="J180" s="646"/>
      <c r="K180" s="1553"/>
      <c r="N180" s="1165"/>
      <c r="O180" s="1165"/>
      <c r="P180" s="1165"/>
      <c r="Q180" s="1165"/>
    </row>
    <row r="181" ht="15" customHeight="1">
      <c r="A181" s="1552"/>
      <c r="B181" s="1449"/>
      <c r="C181" s="1530"/>
      <c r="D181" s="1503" t="str">
        <f aca="false">'Saisie et Calculateur'!D688</f>
        <v>non</v>
      </c>
      <c r="E181" s="1460"/>
      <c r="F181" s="1503"/>
      <c r="G181" s="1560"/>
      <c r="H181" s="1454"/>
      <c r="I181" s="1455"/>
      <c r="J181" s="646"/>
      <c r="K181" s="1553"/>
      <c r="N181" s="1165" t="s">
        <v>2970</v>
      </c>
      <c r="O181" s="1472" t="s">
        <v>253</v>
      </c>
      <c r="P181" s="1472" t="s">
        <v>254</v>
      </c>
    </row>
    <row r="182" ht="13.5" customHeight="1">
      <c r="A182" s="1552"/>
      <c r="B182" s="1449"/>
      <c r="C182" s="1530" t="s">
        <v>2971</v>
      </c>
      <c r="D182" s="1530"/>
      <c r="E182" s="1530"/>
      <c r="F182" s="1530"/>
      <c r="G182" s="1533" t="n">
        <f aca="false">IF(F183="oui",2,0)</f>
        <v>0</v>
      </c>
      <c r="H182" s="1454"/>
      <c r="I182" s="1455"/>
      <c r="J182" s="646"/>
      <c r="K182" s="1553"/>
      <c r="N182" s="1165" t="s">
        <v>2895</v>
      </c>
      <c r="O182" s="1165" t="n">
        <v>-1</v>
      </c>
      <c r="P182" s="1165" t="n">
        <v>0</v>
      </c>
    </row>
    <row r="183" ht="15" customHeight="1">
      <c r="A183" s="1552"/>
      <c r="B183" s="1449"/>
      <c r="C183" s="1545"/>
      <c r="D183" s="1548" t="s">
        <v>2972</v>
      </c>
      <c r="E183" s="1535"/>
      <c r="F183" s="1548" t="str">
        <f aca="false">'Saisie et Calculateur'!E691</f>
        <v>non</v>
      </c>
      <c r="G183" s="1533"/>
      <c r="H183" s="1454"/>
      <c r="I183" s="1455"/>
      <c r="J183" s="646"/>
      <c r="K183" s="1553"/>
    </row>
    <row r="184" ht="12" customHeight="1">
      <c r="A184" s="1552"/>
      <c r="J184" s="646"/>
      <c r="K184" s="1553"/>
    </row>
    <row r="185" ht="25.5" customHeight="1">
      <c r="A185" s="1552"/>
      <c r="J185" s="646"/>
      <c r="K185" s="1553"/>
    </row>
    <row r="186" ht="12.95" customHeight="1">
      <c r="A186" s="1552"/>
      <c r="B186" s="1449" t="s">
        <v>267</v>
      </c>
      <c r="C186" s="1526" t="s">
        <v>2973</v>
      </c>
      <c r="D186" s="1526"/>
      <c r="E186" s="1526"/>
      <c r="F186" s="1526"/>
      <c r="G186" s="1526"/>
      <c r="H186" s="1526"/>
      <c r="I186" s="1537" t="s">
        <v>2974</v>
      </c>
      <c r="J186" s="646"/>
      <c r="K186" s="1553"/>
    </row>
    <row r="187" ht="12" customHeight="1">
      <c r="A187" s="1552"/>
      <c r="B187" s="1449"/>
      <c r="C187" s="646"/>
      <c r="D187" s="646"/>
      <c r="E187" s="646"/>
      <c r="F187" s="646"/>
      <c r="G187" s="646"/>
      <c r="H187" s="646"/>
      <c r="I187" s="646"/>
      <c r="J187" s="646"/>
      <c r="K187" s="1553"/>
    </row>
    <row r="188" ht="39" customHeight="1">
      <c r="A188" s="1552"/>
      <c r="B188" s="1449"/>
      <c r="C188" s="1165" t="s">
        <v>2822</v>
      </c>
      <c r="D188" s="1165"/>
      <c r="E188" s="1165"/>
      <c r="F188" s="1165"/>
      <c r="G188" s="1165"/>
      <c r="H188" s="1171" t="s">
        <v>2823</v>
      </c>
      <c r="I188" s="1171" t="s">
        <v>2824</v>
      </c>
      <c r="J188" s="646"/>
      <c r="K188" s="1553"/>
    </row>
    <row r="189" ht="12" customHeight="1">
      <c r="A189" s="1552"/>
      <c r="B189" s="1449"/>
      <c r="C189" s="1356" t="s">
        <v>2975</v>
      </c>
      <c r="D189" s="1562"/>
      <c r="E189" s="1562"/>
      <c r="H189" s="1454" t="n">
        <f aca="false">IF(D190=U192,4,IF(D190=R192,G193,IF(D190=O192,G191,MIN(G191,G193))))</f>
        <v>2</v>
      </c>
      <c r="I189" s="1455" t="n">
        <f aca="false">MIN(4,H189)</f>
        <v>2</v>
      </c>
      <c r="J189" s="646"/>
      <c r="K189" s="1553"/>
      <c r="O189" s="1192" t="s">
        <v>490</v>
      </c>
      <c r="P189" s="1192"/>
      <c r="Q189" s="1192" t="s">
        <v>491</v>
      </c>
      <c r="R189" s="1192"/>
      <c r="S189" s="1192" t="s">
        <v>492</v>
      </c>
      <c r="T189" s="1192"/>
    </row>
    <row r="190" ht="12" customHeight="1">
      <c r="A190" s="1552"/>
      <c r="B190" s="1449"/>
      <c r="C190" s="1563"/>
      <c r="D190" s="1564" t="str">
        <f aca="false">'Saisie et Calculateur'!D698</f>
        <v>Oui les 2</v>
      </c>
      <c r="E190" s="1564"/>
      <c r="F190" s="1564"/>
      <c r="G190" s="1565"/>
      <c r="H190" s="1454"/>
      <c r="I190" s="1455"/>
      <c r="J190" s="646"/>
      <c r="K190" s="1553"/>
      <c r="N190" s="1192" t="s">
        <v>2976</v>
      </c>
      <c r="O190" s="1192" t="n">
        <v>4</v>
      </c>
      <c r="P190" s="1192"/>
      <c r="Q190" s="1192" t="n">
        <v>2</v>
      </c>
      <c r="R190" s="1192"/>
      <c r="S190" s="1192" t="n">
        <v>0</v>
      </c>
      <c r="T190" s="1192"/>
    </row>
    <row r="191" ht="12" customHeight="1">
      <c r="A191" s="1552"/>
      <c r="B191" s="1449"/>
      <c r="C191" s="1566" t="s">
        <v>2977</v>
      </c>
      <c r="D191" s="1566"/>
      <c r="E191" s="1566"/>
      <c r="F191" s="1566"/>
      <c r="G191" s="1532" t="n">
        <f aca="false">IF(D192=O189,O190,IF(D192=Q189,Q190,0))</f>
        <v>2</v>
      </c>
      <c r="H191" s="1454"/>
      <c r="I191" s="1455"/>
      <c r="J191" s="646"/>
      <c r="K191" s="1553"/>
    </row>
    <row r="192" ht="15" customHeight="1">
      <c r="A192" s="1552"/>
      <c r="B192" s="1449"/>
      <c r="C192" s="1530"/>
      <c r="D192" s="1567" t="str">
        <f aca="false">'Saisie et Calculateur'!D700</f>
        <v>Partielle ou occasionnelle</v>
      </c>
      <c r="E192" s="1567"/>
      <c r="F192" s="1567"/>
      <c r="G192" s="1532"/>
      <c r="H192" s="1454"/>
      <c r="I192" s="1455"/>
      <c r="J192" s="646"/>
      <c r="K192" s="1553"/>
      <c r="N192" s="1456" t="s">
        <v>1472</v>
      </c>
      <c r="O192" s="1456" t="s">
        <v>2978</v>
      </c>
      <c r="P192" s="1456"/>
      <c r="Q192" s="1456"/>
      <c r="R192" s="1456" t="s">
        <v>2979</v>
      </c>
      <c r="S192" s="1456"/>
      <c r="T192" s="1456"/>
      <c r="U192" s="1456" t="s">
        <v>1346</v>
      </c>
    </row>
    <row r="193" ht="12" customHeight="1">
      <c r="A193" s="1552"/>
      <c r="B193" s="1449"/>
      <c r="C193" s="1568" t="s">
        <v>2980</v>
      </c>
      <c r="D193" s="1568"/>
      <c r="E193" s="1568"/>
      <c r="F193" s="1568"/>
      <c r="G193" s="1569" t="n">
        <f aca="false">'Saisie et Calculateur'!H706</f>
        <v>2</v>
      </c>
      <c r="H193" s="1454"/>
      <c r="I193" s="1455"/>
      <c r="J193" s="646"/>
      <c r="K193" s="1553"/>
      <c r="N193" s="1192"/>
      <c r="O193" s="1192"/>
      <c r="S193" s="646"/>
    </row>
    <row r="194" ht="25.5" customHeight="1">
      <c r="A194" s="1552"/>
      <c r="B194" s="1449"/>
      <c r="C194" s="646"/>
      <c r="D194" s="646"/>
      <c r="E194" s="646"/>
      <c r="F194" s="646"/>
      <c r="G194" s="646"/>
      <c r="H194" s="646"/>
      <c r="I194" s="646"/>
      <c r="J194" s="646"/>
      <c r="K194" s="1553"/>
    </row>
    <row r="195" ht="13.5" customHeight="1">
      <c r="A195" s="1552"/>
      <c r="B195" s="1449" t="s">
        <v>248</v>
      </c>
      <c r="C195" s="1526" t="s">
        <v>2981</v>
      </c>
      <c r="D195" s="1526"/>
      <c r="E195" s="1526"/>
      <c r="F195" s="1526"/>
      <c r="G195" s="1526"/>
      <c r="H195" s="1526"/>
      <c r="I195" s="1537" t="s">
        <v>2974</v>
      </c>
      <c r="J195" s="646"/>
      <c r="K195" s="1553"/>
    </row>
    <row r="196" ht="13.5" customHeight="1">
      <c r="A196" s="1552"/>
      <c r="B196" s="1449"/>
      <c r="C196" s="646"/>
      <c r="D196" s="646"/>
      <c r="E196" s="646"/>
      <c r="F196" s="646"/>
      <c r="G196" s="646"/>
      <c r="H196" s="646"/>
      <c r="I196" s="646"/>
      <c r="J196" s="646"/>
      <c r="K196" s="1553"/>
      <c r="M196" s="646"/>
      <c r="N196" s="1192" t="s">
        <v>2982</v>
      </c>
      <c r="O196" s="1192" t="n">
        <v>1</v>
      </c>
      <c r="P196" s="1192" t="n">
        <v>0</v>
      </c>
      <c r="Q196" s="1192"/>
      <c r="T196" s="1192"/>
    </row>
    <row r="197" ht="39" customHeight="1">
      <c r="A197" s="1552"/>
      <c r="B197" s="1449"/>
      <c r="C197" s="1165" t="s">
        <v>2822</v>
      </c>
      <c r="D197" s="1165"/>
      <c r="E197" s="1165"/>
      <c r="F197" s="1165"/>
      <c r="G197" s="1165"/>
      <c r="H197" s="1171" t="s">
        <v>2823</v>
      </c>
      <c r="I197" s="1171" t="s">
        <v>2824</v>
      </c>
      <c r="J197" s="646"/>
      <c r="K197" s="1553"/>
      <c r="M197" s="646"/>
      <c r="N197" s="1192" t="s">
        <v>2855</v>
      </c>
      <c r="O197" s="1192" t="n">
        <v>0</v>
      </c>
      <c r="P197" s="1192" t="n">
        <v>-1</v>
      </c>
      <c r="Q197" s="1192" t="n">
        <v>-2</v>
      </c>
      <c r="T197" s="1192"/>
    </row>
    <row r="198" ht="15.75" customHeight="1">
      <c r="A198" s="1552"/>
      <c r="B198" s="1449"/>
      <c r="C198" s="1452" t="s">
        <v>2983</v>
      </c>
      <c r="D198" s="1452"/>
      <c r="E198" s="1452"/>
      <c r="F198" s="1452"/>
      <c r="G198" s="1570" t="n">
        <f aca="false">IF(D199=N199,N202,IF(D199=O199,O202,IF(D199=Q199,Q202,P202)))</f>
        <v>2</v>
      </c>
      <c r="H198" s="1454" t="n">
        <f aca="false">SUM(G198,G200,G202)</f>
        <v>4</v>
      </c>
      <c r="I198" s="1455" t="n">
        <f aca="false">IF(H198&lt;0,0,MIN(4,H198))</f>
        <v>4</v>
      </c>
      <c r="J198" s="646"/>
      <c r="K198" s="1553"/>
      <c r="M198" s="646"/>
      <c r="N198" s="522"/>
      <c r="O198" s="522"/>
      <c r="P198" s="522"/>
      <c r="Q198" s="22"/>
      <c r="T198" s="1192"/>
    </row>
    <row r="199" ht="15" customHeight="1">
      <c r="A199" s="1552"/>
      <c r="B199" s="1449"/>
      <c r="C199" s="1459"/>
      <c r="D199" s="748" t="str">
        <f aca="false">'Saisie et Calculateur'!F713</f>
        <v>Aucun problème</v>
      </c>
      <c r="E199" s="1460"/>
      <c r="F199" s="1460"/>
      <c r="G199" s="1570"/>
      <c r="H199" s="1454"/>
      <c r="I199" s="1455"/>
      <c r="J199" s="646"/>
      <c r="K199" s="1553"/>
      <c r="M199" s="646"/>
      <c r="N199" s="1571" t="s">
        <v>645</v>
      </c>
      <c r="O199" s="1571" t="s">
        <v>647</v>
      </c>
      <c r="P199" s="1571" t="s">
        <v>649</v>
      </c>
      <c r="Q199" s="1571" t="s">
        <v>651</v>
      </c>
      <c r="T199" s="1192"/>
    </row>
    <row r="200" ht="12" customHeight="1">
      <c r="A200" s="1552"/>
      <c r="B200" s="1449"/>
      <c r="C200" s="1459" t="s">
        <v>2984</v>
      </c>
      <c r="D200" s="1459"/>
      <c r="E200" s="1459"/>
      <c r="F200" s="1459"/>
      <c r="G200" s="1572" t="n">
        <f aca="false">IF(D201=N199,N202,IF(D201=O199,O202,IF(D201=Q199,Q202,P202)))</f>
        <v>2</v>
      </c>
      <c r="H200" s="1454"/>
      <c r="I200" s="1455"/>
      <c r="J200" s="646"/>
      <c r="K200" s="1553"/>
      <c r="M200" s="646"/>
      <c r="N200" s="1571"/>
      <c r="O200" s="1571"/>
      <c r="P200" s="1571"/>
      <c r="Q200" s="1571"/>
      <c r="T200" s="1192"/>
    </row>
    <row r="201" ht="15" customHeight="1">
      <c r="A201" s="1552"/>
      <c r="B201" s="1449"/>
      <c r="C201" s="1459"/>
      <c r="D201" s="748" t="str">
        <f aca="false">'Saisie et Calculateur'!F720</f>
        <v>Aucun problème</v>
      </c>
      <c r="E201" s="1460"/>
      <c r="F201" s="1460"/>
      <c r="G201" s="1572"/>
      <c r="H201" s="1454"/>
      <c r="I201" s="1455"/>
      <c r="J201" s="646"/>
      <c r="K201" s="1553"/>
      <c r="M201" s="646"/>
      <c r="N201" s="1571"/>
      <c r="O201" s="1571"/>
      <c r="P201" s="1571"/>
      <c r="Q201" s="1571"/>
      <c r="T201" s="1192"/>
    </row>
    <row r="202" ht="12" customHeight="1">
      <c r="A202" s="1552"/>
      <c r="B202" s="1449"/>
      <c r="C202" s="1510" t="s">
        <v>2985</v>
      </c>
      <c r="D202" s="1510"/>
      <c r="E202" s="1510"/>
      <c r="F202" s="1510"/>
      <c r="G202" s="1573" t="n">
        <f aca="false">IF(D203="NC",0,IF(D203&gt;O196,O197,IF(E192&gt;P196,P197,Q197)))</f>
        <v>0</v>
      </c>
      <c r="H202" s="1454"/>
      <c r="I202" s="1455"/>
      <c r="J202" s="646"/>
      <c r="K202" s="1553"/>
      <c r="M202" s="646"/>
      <c r="N202" s="1574" t="n">
        <v>2</v>
      </c>
      <c r="O202" s="1574" t="n">
        <v>1</v>
      </c>
      <c r="P202" s="1574" t="n">
        <v>0</v>
      </c>
      <c r="Q202" s="1575" t="n">
        <v>-1</v>
      </c>
      <c r="R202" s="1192"/>
    </row>
    <row r="203" ht="12" customHeight="1">
      <c r="A203" s="1552"/>
      <c r="B203" s="1449"/>
      <c r="C203" s="1576"/>
      <c r="D203" s="1577" t="str">
        <f aca="false">'Saisie et Calculateur'!J728</f>
        <v>NC</v>
      </c>
      <c r="E203" s="1578" t="s">
        <v>2986</v>
      </c>
      <c r="F203" s="1478"/>
      <c r="G203" s="1573"/>
      <c r="H203" s="1454"/>
      <c r="I203" s="1455"/>
      <c r="J203" s="646"/>
      <c r="K203" s="1553"/>
    </row>
    <row r="204" ht="12" customHeight="1">
      <c r="A204" s="1552"/>
      <c r="B204" s="1369"/>
      <c r="C204" s="584"/>
      <c r="D204" s="584"/>
      <c r="E204" s="584"/>
      <c r="F204" s="584"/>
      <c r="G204" s="646"/>
      <c r="H204" s="646"/>
      <c r="I204" s="646"/>
      <c r="J204" s="646"/>
      <c r="K204" s="1553"/>
    </row>
    <row r="205" ht="12" customHeight="1">
      <c r="S205" s="646"/>
    </row>
    <row r="206" ht="15" customHeight="1">
      <c r="A206" s="1579" t="s">
        <v>2987</v>
      </c>
      <c r="B206" s="1580" t="s">
        <v>594</v>
      </c>
      <c r="C206" s="1581" t="s">
        <v>2988</v>
      </c>
      <c r="D206" s="1581"/>
      <c r="E206" s="1581"/>
      <c r="F206" s="1581"/>
      <c r="G206" s="1581"/>
      <c r="H206" s="1581"/>
      <c r="I206" s="1582" t="s">
        <v>2989</v>
      </c>
      <c r="J206" s="1580"/>
      <c r="K206" s="1583" t="n">
        <f aca="false">MIN(20,SUM(I209,I229,I240,I247,I259))</f>
        <v>12</v>
      </c>
      <c r="N206" s="1165" t="s">
        <v>2990</v>
      </c>
      <c r="O206" s="1165" t="n">
        <v>20</v>
      </c>
      <c r="P206" s="1165" t="n">
        <v>40</v>
      </c>
      <c r="Q206" s="1165"/>
    </row>
    <row r="207" ht="15.75" customHeight="1">
      <c r="A207" s="1579"/>
      <c r="B207" s="646"/>
      <c r="C207" s="1460"/>
      <c r="D207" s="1460"/>
      <c r="E207" s="1460"/>
      <c r="F207" s="1460"/>
      <c r="G207" s="584"/>
      <c r="H207" s="1165"/>
      <c r="I207" s="276"/>
      <c r="J207" s="646"/>
      <c r="K207" s="1583"/>
      <c r="N207" s="1165" t="s">
        <v>2855</v>
      </c>
      <c r="O207" s="1165" t="n">
        <v>2</v>
      </c>
      <c r="P207" s="1165" t="n">
        <v>1</v>
      </c>
      <c r="Q207" s="1165" t="n">
        <v>0</v>
      </c>
    </row>
    <row r="208" ht="39" customHeight="1">
      <c r="A208" s="1579"/>
      <c r="B208" s="646"/>
      <c r="C208" s="1165" t="s">
        <v>2822</v>
      </c>
      <c r="D208" s="1165"/>
      <c r="E208" s="1165"/>
      <c r="F208" s="1165"/>
      <c r="G208" s="1165"/>
      <c r="H208" s="1171" t="s">
        <v>2823</v>
      </c>
      <c r="I208" s="1171" t="s">
        <v>2824</v>
      </c>
      <c r="J208" s="646"/>
      <c r="K208" s="1583"/>
    </row>
    <row r="209" ht="12" customHeight="1">
      <c r="A209" s="1579"/>
      <c r="B209" s="646"/>
      <c r="C209" s="1497" t="s">
        <v>2991</v>
      </c>
      <c r="D209" s="1497"/>
      <c r="E209" s="1497"/>
      <c r="F209" s="1497"/>
      <c r="G209" s="1584" t="n">
        <f aca="false">F211+F212</f>
        <v>0</v>
      </c>
      <c r="H209" s="1585" t="n">
        <f aca="false">G209+G216+G219</f>
        <v>1</v>
      </c>
      <c r="I209" s="1508" t="n">
        <f aca="false">MIN(6,H209)</f>
        <v>1</v>
      </c>
      <c r="J209" s="646"/>
      <c r="K209" s="1583"/>
      <c r="O209" s="1192" t="n">
        <v>2</v>
      </c>
      <c r="P209" s="1192" t="s">
        <v>2992</v>
      </c>
    </row>
    <row r="210" ht="12.75" customHeight="1">
      <c r="A210" s="1579"/>
      <c r="B210" s="646"/>
      <c r="C210" s="1459"/>
      <c r="D210" s="1460" t="s">
        <v>2993</v>
      </c>
      <c r="E210" s="1460"/>
      <c r="F210" s="1460"/>
      <c r="G210" s="1584"/>
      <c r="H210" s="1585"/>
      <c r="I210" s="1508"/>
      <c r="J210" s="646"/>
      <c r="K210" s="1583"/>
      <c r="N210" s="646" t="s">
        <v>2994</v>
      </c>
      <c r="O210" s="1192" t="s">
        <v>2995</v>
      </c>
      <c r="P210" s="1192" t="n">
        <v>0</v>
      </c>
    </row>
    <row r="211" ht="12" customHeight="1">
      <c r="A211" s="1579"/>
      <c r="B211" s="646"/>
      <c r="C211" s="1459"/>
      <c r="D211" s="1586" t="n">
        <f aca="false">'Saisie et Calculateur'!D735</f>
        <v>53.4684374380027</v>
      </c>
      <c r="E211" s="646"/>
      <c r="F211" s="1460" t="n">
        <f aca="false">IF(D211&lt;O206,O207,IF(D211&lt;P206,P207,Q207))</f>
        <v>0</v>
      </c>
      <c r="G211" s="1584"/>
      <c r="H211" s="1585"/>
      <c r="I211" s="1508"/>
      <c r="J211" s="646"/>
      <c r="K211" s="1583"/>
    </row>
    <row r="212" ht="12" customHeight="1">
      <c r="A212" s="1579"/>
      <c r="B212" s="646"/>
      <c r="C212" s="1473"/>
      <c r="D212" s="1485" t="s">
        <v>2996</v>
      </c>
      <c r="E212" s="1460"/>
      <c r="F212" s="1587" t="n">
        <f aca="false">MAX(E213+E215,-2)</f>
        <v>0</v>
      </c>
      <c r="G212" s="1584"/>
      <c r="H212" s="1585"/>
      <c r="I212" s="1508"/>
      <c r="J212" s="646"/>
      <c r="K212" s="1583"/>
      <c r="O212" s="1192" t="s">
        <v>253</v>
      </c>
      <c r="P212" s="1192" t="s">
        <v>254</v>
      </c>
    </row>
    <row r="213" ht="12" customHeight="1">
      <c r="A213" s="1579"/>
      <c r="B213" s="646"/>
      <c r="C213" s="1473"/>
      <c r="D213" s="1460" t="n">
        <f aca="false">'Saisie et Calculateur'!D737</f>
        <v>0.779220779220779</v>
      </c>
      <c r="E213" s="1460" t="n">
        <f aca="false">IF(D213&gt;=O209,O210,P210)</f>
        <v>0</v>
      </c>
      <c r="F213" s="1587"/>
      <c r="G213" s="1584"/>
      <c r="H213" s="1585"/>
      <c r="I213" s="1508"/>
      <c r="J213" s="646"/>
      <c r="K213" s="1583"/>
      <c r="N213" s="646" t="s">
        <v>2997</v>
      </c>
      <c r="O213" s="1192" t="s">
        <v>2995</v>
      </c>
      <c r="P213" s="1192" t="n">
        <v>0</v>
      </c>
    </row>
    <row r="214" ht="15" customHeight="1">
      <c r="A214" s="1579"/>
      <c r="B214" s="646"/>
      <c r="C214" s="1473"/>
      <c r="D214" s="646" t="s">
        <v>2998</v>
      </c>
      <c r="E214" s="584"/>
      <c r="F214" s="1587"/>
      <c r="G214" s="1584"/>
      <c r="H214" s="1585"/>
      <c r="I214" s="1508"/>
      <c r="J214" s="646"/>
      <c r="K214" s="1583"/>
    </row>
    <row r="215" ht="12" customHeight="1">
      <c r="A215" s="1579"/>
      <c r="B215" s="646"/>
      <c r="C215" s="1457"/>
      <c r="D215" s="1460" t="str">
        <f aca="false">'Saisie et Calculateur'!D738</f>
        <v>non</v>
      </c>
      <c r="E215" s="1460" t="n">
        <f aca="false">IF(D215="oui",-2,0)</f>
        <v>0</v>
      </c>
      <c r="F215" s="1587"/>
      <c r="G215" s="1584"/>
      <c r="H215" s="1585"/>
      <c r="I215" s="1508"/>
      <c r="J215" s="646"/>
      <c r="K215" s="1583"/>
      <c r="N215" s="1165" t="s">
        <v>2999</v>
      </c>
      <c r="O215" s="1165" t="n">
        <v>0</v>
      </c>
      <c r="P215" s="1165" t="n">
        <v>1</v>
      </c>
      <c r="Q215" s="1165" t="n">
        <v>2</v>
      </c>
      <c r="R215" s="1483"/>
    </row>
    <row r="216" ht="17.25" customHeight="1">
      <c r="A216" s="1579"/>
      <c r="B216" s="646"/>
      <c r="C216" s="1473" t="s">
        <v>3000</v>
      </c>
      <c r="D216" s="1473"/>
      <c r="E216" s="1473"/>
      <c r="F216" s="1473"/>
      <c r="G216" s="1588" t="n">
        <f aca="false">F218</f>
        <v>1</v>
      </c>
      <c r="H216" s="1585"/>
      <c r="I216" s="1508"/>
      <c r="J216" s="646"/>
      <c r="K216" s="1583"/>
      <c r="N216" s="1165" t="s">
        <v>2855</v>
      </c>
      <c r="O216" s="1165" t="n">
        <v>3</v>
      </c>
      <c r="P216" s="1165" t="n">
        <v>2</v>
      </c>
      <c r="Q216" s="1165" t="n">
        <v>1</v>
      </c>
      <c r="R216" s="1483" t="n">
        <v>0</v>
      </c>
    </row>
    <row r="217" ht="12" customHeight="1">
      <c r="A217" s="1579"/>
      <c r="B217" s="646"/>
      <c r="C217" s="1457"/>
      <c r="D217" s="1128" t="s">
        <v>3001</v>
      </c>
      <c r="E217" s="646"/>
      <c r="F217" s="1175"/>
      <c r="G217" s="1588"/>
      <c r="H217" s="1585"/>
      <c r="I217" s="1508"/>
      <c r="J217" s="646"/>
      <c r="K217" s="1583"/>
    </row>
    <row r="218" ht="12" customHeight="1">
      <c r="A218" s="1579"/>
      <c r="B218" s="646"/>
      <c r="C218" s="1457"/>
      <c r="D218" s="1175" t="n">
        <f aca="false">'Saisie et Calculateur'!D741</f>
        <v>1.33</v>
      </c>
      <c r="E218" s="1175"/>
      <c r="F218" s="1140" t="n">
        <f aca="false">IF(D218=O215,O216,IF(D218&lt;=P215,P216,IF(D218&lt;=Q215,Q216,R216)))</f>
        <v>1</v>
      </c>
      <c r="G218" s="1588"/>
      <c r="H218" s="1585"/>
      <c r="I218" s="1508"/>
      <c r="J218" s="646"/>
      <c r="K218" s="1583"/>
      <c r="N218" s="1165" t="s">
        <v>3002</v>
      </c>
      <c r="O218" s="1472" t="n">
        <v>0.6</v>
      </c>
      <c r="P218" s="1472" t="n">
        <v>0.3</v>
      </c>
      <c r="Q218" s="1165"/>
    </row>
    <row r="219" ht="12" customHeight="1">
      <c r="A219" s="1579"/>
      <c r="B219" s="646"/>
      <c r="C219" s="1473" t="s">
        <v>3003</v>
      </c>
      <c r="D219" s="1473"/>
      <c r="E219" s="1473"/>
      <c r="F219" s="1473"/>
      <c r="G219" s="1589" t="n">
        <f aca="false">MIN(2,F221+F223)</f>
        <v>0</v>
      </c>
      <c r="H219" s="1585"/>
      <c r="I219" s="1508"/>
      <c r="J219" s="646"/>
      <c r="K219" s="1583"/>
      <c r="N219" s="1165" t="s">
        <v>2855</v>
      </c>
      <c r="O219" s="1165" t="n">
        <v>2</v>
      </c>
      <c r="P219" s="1165" t="n">
        <v>1</v>
      </c>
      <c r="Q219" s="1165" t="n">
        <v>0</v>
      </c>
    </row>
    <row r="220" ht="12" customHeight="1">
      <c r="A220" s="1579"/>
      <c r="B220" s="646"/>
      <c r="C220" s="1457"/>
      <c r="D220" s="646" t="s">
        <v>3004</v>
      </c>
      <c r="E220" s="646"/>
      <c r="F220" s="646"/>
      <c r="G220" s="1589"/>
      <c r="H220" s="1585"/>
      <c r="I220" s="1508"/>
      <c r="J220" s="646"/>
      <c r="K220" s="1583"/>
    </row>
    <row r="221" ht="12" customHeight="1">
      <c r="A221" s="1579"/>
      <c r="B221" s="646"/>
      <c r="C221" s="1590"/>
      <c r="D221" s="1460" t="str">
        <f aca="false">'Saisie et Calculateur'!D743</f>
        <v>non</v>
      </c>
      <c r="E221" s="1460"/>
      <c r="F221" s="1460" t="n">
        <f aca="false">IF(D221="oui",1,0)</f>
        <v>0</v>
      </c>
      <c r="G221" s="1589"/>
      <c r="H221" s="1585"/>
      <c r="I221" s="1508"/>
      <c r="J221" s="646"/>
      <c r="K221" s="1583"/>
    </row>
    <row r="222" ht="12" customHeight="1">
      <c r="A222" s="1579"/>
      <c r="B222" s="646"/>
      <c r="C222" s="1459"/>
      <c r="D222" s="1485" t="s">
        <v>3005</v>
      </c>
      <c r="E222" s="1460"/>
      <c r="F222" s="1460"/>
      <c r="G222" s="1589"/>
      <c r="H222" s="1585"/>
      <c r="I222" s="1508"/>
      <c r="J222" s="646"/>
      <c r="K222" s="1583"/>
    </row>
    <row r="223" ht="12" customHeight="1">
      <c r="A223" s="1579"/>
      <c r="B223" s="646"/>
      <c r="C223" s="1475"/>
      <c r="D223" s="1591" t="n">
        <f aca="false">'Saisie et Calculateur'!J747</f>
        <v>0.246753246753247</v>
      </c>
      <c r="E223" s="1478"/>
      <c r="F223" s="1592" t="n">
        <f aca="false">IF(D223&gt;O218,O219,IF(D223&gt;P218,P219,Q219))</f>
        <v>0</v>
      </c>
      <c r="G223" s="1589"/>
      <c r="H223" s="1585"/>
      <c r="I223" s="1508"/>
      <c r="J223" s="646"/>
      <c r="K223" s="1583"/>
    </row>
    <row r="224" ht="12" customHeight="1">
      <c r="A224" s="1579"/>
      <c r="B224" s="646"/>
      <c r="C224" s="646"/>
      <c r="D224" s="646"/>
      <c r="E224" s="646"/>
      <c r="F224" s="646"/>
      <c r="G224" s="646"/>
      <c r="H224" s="646"/>
      <c r="I224" s="646"/>
      <c r="J224" s="646"/>
      <c r="K224" s="1583"/>
    </row>
    <row r="225" ht="12.75" customHeight="1">
      <c r="A225" s="1579"/>
      <c r="B225" s="646"/>
      <c r="C225" s="646"/>
      <c r="D225" s="646"/>
      <c r="E225" s="646"/>
      <c r="F225" s="646"/>
      <c r="G225" s="646"/>
      <c r="H225" s="646"/>
      <c r="I225" s="646"/>
      <c r="J225" s="646"/>
      <c r="K225" s="1583"/>
    </row>
    <row r="226" ht="15" customHeight="1">
      <c r="A226" s="1579"/>
      <c r="B226" s="646" t="s">
        <v>493</v>
      </c>
      <c r="C226" s="1526" t="s">
        <v>3006</v>
      </c>
      <c r="D226" s="1526"/>
      <c r="E226" s="1526"/>
      <c r="F226" s="1526"/>
      <c r="G226" s="1526"/>
      <c r="H226" s="1526"/>
      <c r="I226" s="1537" t="s">
        <v>2989</v>
      </c>
      <c r="J226" s="646"/>
      <c r="K226" s="1583"/>
    </row>
    <row r="227" ht="15" customHeight="1">
      <c r="A227" s="1579"/>
      <c r="B227" s="646"/>
      <c r="C227" s="646"/>
      <c r="D227" s="646"/>
      <c r="E227" s="646"/>
      <c r="F227" s="646"/>
      <c r="G227" s="646"/>
      <c r="H227" s="646"/>
      <c r="I227" s="646"/>
      <c r="J227" s="646"/>
      <c r="K227" s="1583"/>
    </row>
    <row r="228" ht="25.5" customHeight="1">
      <c r="A228" s="1579"/>
      <c r="B228" s="646"/>
      <c r="C228" s="1165" t="s">
        <v>2822</v>
      </c>
      <c r="D228" s="1165"/>
      <c r="E228" s="1165"/>
      <c r="F228" s="1165"/>
      <c r="G228" s="1165"/>
      <c r="H228" s="1171" t="s">
        <v>2823</v>
      </c>
      <c r="I228" s="1171" t="s">
        <v>2824</v>
      </c>
      <c r="J228" s="646"/>
      <c r="K228" s="1583"/>
    </row>
    <row r="229" ht="12.95" customHeight="1">
      <c r="A229" s="1579"/>
      <c r="B229" s="646"/>
      <c r="C229" s="1460" t="s">
        <v>3007</v>
      </c>
      <c r="D229" s="1460"/>
      <c r="E229" s="1460"/>
      <c r="F229" s="1460"/>
      <c r="G229" s="1529" t="n">
        <f aca="false">MIN(3,F231+F233)</f>
        <v>2</v>
      </c>
      <c r="H229" s="1364" t="n">
        <f aca="false">G229+G234</f>
        <v>3</v>
      </c>
      <c r="I229" s="1593" t="n">
        <f aca="false">MIN(6,H229)</f>
        <v>3</v>
      </c>
      <c r="J229" s="646"/>
      <c r="K229" s="1583"/>
      <c r="N229" s="646" t="s">
        <v>3008</v>
      </c>
      <c r="O229" s="1192" t="n">
        <v>4</v>
      </c>
      <c r="P229" s="1192" t="n">
        <v>2</v>
      </c>
      <c r="Q229" s="1192" t="s">
        <v>3009</v>
      </c>
    </row>
    <row r="230" ht="12.95" customHeight="1">
      <c r="A230" s="1579"/>
      <c r="B230" s="646"/>
      <c r="C230" s="1530"/>
      <c r="D230" s="646" t="s">
        <v>3010</v>
      </c>
      <c r="E230" s="1460"/>
      <c r="F230" s="1460"/>
      <c r="G230" s="1529"/>
      <c r="H230" s="1364"/>
      <c r="I230" s="1593"/>
      <c r="J230" s="646"/>
      <c r="K230" s="1583"/>
      <c r="N230" s="646" t="s">
        <v>2905</v>
      </c>
      <c r="O230" s="1192" t="n">
        <v>0</v>
      </c>
      <c r="P230" s="1192" t="n">
        <v>1</v>
      </c>
      <c r="Q230" s="1192" t="n">
        <v>2</v>
      </c>
      <c r="R230" s="646" t="s">
        <v>3011</v>
      </c>
      <c r="W230" s="1594"/>
    </row>
    <row r="231" ht="12.95" customHeight="1">
      <c r="A231" s="1579"/>
      <c r="B231" s="646"/>
      <c r="C231" s="1250"/>
      <c r="D231" s="1595" t="n">
        <f aca="false">'Saisie et Calculateur'!E759</f>
        <v>3</v>
      </c>
      <c r="E231" s="417" t="s">
        <v>3012</v>
      </c>
      <c r="F231" s="1485" t="n">
        <f aca="false">IF(D231=",",R230,IF(D231&gt;=O229,O230,IF(D231&gt;=P229,P230,Q230)))</f>
        <v>1</v>
      </c>
      <c r="G231" s="1529"/>
      <c r="H231" s="1364"/>
      <c r="I231" s="1593"/>
      <c r="J231" s="646"/>
      <c r="K231" s="1583"/>
    </row>
    <row r="232" ht="12.95" customHeight="1">
      <c r="A232" s="1579"/>
      <c r="B232" s="646"/>
      <c r="C232" s="1250"/>
      <c r="D232" s="646" t="s">
        <v>3013</v>
      </c>
      <c r="E232" s="646"/>
      <c r="F232" s="1294"/>
      <c r="G232" s="1529"/>
      <c r="H232" s="1364"/>
      <c r="I232" s="1593"/>
      <c r="J232" s="646"/>
      <c r="K232" s="1583"/>
    </row>
    <row r="233" ht="12.95" customHeight="1">
      <c r="A233" s="1579"/>
      <c r="B233" s="646"/>
      <c r="C233" s="1530"/>
      <c r="D233" s="1596" t="n">
        <f aca="false">'Saisie et Calculateur'!E763</f>
        <v>1</v>
      </c>
      <c r="E233" s="1559" t="s">
        <v>3014</v>
      </c>
      <c r="F233" s="1485" t="n">
        <f aca="false">IF(D233&gt;1,2,IF(D233=0,0,1))</f>
        <v>1</v>
      </c>
      <c r="G233" s="1529"/>
      <c r="H233" s="1364"/>
      <c r="I233" s="1593"/>
      <c r="J233" s="646"/>
      <c r="K233" s="1583"/>
    </row>
    <row r="234" ht="12" customHeight="1">
      <c r="A234" s="1579"/>
      <c r="B234" s="646"/>
      <c r="C234" s="1550" t="s">
        <v>3015</v>
      </c>
      <c r="D234" s="1548"/>
      <c r="E234" s="1548"/>
      <c r="F234" s="1548"/>
      <c r="G234" s="1597" t="n">
        <f aca="false">'Saisie et Calculateur'!J770</f>
        <v>1</v>
      </c>
      <c r="H234" s="1364"/>
      <c r="I234" s="1593"/>
      <c r="J234" s="646"/>
      <c r="K234" s="1583"/>
    </row>
    <row r="235" ht="12" customHeight="1">
      <c r="A235" s="1579"/>
      <c r="B235" s="646"/>
      <c r="C235" s="646"/>
      <c r="D235" s="646"/>
      <c r="E235" s="646"/>
      <c r="F235" s="646"/>
      <c r="G235" s="646"/>
      <c r="H235" s="646"/>
      <c r="I235" s="646"/>
      <c r="J235" s="646"/>
      <c r="K235" s="1583"/>
    </row>
    <row r="236" ht="12.75" customHeight="1">
      <c r="A236" s="1579"/>
      <c r="B236" s="646"/>
      <c r="C236" s="646"/>
      <c r="D236" s="646"/>
      <c r="E236" s="646"/>
      <c r="F236" s="646"/>
      <c r="G236" s="646"/>
      <c r="H236" s="646"/>
      <c r="I236" s="646"/>
      <c r="J236" s="646"/>
      <c r="K236" s="1583"/>
    </row>
    <row r="237" ht="12" customHeight="1">
      <c r="A237" s="1579"/>
      <c r="B237" s="646" t="s">
        <v>559</v>
      </c>
      <c r="C237" s="1526" t="s">
        <v>3016</v>
      </c>
      <c r="D237" s="1526"/>
      <c r="E237" s="1526"/>
      <c r="F237" s="1526"/>
      <c r="G237" s="1526"/>
      <c r="H237" s="1526"/>
      <c r="I237" s="1537" t="s">
        <v>2989</v>
      </c>
      <c r="J237" s="646"/>
      <c r="K237" s="1583"/>
    </row>
    <row r="238" ht="12.75" customHeight="1">
      <c r="A238" s="1579"/>
      <c r="B238" s="646"/>
      <c r="C238" s="646"/>
      <c r="D238" s="646"/>
      <c r="E238" s="646"/>
      <c r="F238" s="646"/>
      <c r="G238" s="646"/>
      <c r="H238" s="646"/>
      <c r="I238" s="646"/>
      <c r="J238" s="646"/>
      <c r="K238" s="1583"/>
    </row>
    <row r="239" ht="39" customHeight="1">
      <c r="A239" s="1579"/>
      <c r="B239" s="646"/>
      <c r="C239" s="1598" t="s">
        <v>2822</v>
      </c>
      <c r="D239" s="1598"/>
      <c r="E239" s="1598"/>
      <c r="F239" s="1598"/>
      <c r="G239" s="1598"/>
      <c r="H239" s="1171" t="s">
        <v>2823</v>
      </c>
      <c r="I239" s="1599" t="s">
        <v>2824</v>
      </c>
      <c r="J239" s="646"/>
      <c r="K239" s="1583"/>
      <c r="T239" s="646"/>
      <c r="U239" s="646"/>
    </row>
    <row r="240" ht="12" customHeight="1">
      <c r="A240" s="1579"/>
      <c r="B240" s="646"/>
      <c r="C240" s="1497" t="s">
        <v>3017</v>
      </c>
      <c r="D240" s="1497"/>
      <c r="E240" s="1497"/>
      <c r="F240" s="1516"/>
      <c r="G240" s="1600" t="n">
        <f aca="false">IF(E241&lt;O240,O241,IF(E241&lt;P240,P241,IF(E241&lt;Q240,Q241,IF(E241&lt;R240,R241,IF(E241&lt;S240,S241,IF(E241&lt;T240,T241,U241))))))</f>
        <v>5</v>
      </c>
      <c r="H240" s="1601" t="n">
        <f aca="false">G240</f>
        <v>5</v>
      </c>
      <c r="I240" s="1602" t="n">
        <f aca="false">MIN(6,H240)</f>
        <v>5</v>
      </c>
      <c r="J240" s="646"/>
      <c r="K240" s="1583"/>
      <c r="N240" s="1165" t="s">
        <v>3018</v>
      </c>
      <c r="O240" s="1165" t="n">
        <v>200</v>
      </c>
      <c r="P240" s="1165" t="n">
        <v>400</v>
      </c>
      <c r="Q240" s="1165" t="n">
        <v>600</v>
      </c>
      <c r="R240" s="1165" t="n">
        <v>800</v>
      </c>
      <c r="S240" s="1165" t="n">
        <v>1000</v>
      </c>
      <c r="T240" s="1483" t="n">
        <v>1200</v>
      </c>
      <c r="U240" s="1483"/>
    </row>
    <row r="241" ht="12" customHeight="1">
      <c r="A241" s="1579"/>
      <c r="B241" s="646"/>
      <c r="C241" s="1511"/>
      <c r="D241" s="1478" t="s">
        <v>3019</v>
      </c>
      <c r="E241" s="1603" t="n">
        <f aca="false">'Saisie et Calculateur'!H796</f>
        <v>311.91804</v>
      </c>
      <c r="F241" s="1476"/>
      <c r="G241" s="1604"/>
      <c r="H241" s="1601"/>
      <c r="I241" s="1602"/>
      <c r="J241" s="646"/>
      <c r="K241" s="1583"/>
      <c r="N241" s="1165" t="s">
        <v>2855</v>
      </c>
      <c r="O241" s="1165" t="n">
        <v>6</v>
      </c>
      <c r="P241" s="1165" t="n">
        <v>5</v>
      </c>
      <c r="Q241" s="1165" t="n">
        <v>4</v>
      </c>
      <c r="R241" s="1165" t="n">
        <v>3</v>
      </c>
      <c r="S241" s="1165" t="n">
        <v>2</v>
      </c>
      <c r="T241" s="1483" t="n">
        <v>1</v>
      </c>
      <c r="U241" s="1483" t="n">
        <v>0</v>
      </c>
    </row>
    <row r="242" ht="12" customHeight="1">
      <c r="A242" s="1579"/>
      <c r="B242" s="646"/>
      <c r="C242" s="646"/>
      <c r="D242" s="646"/>
      <c r="E242" s="646"/>
      <c r="F242" s="646"/>
      <c r="G242" s="646"/>
      <c r="H242" s="646"/>
      <c r="I242" s="646"/>
      <c r="J242" s="646"/>
      <c r="K242" s="1583"/>
    </row>
    <row r="243" ht="12" customHeight="1">
      <c r="A243" s="1579"/>
      <c r="B243" s="646"/>
      <c r="C243" s="646"/>
      <c r="D243" s="646"/>
      <c r="E243" s="646"/>
      <c r="F243" s="646"/>
      <c r="G243" s="646"/>
      <c r="H243" s="646"/>
      <c r="I243" s="646"/>
      <c r="J243" s="646"/>
      <c r="K243" s="1583"/>
    </row>
    <row r="244" ht="28.5" customHeight="1">
      <c r="A244" s="1579"/>
      <c r="B244" s="646" t="s">
        <v>260</v>
      </c>
      <c r="C244" s="1605" t="s">
        <v>3020</v>
      </c>
      <c r="D244" s="1605"/>
      <c r="E244" s="1605"/>
      <c r="F244" s="1605"/>
      <c r="G244" s="1605"/>
      <c r="H244" s="1605"/>
      <c r="I244" s="1606" t="s">
        <v>2989</v>
      </c>
      <c r="J244" s="646"/>
      <c r="K244" s="1583"/>
      <c r="T244" s="646"/>
      <c r="U244" s="1165"/>
      <c r="V244" s="646"/>
    </row>
    <row r="245" ht="12.75" customHeight="1">
      <c r="A245" s="1579"/>
      <c r="B245" s="646"/>
      <c r="C245" s="646"/>
      <c r="D245" s="646"/>
      <c r="E245" s="646"/>
      <c r="F245" s="646"/>
      <c r="G245" s="646"/>
      <c r="H245" s="646"/>
      <c r="I245" s="646"/>
      <c r="J245" s="646"/>
      <c r="K245" s="1583"/>
    </row>
    <row r="246" ht="25.5" customHeight="1">
      <c r="A246" s="1579"/>
      <c r="B246" s="646"/>
      <c r="C246" s="1607" t="s">
        <v>2822</v>
      </c>
      <c r="D246" s="1607"/>
      <c r="E246" s="1607"/>
      <c r="F246" s="1607"/>
      <c r="G246" s="1607"/>
      <c r="H246" s="1171" t="s">
        <v>2823</v>
      </c>
      <c r="I246" s="1599" t="s">
        <v>2824</v>
      </c>
      <c r="J246" s="646"/>
      <c r="K246" s="1583"/>
      <c r="Q246" s="646"/>
      <c r="R246" s="646"/>
      <c r="S246" s="646"/>
      <c r="T246" s="646"/>
    </row>
    <row r="247" ht="13.5" customHeight="1">
      <c r="A247" s="1579"/>
      <c r="B247" s="646"/>
      <c r="C247" s="1608" t="s">
        <v>3021</v>
      </c>
      <c r="D247" s="1609"/>
      <c r="E247" s="1609"/>
      <c r="F247" s="1609"/>
      <c r="G247" s="1453" t="n">
        <f aca="false">MIN(6,SUM(F249,F251,F252))</f>
        <v>3</v>
      </c>
      <c r="H247" s="1585" t="n">
        <f aca="false">IF(E260="Pas d'UGB",G247,MIN(G247,G258))</f>
        <v>3</v>
      </c>
      <c r="I247" s="1610" t="n">
        <f aca="false">IF(H247&lt;0,0,MIN(6,H247))</f>
        <v>3</v>
      </c>
      <c r="J247" s="646"/>
      <c r="K247" s="1583"/>
      <c r="Q247" s="646"/>
      <c r="R247" s="646"/>
      <c r="S247" s="646"/>
      <c r="T247" s="646"/>
    </row>
    <row r="248" ht="12.95" customHeight="1">
      <c r="A248" s="1579"/>
      <c r="B248" s="646"/>
      <c r="C248" s="1459" t="s">
        <v>3022</v>
      </c>
      <c r="D248" s="1459"/>
      <c r="E248" s="1459"/>
      <c r="F248" s="1459"/>
      <c r="G248" s="1453"/>
      <c r="H248" s="1585"/>
      <c r="I248" s="1610"/>
      <c r="J248" s="646"/>
      <c r="K248" s="1583"/>
      <c r="N248" s="1165" t="s">
        <v>3023</v>
      </c>
      <c r="O248" s="1165" t="n">
        <v>1</v>
      </c>
      <c r="P248" s="1165" t="n">
        <v>2</v>
      </c>
      <c r="Q248" s="1165" t="n">
        <v>4</v>
      </c>
      <c r="R248" s="1165" t="n">
        <v>6</v>
      </c>
      <c r="S248" s="1165" t="n">
        <v>10</v>
      </c>
      <c r="T248" s="1165" t="n">
        <v>15</v>
      </c>
      <c r="U248" s="1380"/>
    </row>
    <row r="249" ht="12.95" customHeight="1">
      <c r="A249" s="1579"/>
      <c r="B249" s="646"/>
      <c r="C249" s="1473"/>
      <c r="D249" s="1460"/>
      <c r="E249" s="1460" t="n">
        <f aca="false">'Saisie et Calculateur'!D817</f>
        <v>4.17</v>
      </c>
      <c r="F249" s="1460" t="n">
        <f aca="false">IF(E249&lt;O248,O249,IF(E249&lt;=P248,P249,IF(E249&lt;=Q248,Q249,IF(E249&lt;=R248,R249,IF(E249&lt;=S248,S249,IF(E249&lt;=T248,T249,U249))))))</f>
        <v>3</v>
      </c>
      <c r="G249" s="1453"/>
      <c r="H249" s="1585"/>
      <c r="I249" s="1610"/>
      <c r="J249" s="646"/>
      <c r="K249" s="1583"/>
      <c r="N249" s="1165" t="s">
        <v>2855</v>
      </c>
      <c r="O249" s="1165" t="n">
        <v>6</v>
      </c>
      <c r="P249" s="1165" t="n">
        <v>5</v>
      </c>
      <c r="Q249" s="1165" t="n">
        <v>4</v>
      </c>
      <c r="R249" s="1165" t="n">
        <v>3</v>
      </c>
      <c r="S249" s="1165" t="n">
        <v>2</v>
      </c>
      <c r="T249" s="1165" t="n">
        <v>1</v>
      </c>
      <c r="U249" s="1483" t="n">
        <v>0</v>
      </c>
    </row>
    <row r="250" ht="12.95" customHeight="1">
      <c r="A250" s="1579"/>
      <c r="B250" s="646"/>
      <c r="C250" s="1473" t="s">
        <v>3024</v>
      </c>
      <c r="D250" s="1473"/>
      <c r="E250" s="1473"/>
      <c r="F250" s="1473"/>
      <c r="G250" s="1453"/>
      <c r="H250" s="1585"/>
      <c r="I250" s="1610"/>
      <c r="J250" s="646"/>
      <c r="K250" s="1583"/>
      <c r="U250" s="646"/>
    </row>
    <row r="251" ht="12.95" customHeight="1">
      <c r="A251" s="1579"/>
      <c r="B251" s="646"/>
      <c r="C251" s="1611"/>
      <c r="D251" s="1128"/>
      <c r="E251" s="1128"/>
      <c r="F251" s="1523" t="n">
        <f aca="false">IF('Saisie et Calculateur'!F819="oui",-1,0)</f>
        <v>-1</v>
      </c>
      <c r="G251" s="1453"/>
      <c r="H251" s="1585"/>
      <c r="I251" s="1610"/>
      <c r="J251" s="646"/>
      <c r="K251" s="1583"/>
    </row>
    <row r="252" ht="12.95" customHeight="1">
      <c r="A252" s="1579"/>
      <c r="B252" s="646"/>
      <c r="C252" s="1611" t="s">
        <v>3025</v>
      </c>
      <c r="D252" s="1128"/>
      <c r="E252" s="1128"/>
      <c r="F252" s="1523" t="n">
        <f aca="false">IF(SUM(F253:F256)&gt;2,1,0)</f>
        <v>1</v>
      </c>
      <c r="G252" s="1453"/>
      <c r="H252" s="1585"/>
      <c r="I252" s="1610"/>
      <c r="J252" s="646"/>
      <c r="K252" s="1583"/>
    </row>
    <row r="253" ht="12.95" customHeight="1">
      <c r="A253" s="1579"/>
      <c r="B253" s="646"/>
      <c r="C253" s="1612" t="s">
        <v>3026</v>
      </c>
      <c r="D253" s="1612"/>
      <c r="E253" s="1529" t="str">
        <f aca="false">'Saisie et Calculateur'!E823</f>
        <v>oui</v>
      </c>
      <c r="F253" s="1485" t="n">
        <f aca="false">IF(E253="oui",1,0)</f>
        <v>1</v>
      </c>
      <c r="G253" s="1453"/>
      <c r="H253" s="1585"/>
      <c r="I253" s="1610"/>
      <c r="J253" s="646"/>
      <c r="K253" s="1583"/>
    </row>
    <row r="254" ht="12.95" customHeight="1">
      <c r="A254" s="1579"/>
      <c r="B254" s="646"/>
      <c r="C254" s="1612" t="s">
        <v>3027</v>
      </c>
      <c r="D254" s="1612"/>
      <c r="E254" s="1529" t="str">
        <f aca="false">'Saisie et Calculateur'!E824</f>
        <v>oui</v>
      </c>
      <c r="F254" s="1485" t="n">
        <f aca="false">IF(E254="oui",1,0)</f>
        <v>1</v>
      </c>
      <c r="G254" s="1453"/>
      <c r="H254" s="1585"/>
      <c r="I254" s="1610"/>
      <c r="J254" s="646"/>
      <c r="K254" s="1583"/>
    </row>
    <row r="255" ht="12.95" customHeight="1">
      <c r="A255" s="1579"/>
      <c r="B255" s="646"/>
      <c r="C255" s="1612" t="s">
        <v>3028</v>
      </c>
      <c r="D255" s="1612"/>
      <c r="E255" s="1529" t="str">
        <f aca="false">'Saisie et Calculateur'!E825</f>
        <v>oui</v>
      </c>
      <c r="F255" s="1485" t="n">
        <f aca="false">IF(E255="oui",1,0)</f>
        <v>1</v>
      </c>
      <c r="G255" s="1453"/>
      <c r="H255" s="1585"/>
      <c r="I255" s="1610"/>
      <c r="J255" s="646"/>
      <c r="K255" s="1583"/>
    </row>
    <row r="256" ht="12.95" customHeight="1">
      <c r="A256" s="1579"/>
      <c r="B256" s="646"/>
      <c r="C256" s="1612" t="s">
        <v>3029</v>
      </c>
      <c r="D256" s="1612"/>
      <c r="E256" s="1529" t="str">
        <f aca="false">'Saisie et Calculateur'!E826</f>
        <v>oui</v>
      </c>
      <c r="F256" s="1485" t="n">
        <f aca="false">IF(E256="oui",1,0)</f>
        <v>1</v>
      </c>
      <c r="G256" s="1453"/>
      <c r="H256" s="1585"/>
      <c r="I256" s="1610"/>
      <c r="J256" s="646"/>
      <c r="K256" s="1583"/>
    </row>
    <row r="257" ht="12.95" customHeight="1">
      <c r="A257" s="1579"/>
      <c r="B257" s="646"/>
      <c r="C257" s="1611"/>
      <c r="D257" s="1128"/>
      <c r="E257" s="1128"/>
      <c r="F257" s="1523"/>
      <c r="G257" s="1613"/>
      <c r="H257" s="1585"/>
      <c r="I257" s="1610"/>
      <c r="J257" s="646"/>
      <c r="K257" s="1583"/>
    </row>
    <row r="258" ht="12.95" customHeight="1">
      <c r="A258" s="1579"/>
      <c r="B258" s="646"/>
      <c r="C258" s="1614" t="s">
        <v>3030</v>
      </c>
      <c r="D258" s="1128"/>
      <c r="E258" s="1128"/>
      <c r="F258" s="1128"/>
      <c r="G258" s="1491" t="n">
        <f aca="false">IF(SUM(F260,F261,F264)&lt;0,0,MIN(6,SUM(F260,F261,F264)))</f>
        <v>6</v>
      </c>
      <c r="H258" s="1585"/>
      <c r="I258" s="1610"/>
      <c r="J258" s="646"/>
      <c r="K258" s="1583"/>
    </row>
    <row r="259" ht="12.75" customHeight="1">
      <c r="A259" s="1579"/>
      <c r="B259" s="646"/>
      <c r="C259" s="1459" t="s">
        <v>3031</v>
      </c>
      <c r="D259" s="1459"/>
      <c r="E259" s="1459"/>
      <c r="F259" s="1459"/>
      <c r="G259" s="1491"/>
      <c r="H259" s="1585"/>
      <c r="I259" s="1610"/>
      <c r="J259" s="646"/>
      <c r="K259" s="1583"/>
      <c r="N259" s="1165" t="s">
        <v>3032</v>
      </c>
      <c r="O259" s="1380" t="n">
        <v>0.4</v>
      </c>
      <c r="P259" s="1380" t="n">
        <v>0.8</v>
      </c>
      <c r="Q259" s="1380" t="n">
        <v>1.2</v>
      </c>
      <c r="R259" s="1380" t="n">
        <v>1.6</v>
      </c>
      <c r="S259" s="1380" t="n">
        <v>2</v>
      </c>
      <c r="T259" s="1380"/>
    </row>
    <row r="260" ht="13.5" customHeight="1">
      <c r="A260" s="1579"/>
      <c r="B260" s="646"/>
      <c r="C260" s="1473"/>
      <c r="D260" s="646" t="s">
        <v>3033</v>
      </c>
      <c r="E260" s="1615" t="n">
        <f aca="false">'Saisie et Calculateur'!G831</f>
        <v>0.166666666666667</v>
      </c>
      <c r="F260" s="1486" t="n">
        <f aca="false">IF(E260="Pas d'UGB","XXXX",IF(E260&lt;=O259,O260,IF(E260&lt;=P259,P260,IF(E260&lt;=Q259,Q260,IF(E260&lt;=R259,R260,IF(E260&lt;=S259,S260,T260))))))</f>
        <v>5</v>
      </c>
      <c r="G260" s="1491"/>
      <c r="H260" s="1585"/>
      <c r="I260" s="1610"/>
      <c r="J260" s="646"/>
      <c r="K260" s="1583"/>
      <c r="N260" s="1165" t="s">
        <v>2855</v>
      </c>
      <c r="O260" s="1380" t="n">
        <v>5</v>
      </c>
      <c r="P260" s="1380" t="n">
        <v>4</v>
      </c>
      <c r="Q260" s="1380" t="n">
        <v>3</v>
      </c>
      <c r="R260" s="1380" t="n">
        <v>2</v>
      </c>
      <c r="S260" s="1380" t="n">
        <v>1</v>
      </c>
      <c r="T260" s="1380" t="n">
        <v>0</v>
      </c>
    </row>
    <row r="261" ht="14.1" customHeight="1">
      <c r="A261" s="1579"/>
      <c r="B261" s="646"/>
      <c r="C261" s="1459" t="s">
        <v>3034</v>
      </c>
      <c r="D261" s="1459"/>
      <c r="E261" s="1459"/>
      <c r="F261" s="584" t="n">
        <f aca="false">MIN(1,SUM(E262:E263))</f>
        <v>1</v>
      </c>
      <c r="G261" s="1491"/>
      <c r="H261" s="1585"/>
      <c r="I261" s="1610"/>
      <c r="J261" s="646"/>
      <c r="K261" s="1583"/>
    </row>
    <row r="262" ht="14.1" customHeight="1">
      <c r="A262" s="1579"/>
      <c r="B262" s="646"/>
      <c r="C262" s="1473"/>
      <c r="D262" s="748" t="s">
        <v>3035</v>
      </c>
      <c r="E262" s="1192" t="n">
        <f aca="false">IF('Saisie et Calculateur'!F833="oui",1,0)</f>
        <v>0</v>
      </c>
      <c r="F262" s="646"/>
      <c r="G262" s="1491"/>
      <c r="H262" s="1585"/>
      <c r="I262" s="1610"/>
      <c r="J262" s="646"/>
      <c r="K262" s="1583"/>
    </row>
    <row r="263" ht="14.1" customHeight="1">
      <c r="A263" s="1579"/>
      <c r="B263" s="646"/>
      <c r="C263" s="1473"/>
      <c r="D263" s="748" t="s">
        <v>3036</v>
      </c>
      <c r="E263" s="1192" t="n">
        <f aca="false">IF('Saisie et Calculateur'!F834="oui",1,0)</f>
        <v>1</v>
      </c>
      <c r="F263" s="646"/>
      <c r="G263" s="1491"/>
      <c r="H263" s="1585"/>
      <c r="I263" s="1610"/>
      <c r="J263" s="646"/>
      <c r="K263" s="1583"/>
    </row>
    <row r="264" ht="12.95" customHeight="1">
      <c r="A264" s="1579"/>
      <c r="B264" s="646"/>
      <c r="C264" s="1459" t="s">
        <v>3037</v>
      </c>
      <c r="D264" s="1459"/>
      <c r="E264" s="1459"/>
      <c r="F264" s="646" t="n">
        <f aca="false">SUM(F266:F267)</f>
        <v>0</v>
      </c>
      <c r="G264" s="1491"/>
      <c r="H264" s="1585"/>
      <c r="I264" s="1610"/>
      <c r="J264" s="646"/>
      <c r="K264" s="1583"/>
    </row>
    <row r="265" ht="12.95" customHeight="1">
      <c r="A265" s="1579"/>
      <c r="B265" s="646"/>
      <c r="C265" s="1473"/>
      <c r="D265" s="1460" t="s">
        <v>3038</v>
      </c>
      <c r="E265" s="1460"/>
      <c r="F265" s="748"/>
      <c r="G265" s="1491"/>
      <c r="H265" s="1585"/>
      <c r="I265" s="1610"/>
      <c r="J265" s="646"/>
      <c r="K265" s="1583"/>
    </row>
    <row r="266" ht="12.95" customHeight="1">
      <c r="A266" s="1579"/>
      <c r="B266" s="646"/>
      <c r="C266" s="1473"/>
      <c r="D266" s="1460"/>
      <c r="E266" s="1460"/>
      <c r="F266" s="634" t="n">
        <f aca="false">IF('Saisie et Calculateur'!F836="oui",-1,0)</f>
        <v>0</v>
      </c>
      <c r="G266" s="1491"/>
      <c r="H266" s="1585"/>
      <c r="I266" s="1610"/>
      <c r="J266" s="646"/>
      <c r="K266" s="1583"/>
    </row>
    <row r="267" ht="12.95" customHeight="1">
      <c r="A267" s="1579"/>
      <c r="B267" s="646"/>
      <c r="C267" s="1504"/>
      <c r="D267" s="1578" t="s">
        <v>3039</v>
      </c>
      <c r="E267" s="1578"/>
      <c r="F267" s="1616" t="n">
        <f aca="false">IF('Saisie et Calculateur'!F837="oui",-1,0)</f>
        <v>0</v>
      </c>
      <c r="G267" s="1491"/>
      <c r="H267" s="1585"/>
      <c r="I267" s="1610"/>
      <c r="J267" s="646"/>
      <c r="K267" s="1583"/>
    </row>
    <row r="268" ht="12.95" customHeight="1">
      <c r="A268" s="1579"/>
      <c r="B268" s="1617"/>
      <c r="C268" s="1618"/>
      <c r="D268" s="1618"/>
      <c r="E268" s="1618"/>
      <c r="F268" s="1618"/>
      <c r="G268" s="1617"/>
      <c r="H268" s="1617"/>
      <c r="I268" s="1617"/>
      <c r="J268" s="1617"/>
      <c r="K268" s="1583"/>
    </row>
    <row r="269" ht="13.5" customHeight="1"/>
    <row r="270" ht="34.5" customHeight="1">
      <c r="A270" s="1619" t="s">
        <v>3040</v>
      </c>
      <c r="B270" s="1619"/>
      <c r="C270" s="1619"/>
      <c r="D270" s="1619"/>
      <c r="E270" s="1619"/>
      <c r="F270" s="1619"/>
      <c r="G270" s="1619"/>
      <c r="H270" s="1619"/>
      <c r="I270" s="1619"/>
      <c r="J270" s="1619"/>
      <c r="K270" s="1620" t="n">
        <f aca="false">SUM(K3,K97,K151,K129,K206)</f>
        <v>52</v>
      </c>
    </row>
  </sheetData>
  <mergeCells count="278">
    <mergeCell ref="A1:K1"/>
    <mergeCell ref="A3:A95"/>
    <mergeCell ref="C3:H3"/>
    <mergeCell ref="K3:K95"/>
    <mergeCell ref="C5:G5"/>
    <mergeCell ref="C6:F6"/>
    <mergeCell ref="G6:G14"/>
    <mergeCell ref="H6:H16"/>
    <mergeCell ref="I6:I16"/>
    <mergeCell ref="D7:F7"/>
    <mergeCell ref="D9:E9"/>
    <mergeCell ref="O9:P10"/>
    <mergeCell ref="Q9:Q10"/>
    <mergeCell ref="F11:F13"/>
    <mergeCell ref="O11:P11"/>
    <mergeCell ref="C12:D12"/>
    <mergeCell ref="O12:P12"/>
    <mergeCell ref="D14:E14"/>
    <mergeCell ref="C15:F15"/>
    <mergeCell ref="G15:G16"/>
    <mergeCell ref="C19:H19"/>
    <mergeCell ref="C21:G21"/>
    <mergeCell ref="C22:F22"/>
    <mergeCell ref="G22:G23"/>
    <mergeCell ref="H22:H39"/>
    <mergeCell ref="I22:I39"/>
    <mergeCell ref="C24:F24"/>
    <mergeCell ref="G24:G34"/>
    <mergeCell ref="O24:P24"/>
    <mergeCell ref="O25:P25"/>
    <mergeCell ref="O26:P26"/>
    <mergeCell ref="O27:P27"/>
    <mergeCell ref="C35:F35"/>
    <mergeCell ref="G35:G39"/>
    <mergeCell ref="O38:Q38"/>
    <mergeCell ref="R38:S38"/>
    <mergeCell ref="D39:E39"/>
    <mergeCell ref="O39:Q39"/>
    <mergeCell ref="R39:S39"/>
    <mergeCell ref="C42:H42"/>
    <mergeCell ref="C44:G44"/>
    <mergeCell ref="G45:G49"/>
    <mergeCell ref="H45:H63"/>
    <mergeCell ref="I45:I63"/>
    <mergeCell ref="N49:O49"/>
    <mergeCell ref="Q49:S49"/>
    <mergeCell ref="U49:V49"/>
    <mergeCell ref="C50:F50"/>
    <mergeCell ref="G50:G56"/>
    <mergeCell ref="N50:O50"/>
    <mergeCell ref="Q50:S50"/>
    <mergeCell ref="U50:V50"/>
    <mergeCell ref="D51:F51"/>
    <mergeCell ref="N51:O51"/>
    <mergeCell ref="Q51:S51"/>
    <mergeCell ref="U51:V51"/>
    <mergeCell ref="N52:O52"/>
    <mergeCell ref="Q52:S52"/>
    <mergeCell ref="U52:V52"/>
    <mergeCell ref="D53:F53"/>
    <mergeCell ref="N53:O53"/>
    <mergeCell ref="Q53:S53"/>
    <mergeCell ref="D55:F55"/>
    <mergeCell ref="N55:O55"/>
    <mergeCell ref="R55:S55"/>
    <mergeCell ref="U55:V55"/>
    <mergeCell ref="D56:E56"/>
    <mergeCell ref="N56:O56"/>
    <mergeCell ref="C57:F57"/>
    <mergeCell ref="G57:G63"/>
    <mergeCell ref="N57:O57"/>
    <mergeCell ref="D58:F58"/>
    <mergeCell ref="N58:O58"/>
    <mergeCell ref="D59:E59"/>
    <mergeCell ref="N59:O59"/>
    <mergeCell ref="D60:F60"/>
    <mergeCell ref="D61:E61"/>
    <mergeCell ref="O61:P61"/>
    <mergeCell ref="Q61:R61"/>
    <mergeCell ref="D62:F62"/>
    <mergeCell ref="O62:P62"/>
    <mergeCell ref="Q62:R62"/>
    <mergeCell ref="D63:E63"/>
    <mergeCell ref="O63:P63"/>
    <mergeCell ref="Q63:R63"/>
    <mergeCell ref="C66:H66"/>
    <mergeCell ref="C68:G68"/>
    <mergeCell ref="C69:F69"/>
    <mergeCell ref="G69:G77"/>
    <mergeCell ref="H69:H79"/>
    <mergeCell ref="I69:I79"/>
    <mergeCell ref="D70:F70"/>
    <mergeCell ref="O71:P71"/>
    <mergeCell ref="S71:T71"/>
    <mergeCell ref="O72:P72"/>
    <mergeCell ref="O73:P73"/>
    <mergeCell ref="S73:T73"/>
    <mergeCell ref="O74:P74"/>
    <mergeCell ref="S74:T74"/>
    <mergeCell ref="C78:F78"/>
    <mergeCell ref="G78:G79"/>
    <mergeCell ref="C82:H82"/>
    <mergeCell ref="C84:G84"/>
    <mergeCell ref="H85:H94"/>
    <mergeCell ref="I85:I94"/>
    <mergeCell ref="O85:P85"/>
    <mergeCell ref="Q85:R85"/>
    <mergeCell ref="S85:T85"/>
    <mergeCell ref="U85:V85"/>
    <mergeCell ref="C86:E86"/>
    <mergeCell ref="G86:G87"/>
    <mergeCell ref="O86:P86"/>
    <mergeCell ref="Q86:R86"/>
    <mergeCell ref="S86:T86"/>
    <mergeCell ref="U86:V86"/>
    <mergeCell ref="C87:D87"/>
    <mergeCell ref="E87:F87"/>
    <mergeCell ref="C88:F88"/>
    <mergeCell ref="G88:G92"/>
    <mergeCell ref="D89:F89"/>
    <mergeCell ref="D91:F91"/>
    <mergeCell ref="C93:F93"/>
    <mergeCell ref="G93:G94"/>
    <mergeCell ref="A97:A127"/>
    <mergeCell ref="C97:H97"/>
    <mergeCell ref="K97:K127"/>
    <mergeCell ref="C99:G99"/>
    <mergeCell ref="O99:P99"/>
    <mergeCell ref="Q99:S99"/>
    <mergeCell ref="C100:F100"/>
    <mergeCell ref="G100:G101"/>
    <mergeCell ref="H100:H105"/>
    <mergeCell ref="I100:I105"/>
    <mergeCell ref="O100:P100"/>
    <mergeCell ref="Q100:S100"/>
    <mergeCell ref="G102:G103"/>
    <mergeCell ref="N102:N103"/>
    <mergeCell ref="O102:O103"/>
    <mergeCell ref="G104:G105"/>
    <mergeCell ref="C108:H108"/>
    <mergeCell ref="C110:G110"/>
    <mergeCell ref="C111:D111"/>
    <mergeCell ref="E111:G111"/>
    <mergeCell ref="H111:H115"/>
    <mergeCell ref="I111:I115"/>
    <mergeCell ref="G112:G113"/>
    <mergeCell ref="C114:F114"/>
    <mergeCell ref="G114:G115"/>
    <mergeCell ref="C118:H118"/>
    <mergeCell ref="C120:G120"/>
    <mergeCell ref="C121:F121"/>
    <mergeCell ref="G121:G122"/>
    <mergeCell ref="H121:H124"/>
    <mergeCell ref="I121:I124"/>
    <mergeCell ref="C123:F123"/>
    <mergeCell ref="G123:G124"/>
    <mergeCell ref="A129:A149"/>
    <mergeCell ref="C129:H129"/>
    <mergeCell ref="K129:K149"/>
    <mergeCell ref="C131:G131"/>
    <mergeCell ref="C132:E132"/>
    <mergeCell ref="H132:H134"/>
    <mergeCell ref="I132:I134"/>
    <mergeCell ref="C133:F134"/>
    <mergeCell ref="G133:G134"/>
    <mergeCell ref="C137:H137"/>
    <mergeCell ref="C139:G139"/>
    <mergeCell ref="C140:F140"/>
    <mergeCell ref="G140:G141"/>
    <mergeCell ref="H140:H141"/>
    <mergeCell ref="I140:I141"/>
    <mergeCell ref="C144:H144"/>
    <mergeCell ref="C146:G146"/>
    <mergeCell ref="C147:F147"/>
    <mergeCell ref="G147:G148"/>
    <mergeCell ref="H147:H148"/>
    <mergeCell ref="I147:I148"/>
    <mergeCell ref="A151:A204"/>
    <mergeCell ref="C151:H151"/>
    <mergeCell ref="K151:K204"/>
    <mergeCell ref="C153:G153"/>
    <mergeCell ref="C154:F154"/>
    <mergeCell ref="G154:G158"/>
    <mergeCell ref="H154:H163"/>
    <mergeCell ref="I154:I163"/>
    <mergeCell ref="O154:X154"/>
    <mergeCell ref="O155:X155"/>
    <mergeCell ref="O156:X156"/>
    <mergeCell ref="O157:X157"/>
    <mergeCell ref="O158:X158"/>
    <mergeCell ref="G159:G161"/>
    <mergeCell ref="G162:G163"/>
    <mergeCell ref="C166:H166"/>
    <mergeCell ref="C168:G168"/>
    <mergeCell ref="C169:F169"/>
    <mergeCell ref="G169:G172"/>
    <mergeCell ref="H169:H183"/>
    <mergeCell ref="I169:I183"/>
    <mergeCell ref="C173:F173"/>
    <mergeCell ref="G173:G181"/>
    <mergeCell ref="D174:E174"/>
    <mergeCell ref="D176:E176"/>
    <mergeCell ref="D178:E178"/>
    <mergeCell ref="D180:E180"/>
    <mergeCell ref="C182:F182"/>
    <mergeCell ref="G182:G183"/>
    <mergeCell ref="C186:H186"/>
    <mergeCell ref="C188:G188"/>
    <mergeCell ref="H189:H193"/>
    <mergeCell ref="I189:I193"/>
    <mergeCell ref="O189:P189"/>
    <mergeCell ref="Q189:R189"/>
    <mergeCell ref="S189:T189"/>
    <mergeCell ref="O190:P190"/>
    <mergeCell ref="Q190:R190"/>
    <mergeCell ref="S190:T190"/>
    <mergeCell ref="C191:F191"/>
    <mergeCell ref="G191:G192"/>
    <mergeCell ref="D192:F192"/>
    <mergeCell ref="O192:Q192"/>
    <mergeCell ref="R192:T192"/>
    <mergeCell ref="C193:F193"/>
    <mergeCell ref="C195:H195"/>
    <mergeCell ref="C197:G197"/>
    <mergeCell ref="C198:F198"/>
    <mergeCell ref="G198:G199"/>
    <mergeCell ref="H198:H203"/>
    <mergeCell ref="I198:I203"/>
    <mergeCell ref="N199:N201"/>
    <mergeCell ref="O199:O201"/>
    <mergeCell ref="P199:P201"/>
    <mergeCell ref="Q199:Q201"/>
    <mergeCell ref="C200:F200"/>
    <mergeCell ref="G200:G201"/>
    <mergeCell ref="C202:F202"/>
    <mergeCell ref="G202:G203"/>
    <mergeCell ref="A206:A268"/>
    <mergeCell ref="C206:H206"/>
    <mergeCell ref="K206:K268"/>
    <mergeCell ref="C208:G208"/>
    <mergeCell ref="C209:F209"/>
    <mergeCell ref="G209:G215"/>
    <mergeCell ref="H209:H223"/>
    <mergeCell ref="I209:I223"/>
    <mergeCell ref="F212:F215"/>
    <mergeCell ref="C216:F216"/>
    <mergeCell ref="G216:G218"/>
    <mergeCell ref="C219:F219"/>
    <mergeCell ref="G219:G223"/>
    <mergeCell ref="C226:H226"/>
    <mergeCell ref="C228:G228"/>
    <mergeCell ref="C229:F229"/>
    <mergeCell ref="G229:G233"/>
    <mergeCell ref="H229:H234"/>
    <mergeCell ref="I229:I234"/>
    <mergeCell ref="C237:H237"/>
    <mergeCell ref="C239:G239"/>
    <mergeCell ref="C240:E240"/>
    <mergeCell ref="H240:H241"/>
    <mergeCell ref="I240:I241"/>
    <mergeCell ref="C244:H244"/>
    <mergeCell ref="C246:G246"/>
    <mergeCell ref="G247:G256"/>
    <mergeCell ref="H247:H267"/>
    <mergeCell ref="I247:I267"/>
    <mergeCell ref="C248:F248"/>
    <mergeCell ref="C250:F250"/>
    <mergeCell ref="C253:D253"/>
    <mergeCell ref="C254:D254"/>
    <mergeCell ref="C255:D255"/>
    <mergeCell ref="C256:D256"/>
    <mergeCell ref="G258:G267"/>
    <mergeCell ref="C259:F259"/>
    <mergeCell ref="C261:E261"/>
    <mergeCell ref="C264:E264"/>
    <mergeCell ref="D265:E266"/>
    <mergeCell ref="D267:E267"/>
    <mergeCell ref="A270:J270"/>
  </mergeCells>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tabColor rgb="FF33CCCC"/>
      <pageSetUpPr fitToPage="false"/>
    </sheetPr>
  </sheetPr>
  <dimension ref="A1"/>
  <sheetViews>
    <sheetView showFormulas="false" showGridLines="true" showRowColHeaders="true" showZeros="true" rightToLeft="false" tabSelected="0" showOutlineSymbols="true" defaultGridColor="true" view="normal" topLeftCell="A271" colorId="64" zoomScale="100" zoomScaleNormal="100" zoomScalePageLayoutView="100" workbookViewId="0">
      <selection pane="topLeft" activeCell="G279" activeCellId="0" sqref="G279"/>
    </sheetView>
  </sheetViews>
  <sheetFormatPr defaultRowHeight="15.0" baseColWidth="10" outlineLevelCol="1"/>
  <cols>
    <col min="1" max="1" width="10.69" hidden="false" outlineLevel="1" customWidth="1"/>
    <col min="2" max="2" width="5.28" hidden="false" outlineLevel="1" customWidth="1"/>
    <col min="3" max="3" width="20.54" hidden="false" outlineLevel="1" customWidth="1"/>
    <col min="4" max="4" width="16.4" hidden="false" outlineLevel="1" customWidth="1"/>
    <col min="5" max="5" width="13.28" hidden="false" outlineLevel="1" customWidth="1"/>
    <col min="6" max="6" width="7.98" hidden="false" outlineLevel="1" customWidth="1"/>
    <col min="7" max="7" width="8.98" hidden="false" outlineLevel="1" customWidth="1"/>
    <col min="8" max="8" width="10.69" hidden="false" outlineLevel="1" customWidth="1"/>
    <col min="9" max="9" width="10.69" hidden="false" outlineLevel="1" customWidth="1"/>
    <col min="10" max="10" width="5.13" hidden="false" outlineLevel="1" customWidth="1"/>
    <col min="11" max="11" width="16.97" hidden="false" outlineLevel="1" customWidth="1"/>
    <col min="12" max="12" width="10.69" hidden="false" outlineLevel="1" customWidth="1"/>
    <col min="13" max="13" width="17.83" hidden="false" outlineLevel="1" customWidth="1"/>
    <col min="14" max="14" width="11.12" hidden="false" outlineLevel="1" customWidth="1"/>
    <col min="15" max="15" width="10.69" hidden="false" outlineLevel="1" customWidth="1"/>
    <col min="16" max="16" width="12.69" hidden="false" outlineLevel="1" customWidth="1"/>
    <col min="17" max="17" width="10.69" hidden="false" outlineLevel="1" customWidth="1"/>
    <col min="18" max="18" width="10.69" hidden="false" outlineLevel="1" customWidth="1"/>
    <col min="19" max="19" width="10.69" hidden="false" outlineLevel="1" customWidth="1"/>
    <col min="20" max="20" width="10.69" hidden="false" outlineLevel="1" customWidth="1"/>
    <col min="21" max="21" width="10.69" hidden="false" outlineLevel="1" customWidth="1"/>
    <col min="22" max="22" width="10.69" hidden="false" outlineLevel="1" customWidth="1"/>
    <col min="23" max="23" width="10.69" hidden="false" outlineLevel="1" customWidth="1"/>
    <col min="24" max="24" width="10.69" hidden="false" outlineLevel="1" customWidth="1"/>
    <col min="25" max="25" width="10.69" hidden="false" outlineLevel="1" customWidth="1"/>
    <col min="26" max="26" width="10.69" hidden="false" outlineLevel="1" customWidth="1"/>
    <col min="27" max="27" width="10.69" hidden="false" outlineLevel="1" customWidth="1"/>
    <col min="28" max="28" width="10.69" hidden="false" outlineLevel="1" customWidth="1"/>
    <col min="29" max="29" width="10.69" hidden="false" outlineLevel="1" customWidth="1"/>
    <col min="30" max="30" width="10.69" hidden="false" outlineLevel="1" customWidth="1"/>
    <col min="31" max="31" width="10.69" hidden="false" outlineLevel="1" customWidth="1"/>
    <col min="32" max="32" width="10.69" hidden="false" outlineLevel="1" customWidth="1"/>
    <col min="33" max="33" width="10.69" hidden="false" outlineLevel="1" customWidth="1"/>
    <col min="34" max="34" width="10.69" hidden="false" outlineLevel="1" customWidth="1"/>
    <col min="35" max="35" width="10.69" hidden="false" outlineLevel="1" customWidth="1"/>
    <col min="36" max="36" width="10.69" hidden="false" outlineLevel="1" customWidth="1"/>
    <col min="37" max="37" width="10.69" hidden="false" outlineLevel="1" customWidth="1"/>
    <col min="38" max="38" width="10.69" hidden="false" outlineLevel="1" customWidth="1"/>
    <col min="39" max="39" width="10.69" hidden="false" outlineLevel="1" customWidth="1"/>
    <col min="40" max="40" width="10.69" hidden="false" outlineLevel="1" customWidth="1"/>
    <col min="41" max="41" width="10.69" hidden="false" outlineLevel="1" customWidth="1"/>
    <col min="42" max="42" width="10.69" hidden="false" outlineLevel="1" customWidth="1"/>
    <col min="43" max="43" width="10.69" hidden="false" outlineLevel="1" customWidth="1"/>
    <col min="44" max="44" width="10.69" hidden="false" outlineLevel="1" customWidth="1"/>
    <col min="45" max="45" width="10.69" hidden="false" outlineLevel="1" customWidth="1"/>
    <col min="46" max="46" width="10.69" hidden="false" outlineLevel="1" customWidth="1"/>
    <col min="47" max="47" width="10.69" hidden="false" outlineLevel="1" customWidth="1"/>
    <col min="48" max="48" width="10.69" hidden="false" outlineLevel="1" customWidth="1"/>
    <col min="49" max="49" width="10.69" hidden="false" outlineLevel="1" customWidth="1"/>
    <col min="50" max="50" width="10.69" hidden="false" outlineLevel="1" customWidth="1"/>
    <col min="51" max="51" width="10.69" hidden="false" outlineLevel="1" customWidth="1"/>
    <col min="52" max="52" width="10.69" hidden="false" outlineLevel="1" customWidth="1"/>
    <col min="53" max="53" width="10.69" hidden="false" outlineLevel="1" customWidth="1"/>
    <col min="54" max="54" width="10.69" hidden="false" outlineLevel="1" customWidth="1"/>
    <col min="55" max="55" width="10.69" hidden="false" outlineLevel="1" customWidth="1"/>
    <col min="56" max="56" width="10.69" hidden="false" outlineLevel="1" customWidth="1"/>
    <col min="57" max="57" width="10.69" hidden="false" outlineLevel="1" customWidth="1"/>
    <col min="58" max="58" width="10.69" hidden="false" outlineLevel="1" customWidth="1"/>
    <col min="59" max="59" width="10.69" hidden="false" outlineLevel="1" customWidth="1"/>
    <col min="60" max="60" width="10.69" hidden="false" outlineLevel="1" customWidth="1"/>
    <col min="61" max="61" width="10.69" hidden="false" outlineLevel="1" customWidth="1"/>
    <col min="62" max="62" width="10.69" hidden="false" outlineLevel="1" customWidth="1"/>
    <col min="63" max="63" width="10.69" hidden="false" outlineLevel="1" customWidth="1"/>
    <col min="64" max="64" width="10.69" hidden="false" outlineLevel="1" customWidth="1"/>
    <col min="65" max="65" width="10.69" hidden="false" outlineLevel="1" customWidth="1"/>
    <col min="66" max="66" width="10.69" hidden="false" outlineLevel="1" customWidth="1"/>
    <col min="67" max="67" width="10.69" hidden="false" outlineLevel="1" customWidth="1"/>
    <col min="68" max="68" width="10.69" hidden="false" outlineLevel="1" customWidth="1"/>
    <col min="69" max="69" width="10.69" hidden="false" outlineLevel="1" customWidth="1"/>
    <col min="70" max="70" width="10.69" hidden="false" outlineLevel="1" customWidth="1"/>
    <col min="71" max="71" width="10.69" hidden="false" outlineLevel="1" customWidth="1"/>
    <col min="72" max="72" width="10.69" hidden="false" outlineLevel="1" customWidth="1"/>
    <col min="73" max="73" width="10.69" hidden="false" outlineLevel="1" customWidth="1"/>
    <col min="74" max="74" width="10.69" hidden="false" outlineLevel="1" customWidth="1"/>
    <col min="75" max="75" width="10.69" hidden="false" outlineLevel="1" customWidth="1"/>
    <col min="76" max="76" width="10.69" hidden="false" outlineLevel="1" customWidth="1"/>
    <col min="77" max="77" width="10.69" hidden="false" outlineLevel="1" customWidth="1"/>
    <col min="78" max="78" width="10.69" hidden="false" outlineLevel="1" customWidth="1"/>
    <col min="79" max="79" width="10.69" hidden="false" outlineLevel="1" customWidth="1"/>
    <col min="80" max="80" width="10.69" hidden="false" outlineLevel="1" customWidth="1"/>
    <col min="81" max="81" width="10.69" hidden="false" outlineLevel="1" customWidth="1"/>
    <col min="82" max="82" width="10.69" hidden="false" outlineLevel="1" customWidth="1"/>
    <col min="83" max="83" width="10.69" hidden="false" outlineLevel="1" customWidth="1"/>
    <col min="84" max="84" width="10.69" hidden="false" outlineLevel="1" customWidth="1"/>
    <col min="85" max="85" width="10.69" hidden="false" outlineLevel="1" customWidth="1"/>
    <col min="86" max="86" width="10.69" hidden="false" outlineLevel="1" customWidth="1"/>
    <col min="87" max="87" width="10.69" hidden="false" outlineLevel="1" customWidth="1"/>
    <col min="88" max="88" width="10.69" hidden="false" outlineLevel="1" customWidth="1"/>
    <col min="89" max="89" width="10.69" hidden="false" outlineLevel="1" customWidth="1"/>
    <col min="90" max="90" width="10.69" hidden="false" outlineLevel="1" customWidth="1"/>
    <col min="91" max="91" width="10.69" hidden="false" outlineLevel="1" customWidth="1"/>
    <col min="92" max="92" width="10.69" hidden="false" outlineLevel="1" customWidth="1"/>
    <col min="93" max="93" width="10.69" hidden="false" outlineLevel="1" customWidth="1"/>
    <col min="94" max="94" width="10.69" hidden="false" outlineLevel="1" customWidth="1"/>
    <col min="95" max="95" width="10.69" hidden="false" outlineLevel="1" customWidth="1"/>
    <col min="96" max="96" width="10.69" hidden="false" outlineLevel="1" customWidth="1"/>
    <col min="97" max="97" width="10.69" hidden="false" outlineLevel="1" customWidth="1"/>
    <col min="98" max="98" width="10.69" hidden="false" outlineLevel="1" customWidth="1"/>
    <col min="99" max="99" width="10.69" hidden="false" outlineLevel="1" customWidth="1"/>
    <col min="100" max="100" width="10.69" hidden="false" outlineLevel="1" customWidth="1"/>
    <col min="101" max="101" width="10.69" hidden="false" outlineLevel="1" customWidth="1"/>
    <col min="102" max="102" width="10.69" hidden="false" outlineLevel="1" customWidth="1"/>
    <col min="103" max="103" width="10.69" hidden="false" outlineLevel="1" customWidth="1"/>
    <col min="104" max="104" width="10.69" hidden="false" outlineLevel="1" customWidth="1"/>
    <col min="105" max="105" width="10.69" hidden="false" outlineLevel="1" customWidth="1"/>
    <col min="106" max="106" width="10.69" hidden="false" outlineLevel="1" customWidth="1"/>
    <col min="107" max="107" width="10.69" hidden="false" outlineLevel="1" customWidth="1"/>
    <col min="108" max="108" width="10.69" hidden="false" outlineLevel="1" customWidth="1"/>
    <col min="109" max="109" width="10.69" hidden="false" outlineLevel="1" customWidth="1"/>
    <col min="110" max="110" width="10.69" hidden="false" outlineLevel="1" customWidth="1"/>
    <col min="111" max="111" width="10.69" hidden="false" outlineLevel="1" customWidth="1"/>
    <col min="112" max="112" width="10.69" hidden="false" outlineLevel="1" customWidth="1"/>
    <col min="113" max="113" width="10.69" hidden="false" outlineLevel="1" customWidth="1"/>
    <col min="114" max="114" width="10.69" hidden="false" outlineLevel="1" customWidth="1"/>
    <col min="115" max="115" width="10.69" hidden="false" outlineLevel="1" customWidth="1"/>
    <col min="116" max="116" width="10.69" hidden="false" outlineLevel="1" customWidth="1"/>
    <col min="117" max="117" width="10.69" hidden="false" outlineLevel="1" customWidth="1"/>
    <col min="118" max="118" width="10.69" hidden="false" outlineLevel="1" customWidth="1"/>
    <col min="119" max="119" width="10.69" hidden="false" outlineLevel="1" customWidth="1"/>
    <col min="120" max="120" width="10.69" hidden="false" outlineLevel="1" customWidth="1"/>
    <col min="121" max="121" width="10.69" hidden="false" outlineLevel="1" customWidth="1"/>
    <col min="122" max="122" width="10.69" hidden="false" outlineLevel="1" customWidth="1"/>
    <col min="123" max="123" width="10.69" hidden="false" outlineLevel="1" customWidth="1"/>
    <col min="124" max="124" width="10.69" hidden="false" outlineLevel="1" customWidth="1"/>
    <col min="125" max="125" width="10.69" hidden="false" outlineLevel="1" customWidth="1"/>
    <col min="126" max="126" width="10.69" hidden="false" outlineLevel="1" customWidth="1"/>
    <col min="127" max="127" width="10.69" hidden="false" outlineLevel="1" customWidth="1"/>
    <col min="128" max="128" width="10.69" hidden="false" outlineLevel="1" customWidth="1"/>
    <col min="129" max="129" width="10.69" hidden="false" outlineLevel="1" customWidth="1"/>
    <col min="130" max="130" width="10.69" hidden="false" outlineLevel="1" customWidth="1"/>
    <col min="131" max="131" width="10.69" hidden="false" outlineLevel="1" customWidth="1"/>
    <col min="132" max="132" width="10.69" hidden="false" outlineLevel="1" customWidth="1"/>
    <col min="133" max="133" width="10.69" hidden="false" outlineLevel="1" customWidth="1"/>
    <col min="134" max="134" width="10.69" hidden="false" outlineLevel="1" customWidth="1"/>
    <col min="135" max="135" width="10.69" hidden="false" outlineLevel="1" customWidth="1"/>
    <col min="136" max="136" width="10.69" hidden="false" outlineLevel="1" customWidth="1"/>
    <col min="137" max="137" width="10.69" hidden="false" outlineLevel="1" customWidth="1"/>
    <col min="138" max="138" width="10.69" hidden="false" outlineLevel="1" customWidth="1"/>
    <col min="139" max="139" width="10.69" hidden="false" outlineLevel="1" customWidth="1"/>
    <col min="140" max="140" width="10.69" hidden="false" outlineLevel="1" customWidth="1"/>
    <col min="141" max="141" width="10.69" hidden="false" outlineLevel="1" customWidth="1"/>
    <col min="142" max="142" width="10.69" hidden="false" outlineLevel="1" customWidth="1"/>
    <col min="143" max="143" width="10.69" hidden="false" outlineLevel="1" customWidth="1"/>
    <col min="144" max="144" width="10.69" hidden="false" outlineLevel="1" customWidth="1"/>
    <col min="145" max="145" width="10.69" hidden="false" outlineLevel="1" customWidth="1"/>
    <col min="146" max="146" width="10.69" hidden="false" outlineLevel="1" customWidth="1"/>
    <col min="147" max="147" width="10.69" hidden="false" outlineLevel="1" customWidth="1"/>
    <col min="148" max="148" width="10.69" hidden="false" outlineLevel="1" customWidth="1"/>
    <col min="149" max="149" width="10.69" hidden="false" outlineLevel="1" customWidth="1"/>
    <col min="150" max="150" width="10.69" hidden="false" outlineLevel="1" customWidth="1"/>
    <col min="151" max="151" width="10.69" hidden="false" outlineLevel="1" customWidth="1"/>
    <col min="152" max="152" width="10.69" hidden="false" outlineLevel="1" customWidth="1"/>
    <col min="153" max="153" width="10.69" hidden="false" outlineLevel="1" customWidth="1"/>
    <col min="154" max="154" width="10.69" hidden="false" outlineLevel="1" customWidth="1"/>
    <col min="155" max="155" width="10.69" hidden="false" outlineLevel="1" customWidth="1"/>
    <col min="156" max="156" width="10.69" hidden="false" outlineLevel="1" customWidth="1"/>
    <col min="157" max="157" width="10.69" hidden="false" outlineLevel="1" customWidth="1"/>
    <col min="158" max="158" width="10.69" hidden="false" outlineLevel="1" customWidth="1"/>
    <col min="159" max="159" width="10.69" hidden="false" outlineLevel="1" customWidth="1"/>
    <col min="160" max="160" width="10.69" hidden="false" outlineLevel="1" customWidth="1"/>
    <col min="161" max="161" width="10.69" hidden="false" outlineLevel="1" customWidth="1"/>
    <col min="162" max="162" width="10.69" hidden="false" outlineLevel="1" customWidth="1"/>
    <col min="163" max="163" width="10.69" hidden="false" outlineLevel="1" customWidth="1"/>
    <col min="164" max="164" width="10.69" hidden="false" outlineLevel="1" customWidth="1"/>
    <col min="165" max="165" width="10.69" hidden="false" outlineLevel="1" customWidth="1"/>
    <col min="166" max="166" width="10.69" hidden="false" outlineLevel="1" customWidth="1"/>
    <col min="167" max="167" width="10.69" hidden="false" outlineLevel="1" customWidth="1"/>
    <col min="168" max="168" width="10.69" hidden="false" outlineLevel="1" customWidth="1"/>
    <col min="169" max="169" width="10.69" hidden="false" outlineLevel="1" customWidth="1"/>
    <col min="170" max="170" width="10.69" hidden="false" outlineLevel="1" customWidth="1"/>
    <col min="171" max="171" width="10.69" hidden="false" outlineLevel="1" customWidth="1"/>
    <col min="172" max="172" width="10.69" hidden="false" outlineLevel="1" customWidth="1"/>
    <col min="173" max="173" width="10.69" hidden="false" outlineLevel="1" customWidth="1"/>
    <col min="174" max="174" width="10.69" hidden="false" outlineLevel="1" customWidth="1"/>
    <col min="175" max="175" width="10.69" hidden="false" outlineLevel="1" customWidth="1"/>
    <col min="176" max="176" width="10.69" hidden="false" outlineLevel="1" customWidth="1"/>
    <col min="177" max="177" width="10.69" hidden="false" outlineLevel="1" customWidth="1"/>
    <col min="178" max="178" width="10.69" hidden="false" outlineLevel="1" customWidth="1"/>
    <col min="179" max="179" width="10.69" hidden="false" outlineLevel="1" customWidth="1"/>
    <col min="180" max="180" width="10.69" hidden="false" outlineLevel="1" customWidth="1"/>
    <col min="181" max="181" width="10.69" hidden="false" outlineLevel="1" customWidth="1"/>
    <col min="182" max="182" width="10.69" hidden="false" outlineLevel="1" customWidth="1"/>
    <col min="183" max="183" width="10.69" hidden="false" outlineLevel="1" customWidth="1"/>
    <col min="184" max="184" width="10.69" hidden="false" outlineLevel="1" customWidth="1"/>
    <col min="185" max="185" width="10.69" hidden="false" outlineLevel="1" customWidth="1"/>
    <col min="186" max="186" width="10.69" hidden="false" outlineLevel="1" customWidth="1"/>
    <col min="187" max="187" width="10.69" hidden="false" outlineLevel="1" customWidth="1"/>
    <col min="188" max="188" width="10.69" hidden="false" outlineLevel="1" customWidth="1"/>
    <col min="189" max="189" width="10.69" hidden="false" outlineLevel="1" customWidth="1"/>
    <col min="190" max="190" width="10.69" hidden="false" outlineLevel="1" customWidth="1"/>
    <col min="191" max="191" width="10.69" hidden="false" outlineLevel="1" customWidth="1"/>
    <col min="192" max="192" width="10.69" hidden="false" outlineLevel="1" customWidth="1"/>
    <col min="193" max="193" width="10.69" hidden="false" outlineLevel="1" customWidth="1"/>
    <col min="194" max="194" width="10.69" hidden="false" outlineLevel="1" customWidth="1"/>
    <col min="195" max="195" width="10.69" hidden="false" outlineLevel="1" customWidth="1"/>
    <col min="196" max="196" width="10.69" hidden="false" outlineLevel="1" customWidth="1"/>
    <col min="197" max="197" width="10.69" hidden="false" outlineLevel="1" customWidth="1"/>
    <col min="198" max="198" width="10.69" hidden="false" outlineLevel="1" customWidth="1"/>
    <col min="199" max="199" width="10.69" hidden="false" outlineLevel="1" customWidth="1"/>
    <col min="200" max="200" width="10.69" hidden="false" outlineLevel="1" customWidth="1"/>
    <col min="201" max="201" width="10.69" hidden="false" outlineLevel="1" customWidth="1"/>
    <col min="202" max="202" width="10.69" hidden="false" outlineLevel="1" customWidth="1"/>
    <col min="203" max="203" width="10.69" hidden="false" outlineLevel="1" customWidth="1"/>
    <col min="204" max="204" width="10.69" hidden="false" outlineLevel="1" customWidth="1"/>
    <col min="205" max="205" width="10.69" hidden="false" outlineLevel="1" customWidth="1"/>
    <col min="206" max="206" width="10.69" hidden="false" outlineLevel="1" customWidth="1"/>
    <col min="207" max="207" width="10.69" hidden="false" outlineLevel="1" customWidth="1"/>
    <col min="208" max="208" width="10.69" hidden="false" outlineLevel="1" customWidth="1"/>
    <col min="209" max="209" width="10.69" hidden="false" outlineLevel="1" customWidth="1"/>
    <col min="210" max="210" width="10.69" hidden="false" outlineLevel="1" customWidth="1"/>
    <col min="211" max="211" width="10.69" hidden="false" outlineLevel="1" customWidth="1"/>
    <col min="212" max="212" width="10.69" hidden="false" outlineLevel="1" customWidth="1"/>
    <col min="213" max="213" width="10.69" hidden="false" outlineLevel="1" customWidth="1"/>
    <col min="214" max="214" width="10.69" hidden="false" outlineLevel="1" customWidth="1"/>
    <col min="215" max="215" width="10.69" hidden="false" outlineLevel="1" customWidth="1"/>
    <col min="216" max="216" width="10.69" hidden="false" outlineLevel="1" customWidth="1"/>
    <col min="217" max="217" width="10.69" hidden="false" outlineLevel="1" customWidth="1"/>
    <col min="218" max="218" width="10.69" hidden="false" outlineLevel="1" customWidth="1"/>
    <col min="219" max="219" width="10.69" hidden="false" outlineLevel="1" customWidth="1"/>
    <col min="220" max="220" width="10.69" hidden="false" outlineLevel="1" customWidth="1"/>
    <col min="221" max="221" width="10.69" hidden="false" outlineLevel="1" customWidth="1"/>
    <col min="222" max="222" width="10.69" hidden="false" outlineLevel="1" customWidth="1"/>
    <col min="223" max="223" width="10.69" hidden="false" outlineLevel="1" customWidth="1"/>
    <col min="224" max="224" width="10.69" hidden="false" outlineLevel="1" customWidth="1"/>
    <col min="225" max="225" width="10.69" hidden="false" outlineLevel="1" customWidth="1"/>
    <col min="226" max="226" width="10.69" hidden="false" outlineLevel="1" customWidth="1"/>
    <col min="227" max="227" width="10.69" hidden="false" outlineLevel="1" customWidth="1"/>
    <col min="228" max="228" width="10.69" hidden="false" outlineLevel="1" customWidth="1"/>
    <col min="229" max="229" width="10.69" hidden="false" outlineLevel="1" customWidth="1"/>
    <col min="230" max="230" width="10.69" hidden="false" outlineLevel="1" customWidth="1"/>
    <col min="231" max="231" width="10.69" hidden="false" outlineLevel="1" customWidth="1"/>
    <col min="232" max="232" width="10.69" hidden="false" outlineLevel="1" customWidth="1"/>
    <col min="233" max="233" width="10.69" hidden="false" outlineLevel="1" customWidth="1"/>
    <col min="234" max="234" width="10.69" hidden="false" outlineLevel="1" customWidth="1"/>
    <col min="235" max="235" width="10.69" hidden="false" outlineLevel="1" customWidth="1"/>
    <col min="236" max="236" width="10.69" hidden="false" outlineLevel="1" customWidth="1"/>
    <col min="237" max="237" width="10.69" hidden="false" outlineLevel="1" customWidth="1"/>
    <col min="238" max="238" width="10.69" hidden="false" outlineLevel="1" customWidth="1"/>
    <col min="239" max="239" width="10.69" hidden="false" outlineLevel="1" customWidth="1"/>
    <col min="240" max="240" width="10.69" hidden="false" outlineLevel="1" customWidth="1"/>
    <col min="241" max="241" width="10.69" hidden="false" outlineLevel="1" customWidth="1"/>
    <col min="242" max="242" width="10.69" hidden="false" outlineLevel="1" customWidth="1"/>
    <col min="243" max="243" width="10.69" hidden="false" outlineLevel="1" customWidth="1"/>
    <col min="244" max="244" width="10.69" hidden="false" outlineLevel="1" customWidth="1"/>
    <col min="245" max="245" width="10.69" hidden="false" outlineLevel="1" customWidth="1"/>
    <col min="246" max="246" width="10.69" hidden="false" outlineLevel="1" customWidth="1"/>
    <col min="247" max="247" width="10.69" hidden="false" outlineLevel="1" customWidth="1"/>
    <col min="248" max="248" width="10.69" hidden="false" outlineLevel="1" customWidth="1"/>
    <col min="249" max="249" width="10.69" hidden="false" outlineLevel="1" customWidth="1"/>
    <col min="250" max="250" width="10.69" hidden="false" outlineLevel="1" customWidth="1"/>
    <col min="251" max="251" width="10.69" hidden="false" outlineLevel="1" customWidth="1"/>
    <col min="252" max="252" width="10.69" hidden="false" outlineLevel="1" customWidth="1"/>
    <col min="253" max="253" width="10.69" hidden="false" outlineLevel="1" customWidth="1"/>
    <col min="254" max="254" width="10.69" hidden="false" outlineLevel="1" customWidth="1"/>
    <col min="255" max="255" width="10.69" hidden="false" outlineLevel="1" customWidth="1"/>
    <col min="256" max="256" width="10.69" hidden="false" outlineLevel="1" customWidth="1"/>
    <col min="257" max="257" width="10.69" hidden="false" outlineLevel="1" customWidth="1"/>
    <col min="258" max="258" width="10.69" hidden="false" outlineLevel="1" customWidth="1"/>
    <col min="259" max="259" width="10.69" hidden="false" outlineLevel="1" customWidth="1"/>
    <col min="260" max="260" width="10.69" hidden="false" outlineLevel="1" customWidth="1"/>
    <col min="261" max="261" width="10.69" hidden="false" outlineLevel="1" customWidth="1"/>
    <col min="262" max="262" width="10.69" hidden="false" outlineLevel="1" customWidth="1"/>
    <col min="263" max="263" width="10.69" hidden="false" outlineLevel="1" customWidth="1"/>
    <col min="264" max="264" width="10.69" hidden="false" outlineLevel="1" customWidth="1"/>
    <col min="265" max="265" width="10.69" hidden="false" outlineLevel="1" customWidth="1"/>
    <col min="266" max="266" width="10.69" hidden="false" outlineLevel="1" customWidth="1"/>
    <col min="267" max="267" width="10.69" hidden="false" outlineLevel="1" customWidth="1"/>
    <col min="268" max="268" width="10.69" hidden="false" outlineLevel="1" customWidth="1"/>
    <col min="269" max="269" width="10.69" hidden="false" outlineLevel="1" customWidth="1"/>
    <col min="270" max="270" width="10.69" hidden="false" outlineLevel="1" customWidth="1"/>
    <col min="271" max="271" width="10.69" hidden="false" outlineLevel="1" customWidth="1"/>
    <col min="272" max="272" width="10.69" hidden="false" outlineLevel="1" customWidth="1"/>
    <col min="273" max="273" width="10.69" hidden="false" outlineLevel="1" customWidth="1"/>
    <col min="274" max="274" width="10.69" hidden="false" outlineLevel="1" customWidth="1"/>
    <col min="275" max="275" width="10.69" hidden="false" outlineLevel="1" customWidth="1"/>
    <col min="276" max="276" width="10.69" hidden="false" outlineLevel="1" customWidth="1"/>
    <col min="277" max="277" width="10.69" hidden="false" outlineLevel="1" customWidth="1"/>
    <col min="278" max="278" width="10.69" hidden="false" outlineLevel="1" customWidth="1"/>
    <col min="279" max="279" width="10.69" hidden="false" outlineLevel="1" customWidth="1"/>
    <col min="280" max="280" width="10.69" hidden="false" outlineLevel="1" customWidth="1"/>
    <col min="281" max="281" width="10.69" hidden="false" outlineLevel="1" customWidth="1"/>
    <col min="282" max="282" width="10.69" hidden="false" outlineLevel="1" customWidth="1"/>
    <col min="283" max="283" width="10.69" hidden="false" outlineLevel="1" customWidth="1"/>
    <col min="284" max="284" width="10.69" hidden="false" outlineLevel="1" customWidth="1"/>
    <col min="285" max="285" width="10.69" hidden="false" outlineLevel="1" customWidth="1"/>
    <col min="286" max="286" width="10.69" hidden="false" outlineLevel="1" customWidth="1"/>
    <col min="287" max="287" width="10.69" hidden="false" outlineLevel="1" customWidth="1"/>
    <col min="288" max="288" width="10.69" hidden="false" outlineLevel="1" customWidth="1"/>
    <col min="289" max="289" width="10.69" hidden="false" outlineLevel="1" customWidth="1"/>
    <col min="290" max="290" width="10.69" hidden="false" outlineLevel="1" customWidth="1"/>
    <col min="291" max="291" width="10.69" hidden="false" outlineLevel="1" customWidth="1"/>
    <col min="292" max="292" width="10.69" hidden="false" outlineLevel="1" customWidth="1"/>
    <col min="293" max="293" width="10.69" hidden="false" outlineLevel="1" customWidth="1"/>
    <col min="294" max="294" width="10.69" hidden="false" outlineLevel="1" customWidth="1"/>
    <col min="295" max="295" width="10.69" hidden="false" outlineLevel="1" customWidth="1"/>
    <col min="296" max="296" width="10.69" hidden="false" outlineLevel="1" customWidth="1"/>
    <col min="297" max="297" width="10.69" hidden="false" outlineLevel="1" customWidth="1"/>
    <col min="298" max="298" width="10.69" hidden="false" outlineLevel="1" customWidth="1"/>
    <col min="299" max="299" width="10.69" hidden="false" outlineLevel="1" customWidth="1"/>
    <col min="300" max="300" width="10.69" hidden="false" outlineLevel="1" customWidth="1"/>
    <col min="301" max="301" width="10.69" hidden="false" outlineLevel="1" customWidth="1"/>
    <col min="302" max="302" width="10.69" hidden="false" outlineLevel="1" customWidth="1"/>
    <col min="303" max="303" width="10.69" hidden="false" outlineLevel="1" customWidth="1"/>
    <col min="304" max="304" width="10.69" hidden="false" outlineLevel="1" customWidth="1"/>
    <col min="305" max="305" width="10.69" hidden="false" outlineLevel="1" customWidth="1"/>
    <col min="306" max="306" width="10.69" hidden="false" outlineLevel="1" customWidth="1"/>
    <col min="307" max="307" width="10.69" hidden="false" outlineLevel="1" customWidth="1"/>
    <col min="308" max="308" width="10.69" hidden="false" outlineLevel="1" customWidth="1"/>
    <col min="309" max="309" width="10.69" hidden="false" outlineLevel="1" customWidth="1"/>
    <col min="310" max="310" width="10.69" hidden="false" outlineLevel="1" customWidth="1"/>
    <col min="311" max="311" width="10.69" hidden="false" outlineLevel="1" customWidth="1"/>
    <col min="312" max="312" width="10.69" hidden="false" outlineLevel="1" customWidth="1"/>
    <col min="313" max="313" width="10.69" hidden="false" outlineLevel="1" customWidth="1"/>
    <col min="314" max="314" width="10.69" hidden="false" outlineLevel="1" customWidth="1"/>
    <col min="315" max="315" width="10.69" hidden="false" outlineLevel="1" customWidth="1"/>
    <col min="316" max="316" width="10.69" hidden="false" outlineLevel="1" customWidth="1"/>
    <col min="317" max="317" width="10.69" hidden="false" outlineLevel="1" customWidth="1"/>
    <col min="318" max="318" width="10.69" hidden="false" outlineLevel="1" customWidth="1"/>
    <col min="319" max="319" width="10.69" hidden="false" outlineLevel="1" customWidth="1"/>
    <col min="320" max="320" width="10.69" hidden="false" outlineLevel="1" customWidth="1"/>
    <col min="321" max="321" width="10.69" hidden="false" outlineLevel="1" customWidth="1"/>
    <col min="322" max="322" width="10.69" hidden="false" outlineLevel="1" customWidth="1"/>
    <col min="323" max="323" width="10.69" hidden="false" outlineLevel="1" customWidth="1"/>
    <col min="324" max="324" width="10.69" hidden="false" outlineLevel="1" customWidth="1"/>
    <col min="325" max="325" width="10.69" hidden="false" outlineLevel="1" customWidth="1"/>
    <col min="326" max="326" width="10.69" hidden="false" outlineLevel="1" customWidth="1"/>
    <col min="327" max="327" width="10.69" hidden="false" outlineLevel="1" customWidth="1"/>
    <col min="328" max="328" width="10.69" hidden="false" outlineLevel="1" customWidth="1"/>
    <col min="329" max="329" width="10.69" hidden="false" outlineLevel="1" customWidth="1"/>
    <col min="330" max="330" width="10.69" hidden="false" outlineLevel="1" customWidth="1"/>
    <col min="331" max="331" width="10.69" hidden="false" outlineLevel="1" customWidth="1"/>
    <col min="332" max="332" width="10.69" hidden="false" outlineLevel="1" customWidth="1"/>
    <col min="333" max="333" width="10.69" hidden="false" outlineLevel="1" customWidth="1"/>
    <col min="334" max="334" width="10.69" hidden="false" outlineLevel="1" customWidth="1"/>
    <col min="335" max="335" width="10.69" hidden="false" outlineLevel="1" customWidth="1"/>
    <col min="336" max="336" width="10.69" hidden="false" outlineLevel="1" customWidth="1"/>
    <col min="337" max="337" width="10.69" hidden="false" outlineLevel="1" customWidth="1"/>
    <col min="338" max="338" width="10.69" hidden="false" outlineLevel="1" customWidth="1"/>
    <col min="339" max="339" width="10.69" hidden="false" outlineLevel="1" customWidth="1"/>
    <col min="340" max="340" width="10.69" hidden="false" outlineLevel="1" customWidth="1"/>
    <col min="341" max="341" width="10.69" hidden="false" outlineLevel="1" customWidth="1"/>
    <col min="342" max="342" width="10.69" hidden="false" outlineLevel="1" customWidth="1"/>
    <col min="343" max="343" width="10.69" hidden="false" outlineLevel="1" customWidth="1"/>
    <col min="344" max="344" width="10.69" hidden="false" outlineLevel="1" customWidth="1"/>
    <col min="345" max="345" width="10.69" hidden="false" outlineLevel="1" customWidth="1"/>
    <col min="346" max="346" width="10.69" hidden="false" outlineLevel="1" customWidth="1"/>
    <col min="347" max="347" width="10.69" hidden="false" outlineLevel="1" customWidth="1"/>
    <col min="348" max="348" width="10.69" hidden="false" outlineLevel="1" customWidth="1"/>
    <col min="349" max="349" width="10.69" hidden="false" outlineLevel="1" customWidth="1"/>
    <col min="350" max="350" width="10.69" hidden="false" outlineLevel="1" customWidth="1"/>
    <col min="351" max="351" width="10.69" hidden="false" outlineLevel="1" customWidth="1"/>
    <col min="352" max="352" width="10.69" hidden="false" outlineLevel="1" customWidth="1"/>
    <col min="353" max="353" width="10.69" hidden="false" outlineLevel="1" customWidth="1"/>
    <col min="354" max="354" width="10.69" hidden="false" outlineLevel="1" customWidth="1"/>
    <col min="355" max="355" width="10.69" hidden="false" outlineLevel="1" customWidth="1"/>
    <col min="356" max="356" width="10.69" hidden="false" outlineLevel="1" customWidth="1"/>
    <col min="357" max="357" width="10.69" hidden="false" outlineLevel="1" customWidth="1"/>
    <col min="358" max="358" width="10.69" hidden="false" outlineLevel="1" customWidth="1"/>
    <col min="359" max="359" width="10.69" hidden="false" outlineLevel="1" customWidth="1"/>
    <col min="360" max="360" width="10.69" hidden="false" outlineLevel="1" customWidth="1"/>
    <col min="361" max="361" width="10.69" hidden="false" outlineLevel="1" customWidth="1"/>
    <col min="362" max="362" width="10.69" hidden="false" outlineLevel="1" customWidth="1"/>
    <col min="363" max="363" width="10.69" hidden="false" outlineLevel="1" customWidth="1"/>
    <col min="364" max="364" width="10.69" hidden="false" outlineLevel="1" customWidth="1"/>
    <col min="365" max="365" width="10.69" hidden="false" outlineLevel="1" customWidth="1"/>
    <col min="366" max="366" width="10.69" hidden="false" outlineLevel="1" customWidth="1"/>
    <col min="367" max="367" width="10.69" hidden="false" outlineLevel="1" customWidth="1"/>
    <col min="368" max="368" width="10.69" hidden="false" outlineLevel="1" customWidth="1"/>
    <col min="369" max="369" width="10.69" hidden="false" outlineLevel="1" customWidth="1"/>
    <col min="370" max="370" width="10.69" hidden="false" outlineLevel="1" customWidth="1"/>
    <col min="371" max="371" width="10.69" hidden="false" outlineLevel="1" customWidth="1"/>
    <col min="372" max="372" width="10.69" hidden="false" outlineLevel="1" customWidth="1"/>
    <col min="373" max="373" width="10.69" hidden="false" outlineLevel="1" customWidth="1"/>
    <col min="374" max="374" width="10.69" hidden="false" outlineLevel="1" customWidth="1"/>
    <col min="375" max="375" width="10.69" hidden="false" outlineLevel="1" customWidth="1"/>
    <col min="376" max="376" width="10.69" hidden="false" outlineLevel="1" customWidth="1"/>
    <col min="377" max="377" width="10.69" hidden="false" outlineLevel="1" customWidth="1"/>
    <col min="378" max="378" width="10.69" hidden="false" outlineLevel="1" customWidth="1"/>
    <col min="379" max="379" width="10.69" hidden="false" outlineLevel="1" customWidth="1"/>
    <col min="380" max="380" width="10.69" hidden="false" outlineLevel="1" customWidth="1"/>
    <col min="381" max="381" width="10.69" hidden="false" outlineLevel="1" customWidth="1"/>
    <col min="382" max="382" width="10.69" hidden="false" outlineLevel="1" customWidth="1"/>
    <col min="383" max="383" width="10.69" hidden="false" outlineLevel="1" customWidth="1"/>
    <col min="384" max="384" width="10.69" hidden="false" outlineLevel="1" customWidth="1"/>
    <col min="385" max="385" width="10.69" hidden="false" outlineLevel="1" customWidth="1"/>
    <col min="386" max="386" width="10.69" hidden="false" outlineLevel="1" customWidth="1"/>
    <col min="387" max="387" width="10.69" hidden="false" outlineLevel="1" customWidth="1"/>
    <col min="388" max="388" width="10.69" hidden="false" outlineLevel="1" customWidth="1"/>
    <col min="389" max="389" width="10.69" hidden="false" outlineLevel="1" customWidth="1"/>
    <col min="390" max="390" width="10.69" hidden="false" outlineLevel="1" customWidth="1"/>
    <col min="391" max="391" width="10.69" hidden="false" outlineLevel="1" customWidth="1"/>
    <col min="392" max="392" width="10.69" hidden="false" outlineLevel="1" customWidth="1"/>
    <col min="393" max="393" width="10.69" hidden="false" outlineLevel="1" customWidth="1"/>
    <col min="394" max="394" width="10.69" hidden="false" outlineLevel="1" customWidth="1"/>
    <col min="395" max="395" width="10.69" hidden="false" outlineLevel="1" customWidth="1"/>
    <col min="396" max="396" width="10.69" hidden="false" outlineLevel="1" customWidth="1"/>
    <col min="397" max="397" width="10.69" hidden="false" outlineLevel="1" customWidth="1"/>
    <col min="398" max="398" width="10.69" hidden="false" outlineLevel="1" customWidth="1"/>
    <col min="399" max="399" width="10.69" hidden="false" outlineLevel="1" customWidth="1"/>
    <col min="400" max="400" width="10.69" hidden="false" outlineLevel="1" customWidth="1"/>
    <col min="401" max="401" width="10.69" hidden="false" outlineLevel="1" customWidth="1"/>
    <col min="402" max="402" width="10.69" hidden="false" outlineLevel="1" customWidth="1"/>
    <col min="403" max="403" width="10.69" hidden="false" outlineLevel="1" customWidth="1"/>
    <col min="404" max="404" width="10.69" hidden="false" outlineLevel="1" customWidth="1"/>
    <col min="405" max="405" width="10.69" hidden="false" outlineLevel="1" customWidth="1"/>
    <col min="406" max="406" width="10.69" hidden="false" outlineLevel="1" customWidth="1"/>
    <col min="407" max="407" width="10.69" hidden="false" outlineLevel="1" customWidth="1"/>
    <col min="408" max="408" width="10.69" hidden="false" outlineLevel="1" customWidth="1"/>
    <col min="409" max="409" width="10.69" hidden="false" outlineLevel="1" customWidth="1"/>
    <col min="410" max="410" width="10.69" hidden="false" outlineLevel="1" customWidth="1"/>
    <col min="411" max="411" width="10.69" hidden="false" outlineLevel="1" customWidth="1"/>
    <col min="412" max="412" width="10.69" hidden="false" outlineLevel="1" customWidth="1"/>
    <col min="413" max="413" width="10.69" hidden="false" outlineLevel="1" customWidth="1"/>
    <col min="414" max="414" width="10.69" hidden="false" outlineLevel="1" customWidth="1"/>
    <col min="415" max="415" width="10.69" hidden="false" outlineLevel="1" customWidth="1"/>
    <col min="416" max="416" width="10.69" hidden="false" outlineLevel="1" customWidth="1"/>
    <col min="417" max="417" width="10.69" hidden="false" outlineLevel="1" customWidth="1"/>
    <col min="418" max="418" width="10.69" hidden="false" outlineLevel="1" customWidth="1"/>
    <col min="419" max="419" width="10.69" hidden="false" outlineLevel="1" customWidth="1"/>
    <col min="420" max="420" width="10.69" hidden="false" outlineLevel="1" customWidth="1"/>
    <col min="421" max="421" width="10.69" hidden="false" outlineLevel="1" customWidth="1"/>
    <col min="422" max="422" width="10.69" hidden="false" outlineLevel="1" customWidth="1"/>
    <col min="423" max="423" width="10.69" hidden="false" outlineLevel="1" customWidth="1"/>
    <col min="424" max="424" width="10.69" hidden="false" outlineLevel="1" customWidth="1"/>
    <col min="425" max="425" width="10.69" hidden="false" outlineLevel="1" customWidth="1"/>
    <col min="426" max="426" width="10.69" hidden="false" outlineLevel="1" customWidth="1"/>
    <col min="427" max="427" width="10.69" hidden="false" outlineLevel="1" customWidth="1"/>
    <col min="428" max="428" width="10.69" hidden="false" outlineLevel="1" customWidth="1"/>
    <col min="429" max="429" width="10.69" hidden="false" outlineLevel="1" customWidth="1"/>
    <col min="430" max="430" width="10.69" hidden="false" outlineLevel="1" customWidth="1"/>
    <col min="431" max="431" width="10.69" hidden="false" outlineLevel="1" customWidth="1"/>
    <col min="432" max="432" width="10.69" hidden="false" outlineLevel="1" customWidth="1"/>
    <col min="433" max="433" width="10.69" hidden="false" outlineLevel="1" customWidth="1"/>
    <col min="434" max="434" width="10.69" hidden="false" outlineLevel="1" customWidth="1"/>
    <col min="435" max="435" width="10.69" hidden="false" outlineLevel="1" customWidth="1"/>
    <col min="436" max="436" width="10.69" hidden="false" outlineLevel="1" customWidth="1"/>
    <col min="437" max="437" width="10.69" hidden="false" outlineLevel="1" customWidth="1"/>
    <col min="438" max="438" width="10.69" hidden="false" outlineLevel="1" customWidth="1"/>
    <col min="439" max="439" width="10.69" hidden="false" outlineLevel="1" customWidth="1"/>
    <col min="440" max="440" width="10.69" hidden="false" outlineLevel="1" customWidth="1"/>
    <col min="441" max="441" width="10.69" hidden="false" outlineLevel="1" customWidth="1"/>
    <col min="442" max="442" width="10.69" hidden="false" outlineLevel="1" customWidth="1"/>
    <col min="443" max="443" width="10.69" hidden="false" outlineLevel="1" customWidth="1"/>
    <col min="444" max="444" width="10.69" hidden="false" outlineLevel="1" customWidth="1"/>
    <col min="445" max="445" width="10.69" hidden="false" outlineLevel="1" customWidth="1"/>
    <col min="446" max="446" width="10.69" hidden="false" outlineLevel="1" customWidth="1"/>
    <col min="447" max="447" width="10.69" hidden="false" outlineLevel="1" customWidth="1"/>
    <col min="448" max="448" width="10.69" hidden="false" outlineLevel="1" customWidth="1"/>
    <col min="449" max="449" width="10.69" hidden="false" outlineLevel="1" customWidth="1"/>
    <col min="450" max="450" width="10.69" hidden="false" outlineLevel="1" customWidth="1"/>
    <col min="451" max="451" width="10.69" hidden="false" outlineLevel="1" customWidth="1"/>
    <col min="452" max="452" width="10.69" hidden="false" outlineLevel="1" customWidth="1"/>
    <col min="453" max="453" width="10.69" hidden="false" outlineLevel="1" customWidth="1"/>
    <col min="454" max="454" width="10.69" hidden="false" outlineLevel="1" customWidth="1"/>
    <col min="455" max="455" width="10.69" hidden="false" outlineLevel="1" customWidth="1"/>
    <col min="456" max="456" width="10.69" hidden="false" outlineLevel="1" customWidth="1"/>
    <col min="457" max="457" width="10.69" hidden="false" outlineLevel="1" customWidth="1"/>
    <col min="458" max="458" width="10.69" hidden="false" outlineLevel="1" customWidth="1"/>
    <col min="459" max="459" width="10.69" hidden="false" outlineLevel="1" customWidth="1"/>
    <col min="460" max="460" width="10.69" hidden="false" outlineLevel="1" customWidth="1"/>
    <col min="461" max="461" width="10.69" hidden="false" outlineLevel="1" customWidth="1"/>
    <col min="462" max="462" width="10.69" hidden="false" outlineLevel="1" customWidth="1"/>
    <col min="463" max="463" width="10.69" hidden="false" outlineLevel="1" customWidth="1"/>
    <col min="464" max="464" width="10.69" hidden="false" outlineLevel="1" customWidth="1"/>
    <col min="465" max="465" width="10.69" hidden="false" outlineLevel="1" customWidth="1"/>
    <col min="466" max="466" width="10.69" hidden="false" outlineLevel="1" customWidth="1"/>
    <col min="467" max="467" width="10.69" hidden="false" outlineLevel="1" customWidth="1"/>
    <col min="468" max="468" width="10.69" hidden="false" outlineLevel="1" customWidth="1"/>
    <col min="469" max="469" width="10.69" hidden="false" outlineLevel="1" customWidth="1"/>
    <col min="470" max="470" width="10.69" hidden="false" outlineLevel="1" customWidth="1"/>
    <col min="471" max="471" width="10.69" hidden="false" outlineLevel="1" customWidth="1"/>
    <col min="472" max="472" width="10.69" hidden="false" outlineLevel="1" customWidth="1"/>
    <col min="473" max="473" width="10.69" hidden="false" outlineLevel="1" customWidth="1"/>
    <col min="474" max="474" width="10.69" hidden="false" outlineLevel="1" customWidth="1"/>
    <col min="475" max="475" width="10.69" hidden="false" outlineLevel="1" customWidth="1"/>
    <col min="476" max="476" width="10.69" hidden="false" outlineLevel="1" customWidth="1"/>
    <col min="477" max="477" width="10.69" hidden="false" outlineLevel="1" customWidth="1"/>
    <col min="478" max="478" width="10.69" hidden="false" outlineLevel="1" customWidth="1"/>
    <col min="479" max="479" width="10.69" hidden="false" outlineLevel="1" customWidth="1"/>
    <col min="480" max="480" width="10.69" hidden="false" outlineLevel="1" customWidth="1"/>
    <col min="481" max="481" width="10.69" hidden="false" outlineLevel="1" customWidth="1"/>
    <col min="482" max="482" width="10.69" hidden="false" outlineLevel="1" customWidth="1"/>
    <col min="483" max="483" width="10.69" hidden="false" outlineLevel="1" customWidth="1"/>
    <col min="484" max="484" width="10.69" hidden="false" outlineLevel="1" customWidth="1"/>
    <col min="485" max="485" width="10.69" hidden="false" outlineLevel="1" customWidth="1"/>
    <col min="486" max="486" width="10.69" hidden="false" outlineLevel="1" customWidth="1"/>
    <col min="487" max="487" width="10.69" hidden="false" outlineLevel="1" customWidth="1"/>
    <col min="488" max="488" width="10.69" hidden="false" outlineLevel="1" customWidth="1"/>
    <col min="489" max="489" width="10.69" hidden="false" outlineLevel="1" customWidth="1"/>
    <col min="490" max="490" width="10.69" hidden="false" outlineLevel="1" customWidth="1"/>
    <col min="491" max="491" width="10.69" hidden="false" outlineLevel="1" customWidth="1"/>
    <col min="492" max="492" width="10.69" hidden="false" outlineLevel="1" customWidth="1"/>
    <col min="493" max="493" width="10.69" hidden="false" outlineLevel="1" customWidth="1"/>
    <col min="494" max="494" width="10.69" hidden="false" outlineLevel="1" customWidth="1"/>
    <col min="495" max="495" width="10.69" hidden="false" outlineLevel="1" customWidth="1"/>
    <col min="496" max="496" width="10.69" hidden="false" outlineLevel="1" customWidth="1"/>
    <col min="497" max="497" width="10.69" hidden="false" outlineLevel="1" customWidth="1"/>
    <col min="498" max="498" width="10.69" hidden="false" outlineLevel="1" customWidth="1"/>
    <col min="499" max="499" width="10.69" hidden="false" outlineLevel="1" customWidth="1"/>
    <col min="500" max="500" width="10.69" hidden="false" outlineLevel="1" customWidth="1"/>
    <col min="501" max="501" width="10.69" hidden="false" outlineLevel="1" customWidth="1"/>
    <col min="502" max="502" width="10.69" hidden="false" outlineLevel="1" customWidth="1"/>
    <col min="503" max="503" width="10.69" hidden="false" outlineLevel="1" customWidth="1"/>
    <col min="504" max="504" width="10.69" hidden="false" outlineLevel="1" customWidth="1"/>
    <col min="505" max="505" width="10.69" hidden="false" outlineLevel="1" customWidth="1"/>
    <col min="506" max="506" width="10.69" hidden="false" outlineLevel="1" customWidth="1"/>
    <col min="507" max="507" width="10.69" hidden="false" outlineLevel="1" customWidth="1"/>
    <col min="508" max="508" width="10.69" hidden="false" outlineLevel="1" customWidth="1"/>
    <col min="509" max="509" width="10.69" hidden="false" outlineLevel="1" customWidth="1"/>
    <col min="510" max="510" width="10.69" hidden="false" outlineLevel="1" customWidth="1"/>
    <col min="511" max="511" width="10.69" hidden="false" outlineLevel="1" customWidth="1"/>
    <col min="512" max="512" width="10.69" hidden="false" outlineLevel="1" customWidth="1"/>
    <col min="513" max="513" width="10.69" hidden="false" outlineLevel="1" customWidth="1"/>
    <col min="514" max="514" width="10.69" hidden="false" outlineLevel="1" customWidth="1"/>
    <col min="515" max="515" width="10.69" hidden="false" outlineLevel="1" customWidth="1"/>
    <col min="516" max="516" width="10.69" hidden="false" outlineLevel="1" customWidth="1"/>
    <col min="517" max="517" width="10.69" hidden="false" outlineLevel="1" customWidth="1"/>
    <col min="518" max="518" width="10.69" hidden="false" outlineLevel="1" customWidth="1"/>
    <col min="519" max="519" width="10.69" hidden="false" outlineLevel="1" customWidth="1"/>
    <col min="520" max="520" width="10.69" hidden="false" outlineLevel="1" customWidth="1"/>
    <col min="521" max="521" width="10.69" hidden="false" outlineLevel="1" customWidth="1"/>
    <col min="522" max="522" width="10.69" hidden="false" outlineLevel="1" customWidth="1"/>
    <col min="523" max="523" width="10.69" hidden="false" outlineLevel="1" customWidth="1"/>
    <col min="524" max="524" width="10.69" hidden="false" outlineLevel="1" customWidth="1"/>
    <col min="525" max="525" width="10.69" hidden="false" outlineLevel="1" customWidth="1"/>
    <col min="526" max="526" width="10.69" hidden="false" outlineLevel="1" customWidth="1"/>
    <col min="527" max="527" width="10.69" hidden="false" outlineLevel="1" customWidth="1"/>
    <col min="528" max="528" width="10.69" hidden="false" outlineLevel="1" customWidth="1"/>
    <col min="529" max="529" width="10.69" hidden="false" outlineLevel="1" customWidth="1"/>
    <col min="530" max="530" width="10.69" hidden="false" outlineLevel="1" customWidth="1"/>
    <col min="531" max="531" width="10.69" hidden="false" outlineLevel="1" customWidth="1"/>
    <col min="532" max="532" width="10.69" hidden="false" outlineLevel="1" customWidth="1"/>
    <col min="533" max="533" width="10.69" hidden="false" outlineLevel="1" customWidth="1"/>
    <col min="534" max="534" width="10.69" hidden="false" outlineLevel="1" customWidth="1"/>
    <col min="535" max="535" width="10.69" hidden="false" outlineLevel="1" customWidth="1"/>
    <col min="536" max="536" width="10.69" hidden="false" outlineLevel="1" customWidth="1"/>
    <col min="537" max="537" width="10.69" hidden="false" outlineLevel="1" customWidth="1"/>
    <col min="538" max="538" width="10.69" hidden="false" outlineLevel="1" customWidth="1"/>
    <col min="539" max="539" width="10.69" hidden="false" outlineLevel="1" customWidth="1"/>
    <col min="540" max="540" width="10.69" hidden="false" outlineLevel="1" customWidth="1"/>
    <col min="541" max="541" width="10.69" hidden="false" outlineLevel="1" customWidth="1"/>
    <col min="542" max="542" width="10.69" hidden="false" outlineLevel="1" customWidth="1"/>
    <col min="543" max="543" width="10.69" hidden="false" outlineLevel="1" customWidth="1"/>
    <col min="544" max="544" width="10.69" hidden="false" outlineLevel="1" customWidth="1"/>
    <col min="545" max="545" width="10.69" hidden="false" outlineLevel="1" customWidth="1"/>
    <col min="546" max="546" width="10.69" hidden="false" outlineLevel="1" customWidth="1"/>
    <col min="547" max="547" width="10.69" hidden="false" outlineLevel="1" customWidth="1"/>
    <col min="548" max="548" width="10.69" hidden="false" outlineLevel="1" customWidth="1"/>
    <col min="549" max="549" width="10.69" hidden="false" outlineLevel="1" customWidth="1"/>
    <col min="550" max="550" width="10.69" hidden="false" outlineLevel="1" customWidth="1"/>
    <col min="551" max="551" width="10.69" hidden="false" outlineLevel="1" customWidth="1"/>
    <col min="552" max="552" width="10.69" hidden="false" outlineLevel="1" customWidth="1"/>
    <col min="553" max="553" width="10.69" hidden="false" outlineLevel="1" customWidth="1"/>
    <col min="554" max="554" width="10.69" hidden="false" outlineLevel="1" customWidth="1"/>
    <col min="555" max="555" width="10.69" hidden="false" outlineLevel="1" customWidth="1"/>
    <col min="556" max="556" width="10.69" hidden="false" outlineLevel="1" customWidth="1"/>
    <col min="557" max="557" width="10.69" hidden="false" outlineLevel="1" customWidth="1"/>
    <col min="558" max="558" width="10.69" hidden="false" outlineLevel="1" customWidth="1"/>
    <col min="559" max="559" width="10.69" hidden="false" outlineLevel="1" customWidth="1"/>
    <col min="560" max="560" width="10.69" hidden="false" outlineLevel="1" customWidth="1"/>
    <col min="561" max="561" width="10.69" hidden="false" outlineLevel="1" customWidth="1"/>
    <col min="562" max="562" width="10.69" hidden="false" outlineLevel="1" customWidth="1"/>
    <col min="563" max="563" width="10.69" hidden="false" outlineLevel="1" customWidth="1"/>
    <col min="564" max="564" width="10.69" hidden="false" outlineLevel="1" customWidth="1"/>
    <col min="565" max="565" width="10.69" hidden="false" outlineLevel="1" customWidth="1"/>
    <col min="566" max="566" width="10.69" hidden="false" outlineLevel="1" customWidth="1"/>
    <col min="567" max="567" width="10.69" hidden="false" outlineLevel="1" customWidth="1"/>
    <col min="568" max="568" width="10.69" hidden="false" outlineLevel="1" customWidth="1"/>
    <col min="569" max="569" width="10.69" hidden="false" outlineLevel="1" customWidth="1"/>
    <col min="570" max="570" width="10.69" hidden="false" outlineLevel="1" customWidth="1"/>
    <col min="571" max="571" width="10.69" hidden="false" outlineLevel="1" customWidth="1"/>
    <col min="572" max="572" width="10.69" hidden="false" outlineLevel="1" customWidth="1"/>
    <col min="573" max="573" width="10.69" hidden="false" outlineLevel="1" customWidth="1"/>
    <col min="574" max="574" width="10.69" hidden="false" outlineLevel="1" customWidth="1"/>
    <col min="575" max="575" width="10.69" hidden="false" outlineLevel="1" customWidth="1"/>
    <col min="576" max="576" width="10.69" hidden="false" outlineLevel="1" customWidth="1"/>
    <col min="577" max="577" width="10.69" hidden="false" outlineLevel="1" customWidth="1"/>
    <col min="578" max="578" width="10.69" hidden="false" outlineLevel="1" customWidth="1"/>
    <col min="579" max="579" width="10.69" hidden="false" outlineLevel="1" customWidth="1"/>
    <col min="580" max="580" width="10.69" hidden="false" outlineLevel="1" customWidth="1"/>
    <col min="581" max="581" width="10.69" hidden="false" outlineLevel="1" customWidth="1"/>
    <col min="582" max="582" width="10.69" hidden="false" outlineLevel="1" customWidth="1"/>
    <col min="583" max="583" width="10.69" hidden="false" outlineLevel="1" customWidth="1"/>
    <col min="584" max="584" width="10.69" hidden="false" outlineLevel="1" customWidth="1"/>
    <col min="585" max="585" width="10.69" hidden="false" outlineLevel="1" customWidth="1"/>
    <col min="586" max="586" width="10.69" hidden="false" outlineLevel="1" customWidth="1"/>
    <col min="587" max="587" width="10.69" hidden="false" outlineLevel="1" customWidth="1"/>
    <col min="588" max="588" width="10.69" hidden="false" outlineLevel="1" customWidth="1"/>
    <col min="589" max="589" width="10.69" hidden="false" outlineLevel="1" customWidth="1"/>
    <col min="590" max="590" width="10.69" hidden="false" outlineLevel="1" customWidth="1"/>
    <col min="591" max="591" width="10.69" hidden="false" outlineLevel="1" customWidth="1"/>
    <col min="592" max="592" width="10.69" hidden="false" outlineLevel="1" customWidth="1"/>
    <col min="593" max="593" width="10.69" hidden="false" outlineLevel="1" customWidth="1"/>
    <col min="594" max="594" width="10.69" hidden="false" outlineLevel="1" customWidth="1"/>
    <col min="595" max="595" width="10.69" hidden="false" outlineLevel="1" customWidth="1"/>
    <col min="596" max="596" width="10.69" hidden="false" outlineLevel="1" customWidth="1"/>
    <col min="597" max="597" width="10.69" hidden="false" outlineLevel="1" customWidth="1"/>
    <col min="598" max="598" width="10.69" hidden="false" outlineLevel="1" customWidth="1"/>
    <col min="599" max="599" width="10.69" hidden="false" outlineLevel="1" customWidth="1"/>
    <col min="600" max="600" width="10.69" hidden="false" outlineLevel="1" customWidth="1"/>
    <col min="601" max="601" width="10.69" hidden="false" outlineLevel="1" customWidth="1"/>
    <col min="602" max="602" width="10.69" hidden="false" outlineLevel="1" customWidth="1"/>
    <col min="603" max="603" width="10.69" hidden="false" outlineLevel="1" customWidth="1"/>
    <col min="604" max="604" width="10.69" hidden="false" outlineLevel="1" customWidth="1"/>
    <col min="605" max="605" width="10.69" hidden="false" outlineLevel="1" customWidth="1"/>
    <col min="606" max="606" width="10.69" hidden="false" outlineLevel="1" customWidth="1"/>
    <col min="607" max="607" width="10.69" hidden="false" outlineLevel="1" customWidth="1"/>
    <col min="608" max="608" width="10.69" hidden="false" outlineLevel="1" customWidth="1"/>
    <col min="609" max="609" width="10.69" hidden="false" outlineLevel="1" customWidth="1"/>
    <col min="610" max="610" width="10.69" hidden="false" outlineLevel="1" customWidth="1"/>
    <col min="611" max="611" width="10.69" hidden="false" outlineLevel="1" customWidth="1"/>
    <col min="612" max="612" width="10.69" hidden="false" outlineLevel="1" customWidth="1"/>
    <col min="613" max="613" width="10.69" hidden="false" outlineLevel="1" customWidth="1"/>
    <col min="614" max="614" width="10.69" hidden="false" outlineLevel="1" customWidth="1"/>
    <col min="615" max="615" width="10.69" hidden="false" outlineLevel="1" customWidth="1"/>
    <col min="616" max="616" width="10.69" hidden="false" outlineLevel="1" customWidth="1"/>
    <col min="617" max="617" width="10.69" hidden="false" outlineLevel="1" customWidth="1"/>
    <col min="618" max="618" width="10.69" hidden="false" outlineLevel="1" customWidth="1"/>
    <col min="619" max="619" width="10.69" hidden="false" outlineLevel="1" customWidth="1"/>
    <col min="620" max="620" width="10.69" hidden="false" outlineLevel="1" customWidth="1"/>
    <col min="621" max="621" width="10.69" hidden="false" outlineLevel="1" customWidth="1"/>
    <col min="622" max="622" width="10.69" hidden="false" outlineLevel="1" customWidth="1"/>
    <col min="623" max="623" width="10.69" hidden="false" outlineLevel="1" customWidth="1"/>
    <col min="624" max="624" width="10.69" hidden="false" outlineLevel="1" customWidth="1"/>
    <col min="625" max="625" width="10.69" hidden="false" outlineLevel="1" customWidth="1"/>
    <col min="626" max="626" width="10.69" hidden="false" outlineLevel="1" customWidth="1"/>
    <col min="627" max="627" width="10.69" hidden="false" outlineLevel="1" customWidth="1"/>
    <col min="628" max="628" width="10.69" hidden="false" outlineLevel="1" customWidth="1"/>
    <col min="629" max="629" width="10.69" hidden="false" outlineLevel="1" customWidth="1"/>
    <col min="630" max="630" width="10.69" hidden="false" outlineLevel="1" customWidth="1"/>
    <col min="631" max="631" width="10.69" hidden="false" outlineLevel="1" customWidth="1"/>
    <col min="632" max="632" width="10.69" hidden="false" outlineLevel="1" customWidth="1"/>
    <col min="633" max="633" width="10.69" hidden="false" outlineLevel="1" customWidth="1"/>
    <col min="634" max="634" width="10.69" hidden="false" outlineLevel="1" customWidth="1"/>
    <col min="635" max="635" width="10.69" hidden="false" outlineLevel="1" customWidth="1"/>
    <col min="636" max="636" width="10.69" hidden="false" outlineLevel="1" customWidth="1"/>
    <col min="637" max="637" width="10.69" hidden="false" outlineLevel="1" customWidth="1"/>
    <col min="638" max="638" width="10.69" hidden="false" outlineLevel="1" customWidth="1"/>
    <col min="639" max="639" width="10.69" hidden="false" outlineLevel="1" customWidth="1"/>
    <col min="640" max="640" width="10.69" hidden="false" outlineLevel="1" customWidth="1"/>
    <col min="641" max="641" width="10.69" hidden="false" outlineLevel="1" customWidth="1"/>
    <col min="642" max="642" width="10.69" hidden="false" outlineLevel="1" customWidth="1"/>
    <col min="643" max="643" width="10.69" hidden="false" outlineLevel="1" customWidth="1"/>
    <col min="644" max="644" width="10.69" hidden="false" outlineLevel="1" customWidth="1"/>
    <col min="645" max="645" width="10.69" hidden="false" outlineLevel="1" customWidth="1"/>
    <col min="646" max="646" width="10.69" hidden="false" outlineLevel="1" customWidth="1"/>
    <col min="647" max="647" width="10.69" hidden="false" outlineLevel="1" customWidth="1"/>
    <col min="648" max="648" width="10.69" hidden="false" outlineLevel="1" customWidth="1"/>
    <col min="649" max="649" width="10.69" hidden="false" outlineLevel="1" customWidth="1"/>
    <col min="650" max="650" width="10.69" hidden="false" outlineLevel="1" customWidth="1"/>
    <col min="651" max="651" width="10.69" hidden="false" outlineLevel="1" customWidth="1"/>
    <col min="652" max="652" width="10.69" hidden="false" outlineLevel="1" customWidth="1"/>
    <col min="653" max="653" width="10.69" hidden="false" outlineLevel="1" customWidth="1"/>
    <col min="654" max="654" width="10.69" hidden="false" outlineLevel="1" customWidth="1"/>
    <col min="655" max="655" width="10.69" hidden="false" outlineLevel="1" customWidth="1"/>
    <col min="656" max="656" width="10.69" hidden="false" outlineLevel="1" customWidth="1"/>
    <col min="657" max="657" width="10.69" hidden="false" outlineLevel="1" customWidth="1"/>
    <col min="658" max="658" width="10.69" hidden="false" outlineLevel="1" customWidth="1"/>
    <col min="659" max="659" width="10.69" hidden="false" outlineLevel="1" customWidth="1"/>
    <col min="660" max="660" width="10.69" hidden="false" outlineLevel="1" customWidth="1"/>
    <col min="661" max="661" width="10.69" hidden="false" outlineLevel="1" customWidth="1"/>
    <col min="662" max="662" width="10.69" hidden="false" outlineLevel="1" customWidth="1"/>
    <col min="663" max="663" width="10.69" hidden="false" outlineLevel="1" customWidth="1"/>
    <col min="664" max="664" width="10.69" hidden="false" outlineLevel="1" customWidth="1"/>
    <col min="665" max="665" width="10.69" hidden="false" outlineLevel="1" customWidth="1"/>
    <col min="666" max="666" width="10.69" hidden="false" outlineLevel="1" customWidth="1"/>
    <col min="667" max="667" width="10.69" hidden="false" outlineLevel="1" customWidth="1"/>
    <col min="668" max="668" width="10.69" hidden="false" outlineLevel="1" customWidth="1"/>
    <col min="669" max="669" width="10.69" hidden="false" outlineLevel="1" customWidth="1"/>
    <col min="670" max="670" width="10.69" hidden="false" outlineLevel="1" customWidth="1"/>
    <col min="671" max="671" width="10.69" hidden="false" outlineLevel="1" customWidth="1"/>
    <col min="672" max="672" width="10.69" hidden="false" outlineLevel="1" customWidth="1"/>
    <col min="673" max="673" width="10.69" hidden="false" outlineLevel="1" customWidth="1"/>
    <col min="674" max="674" width="10.69" hidden="false" outlineLevel="1" customWidth="1"/>
    <col min="675" max="675" width="10.69" hidden="false" outlineLevel="1" customWidth="1"/>
    <col min="676" max="676" width="10.69" hidden="false" outlineLevel="1" customWidth="1"/>
    <col min="677" max="677" width="10.69" hidden="false" outlineLevel="1" customWidth="1"/>
    <col min="678" max="678" width="10.69" hidden="false" outlineLevel="1" customWidth="1"/>
    <col min="679" max="679" width="10.69" hidden="false" outlineLevel="1" customWidth="1"/>
    <col min="680" max="680" width="10.69" hidden="false" outlineLevel="1" customWidth="1"/>
    <col min="681" max="681" width="10.69" hidden="false" outlineLevel="1" customWidth="1"/>
    <col min="682" max="682" width="10.69" hidden="false" outlineLevel="1" customWidth="1"/>
    <col min="683" max="683" width="10.69" hidden="false" outlineLevel="1" customWidth="1"/>
    <col min="684" max="684" width="10.69" hidden="false" outlineLevel="1" customWidth="1"/>
    <col min="685" max="685" width="10.69" hidden="false" outlineLevel="1" customWidth="1"/>
    <col min="686" max="686" width="10.69" hidden="false" outlineLevel="1" customWidth="1"/>
    <col min="687" max="687" width="10.69" hidden="false" outlineLevel="1" customWidth="1"/>
    <col min="688" max="688" width="10.69" hidden="false" outlineLevel="1" customWidth="1"/>
    <col min="689" max="689" width="10.69" hidden="false" outlineLevel="1" customWidth="1"/>
    <col min="690" max="690" width="10.69" hidden="false" outlineLevel="1" customWidth="1"/>
    <col min="691" max="691" width="10.69" hidden="false" outlineLevel="1" customWidth="1"/>
    <col min="692" max="692" width="10.69" hidden="false" outlineLevel="1" customWidth="1"/>
    <col min="693" max="693" width="10.69" hidden="false" outlineLevel="1" customWidth="1"/>
    <col min="694" max="694" width="10.69" hidden="false" outlineLevel="1" customWidth="1"/>
    <col min="695" max="695" width="10.69" hidden="false" outlineLevel="1" customWidth="1"/>
    <col min="696" max="696" width="10.69" hidden="false" outlineLevel="1" customWidth="1"/>
    <col min="697" max="697" width="10.69" hidden="false" outlineLevel="1" customWidth="1"/>
    <col min="698" max="698" width="10.69" hidden="false" outlineLevel="1" customWidth="1"/>
    <col min="699" max="699" width="10.69" hidden="false" outlineLevel="1" customWidth="1"/>
    <col min="700" max="700" width="10.69" hidden="false" outlineLevel="1" customWidth="1"/>
    <col min="701" max="701" width="10.69" hidden="false" outlineLevel="1" customWidth="1"/>
    <col min="702" max="702" width="10.69" hidden="false" outlineLevel="1" customWidth="1"/>
    <col min="703" max="703" width="10.69" hidden="false" outlineLevel="1" customWidth="1"/>
    <col min="704" max="704" width="10.69" hidden="false" outlineLevel="1" customWidth="1"/>
    <col min="705" max="705" width="10.69" hidden="false" outlineLevel="1" customWidth="1"/>
    <col min="706" max="706" width="10.69" hidden="false" outlineLevel="1" customWidth="1"/>
    <col min="707" max="707" width="10.69" hidden="false" outlineLevel="1" customWidth="1"/>
    <col min="708" max="708" width="10.69" hidden="false" outlineLevel="1" customWidth="1"/>
    <col min="709" max="709" width="10.69" hidden="false" outlineLevel="1" customWidth="1"/>
    <col min="710" max="710" width="10.69" hidden="false" outlineLevel="1" customWidth="1"/>
    <col min="711" max="711" width="10.69" hidden="false" outlineLevel="1" customWidth="1"/>
    <col min="712" max="712" width="10.69" hidden="false" outlineLevel="1" customWidth="1"/>
    <col min="713" max="713" width="10.69" hidden="false" outlineLevel="1" customWidth="1"/>
    <col min="714" max="714" width="10.69" hidden="false" outlineLevel="1" customWidth="1"/>
    <col min="715" max="715" width="10.69" hidden="false" outlineLevel="1" customWidth="1"/>
    <col min="716" max="716" width="10.69" hidden="false" outlineLevel="1" customWidth="1"/>
    <col min="717" max="717" width="10.69" hidden="false" outlineLevel="1" customWidth="1"/>
    <col min="718" max="718" width="10.69" hidden="false" outlineLevel="1" customWidth="1"/>
    <col min="719" max="719" width="10.69" hidden="false" outlineLevel="1" customWidth="1"/>
    <col min="720" max="720" width="10.69" hidden="false" outlineLevel="1" customWidth="1"/>
    <col min="721" max="721" width="10.69" hidden="false" outlineLevel="1" customWidth="1"/>
    <col min="722" max="722" width="10.69" hidden="false" outlineLevel="1" customWidth="1"/>
    <col min="723" max="723" width="10.69" hidden="false" outlineLevel="1" customWidth="1"/>
    <col min="724" max="724" width="10.69" hidden="false" outlineLevel="1" customWidth="1"/>
    <col min="725" max="725" width="10.69" hidden="false" outlineLevel="1" customWidth="1"/>
    <col min="726" max="726" width="10.69" hidden="false" outlineLevel="1" customWidth="1"/>
    <col min="727" max="727" width="10.69" hidden="false" outlineLevel="1" customWidth="1"/>
    <col min="728" max="728" width="10.69" hidden="false" outlineLevel="1" customWidth="1"/>
    <col min="729" max="729" width="10.69" hidden="false" outlineLevel="1" customWidth="1"/>
    <col min="730" max="730" width="10.69" hidden="false" outlineLevel="1" customWidth="1"/>
    <col min="731" max="731" width="10.69" hidden="false" outlineLevel="1" customWidth="1"/>
    <col min="732" max="732" width="10.69" hidden="false" outlineLevel="1" customWidth="1"/>
    <col min="733" max="733" width="10.69" hidden="false" outlineLevel="1" customWidth="1"/>
    <col min="734" max="734" width="10.69" hidden="false" outlineLevel="1" customWidth="1"/>
    <col min="735" max="735" width="10.69" hidden="false" outlineLevel="1" customWidth="1"/>
    <col min="736" max="736" width="10.69" hidden="false" outlineLevel="1" customWidth="1"/>
    <col min="737" max="737" width="10.69" hidden="false" outlineLevel="1" customWidth="1"/>
    <col min="738" max="738" width="10.69" hidden="false" outlineLevel="1" customWidth="1"/>
    <col min="739" max="739" width="10.69" hidden="false" outlineLevel="1" customWidth="1"/>
    <col min="740" max="740" width="10.69" hidden="false" outlineLevel="1" customWidth="1"/>
    <col min="741" max="741" width="10.69" hidden="false" outlineLevel="1" customWidth="1"/>
    <col min="742" max="742" width="10.69" hidden="false" outlineLevel="1" customWidth="1"/>
    <col min="743" max="743" width="10.69" hidden="false" outlineLevel="1" customWidth="1"/>
    <col min="744" max="744" width="10.69" hidden="false" outlineLevel="1" customWidth="1"/>
    <col min="745" max="745" width="10.69" hidden="false" outlineLevel="1" customWidth="1"/>
    <col min="746" max="746" width="10.69" hidden="false" outlineLevel="1" customWidth="1"/>
    <col min="747" max="747" width="10.69" hidden="false" outlineLevel="1" customWidth="1"/>
    <col min="748" max="748" width="10.69" hidden="false" outlineLevel="1" customWidth="1"/>
    <col min="749" max="749" width="10.69" hidden="false" outlineLevel="1" customWidth="1"/>
    <col min="750" max="750" width="10.69" hidden="false" outlineLevel="1" customWidth="1"/>
    <col min="751" max="751" width="10.69" hidden="false" outlineLevel="1" customWidth="1"/>
    <col min="752" max="752" width="10.69" hidden="false" outlineLevel="1" customWidth="1"/>
    <col min="753" max="753" width="10.69" hidden="false" outlineLevel="1" customWidth="1"/>
    <col min="754" max="754" width="10.69" hidden="false" outlineLevel="1" customWidth="1"/>
    <col min="755" max="755" width="10.69" hidden="false" outlineLevel="1" customWidth="1"/>
    <col min="756" max="756" width="10.69" hidden="false" outlineLevel="1" customWidth="1"/>
    <col min="757" max="757" width="10.69" hidden="false" outlineLevel="1" customWidth="1"/>
    <col min="758" max="758" width="10.69" hidden="false" outlineLevel="1" customWidth="1"/>
    <col min="759" max="759" width="10.69" hidden="false" outlineLevel="1" customWidth="1"/>
    <col min="760" max="760" width="10.69" hidden="false" outlineLevel="1" customWidth="1"/>
    <col min="761" max="761" width="10.69" hidden="false" outlineLevel="1" customWidth="1"/>
    <col min="762" max="762" width="10.69" hidden="false" outlineLevel="1" customWidth="1"/>
    <col min="763" max="763" width="10.69" hidden="false" outlineLevel="1" customWidth="1"/>
    <col min="764" max="764" width="10.69" hidden="false" outlineLevel="1" customWidth="1"/>
    <col min="765" max="765" width="10.69" hidden="false" outlineLevel="1" customWidth="1"/>
    <col min="766" max="766" width="10.69" hidden="false" outlineLevel="1" customWidth="1"/>
    <col min="767" max="767" width="10.69" hidden="false" outlineLevel="1" customWidth="1"/>
    <col min="768" max="768" width="10.69" hidden="false" outlineLevel="1" customWidth="1"/>
    <col min="769" max="769" width="10.69" hidden="false" outlineLevel="1" customWidth="1"/>
    <col min="770" max="770" width="10.69" hidden="false" outlineLevel="1" customWidth="1"/>
    <col min="771" max="771" width="10.69" hidden="false" outlineLevel="1" customWidth="1"/>
    <col min="772" max="772" width="10.69" hidden="false" outlineLevel="1" customWidth="1"/>
    <col min="773" max="773" width="10.69" hidden="false" outlineLevel="1" customWidth="1"/>
    <col min="774" max="774" width="10.69" hidden="false" outlineLevel="1" customWidth="1"/>
    <col min="775" max="775" width="10.69" hidden="false" outlineLevel="1" customWidth="1"/>
    <col min="776" max="776" width="10.69" hidden="false" outlineLevel="1" customWidth="1"/>
    <col min="777" max="777" width="10.69" hidden="false" outlineLevel="1" customWidth="1"/>
    <col min="778" max="778" width="10.69" hidden="false" outlineLevel="1" customWidth="1"/>
    <col min="779" max="779" width="10.69" hidden="false" outlineLevel="1" customWidth="1"/>
    <col min="780" max="780" width="10.69" hidden="false" outlineLevel="1" customWidth="1"/>
    <col min="781" max="781" width="10.69" hidden="false" outlineLevel="1" customWidth="1"/>
    <col min="782" max="782" width="10.69" hidden="false" outlineLevel="1" customWidth="1"/>
    <col min="783" max="783" width="10.69" hidden="false" outlineLevel="1" customWidth="1"/>
    <col min="784" max="784" width="10.69" hidden="false" outlineLevel="1" customWidth="1"/>
    <col min="785" max="785" width="10.69" hidden="false" outlineLevel="1" customWidth="1"/>
    <col min="786" max="786" width="10.69" hidden="false" outlineLevel="1" customWidth="1"/>
    <col min="787" max="787" width="10.69" hidden="false" outlineLevel="1" customWidth="1"/>
    <col min="788" max="788" width="10.69" hidden="false" outlineLevel="1" customWidth="1"/>
    <col min="789" max="789" width="10.69" hidden="false" outlineLevel="1" customWidth="1"/>
    <col min="790" max="790" width="10.69" hidden="false" outlineLevel="1" customWidth="1"/>
    <col min="791" max="791" width="10.69" hidden="false" outlineLevel="1" customWidth="1"/>
    <col min="792" max="792" width="10.69" hidden="false" outlineLevel="1" customWidth="1"/>
    <col min="793" max="793" width="10.69" hidden="false" outlineLevel="1" customWidth="1"/>
    <col min="794" max="794" width="10.69" hidden="false" outlineLevel="1" customWidth="1"/>
    <col min="795" max="795" width="10.69" hidden="false" outlineLevel="1" customWidth="1"/>
    <col min="796" max="796" width="10.69" hidden="false" outlineLevel="1" customWidth="1"/>
    <col min="797" max="797" width="10.69" hidden="false" outlineLevel="1" customWidth="1"/>
    <col min="798" max="798" width="10.69" hidden="false" outlineLevel="1" customWidth="1"/>
    <col min="799" max="799" width="10.69" hidden="false" outlineLevel="1" customWidth="1"/>
    <col min="800" max="800" width="10.69" hidden="false" outlineLevel="1" customWidth="1"/>
    <col min="801" max="801" width="10.69" hidden="false" outlineLevel="1" customWidth="1"/>
    <col min="802" max="802" width="10.69" hidden="false" outlineLevel="1" customWidth="1"/>
    <col min="803" max="803" width="10.69" hidden="false" outlineLevel="1" customWidth="1"/>
    <col min="804" max="804" width="10.69" hidden="false" outlineLevel="1" customWidth="1"/>
    <col min="805" max="805" width="10.69" hidden="false" outlineLevel="1" customWidth="1"/>
    <col min="806" max="806" width="10.69" hidden="false" outlineLevel="1" customWidth="1"/>
    <col min="807" max="807" width="10.69" hidden="false" outlineLevel="1" customWidth="1"/>
    <col min="808" max="808" width="10.69" hidden="false" outlineLevel="1" customWidth="1"/>
    <col min="809" max="809" width="10.69" hidden="false" outlineLevel="1" customWidth="1"/>
    <col min="810" max="810" width="10.69" hidden="false" outlineLevel="1" customWidth="1"/>
    <col min="811" max="811" width="10.69" hidden="false" outlineLevel="1" customWidth="1"/>
    <col min="812" max="812" width="10.69" hidden="false" outlineLevel="1" customWidth="1"/>
    <col min="813" max="813" width="10.69" hidden="false" outlineLevel="1" customWidth="1"/>
    <col min="814" max="814" width="10.69" hidden="false" outlineLevel="1" customWidth="1"/>
    <col min="815" max="815" width="10.69" hidden="false" outlineLevel="1" customWidth="1"/>
    <col min="816" max="816" width="10.69" hidden="false" outlineLevel="1" customWidth="1"/>
    <col min="817" max="817" width="10.69" hidden="false" outlineLevel="1" customWidth="1"/>
    <col min="818" max="818" width="10.69" hidden="false" outlineLevel="1" customWidth="1"/>
    <col min="819" max="819" width="10.69" hidden="false" outlineLevel="1" customWidth="1"/>
    <col min="820" max="820" width="10.69" hidden="false" outlineLevel="1" customWidth="1"/>
    <col min="821" max="821" width="10.69" hidden="false" outlineLevel="1" customWidth="1"/>
    <col min="822" max="822" width="10.69" hidden="false" outlineLevel="1" customWidth="1"/>
    <col min="823" max="823" width="10.69" hidden="false" outlineLevel="1" customWidth="1"/>
    <col min="824" max="824" width="10.69" hidden="false" outlineLevel="1" customWidth="1"/>
    <col min="825" max="825" width="10.69" hidden="false" outlineLevel="1" customWidth="1"/>
    <col min="826" max="826" width="10.69" hidden="false" outlineLevel="1" customWidth="1"/>
    <col min="827" max="827" width="10.69" hidden="false" outlineLevel="1" customWidth="1"/>
    <col min="828" max="828" width="10.69" hidden="false" outlineLevel="1" customWidth="1"/>
    <col min="829" max="829" width="10.69" hidden="false" outlineLevel="1" customWidth="1"/>
    <col min="830" max="830" width="10.69" hidden="false" outlineLevel="1" customWidth="1"/>
    <col min="831" max="831" width="10.69" hidden="false" outlineLevel="1" customWidth="1"/>
    <col min="832" max="832" width="10.69" hidden="false" outlineLevel="1" customWidth="1"/>
    <col min="833" max="833" width="10.69" hidden="false" outlineLevel="1" customWidth="1"/>
    <col min="834" max="834" width="10.69" hidden="false" outlineLevel="1" customWidth="1"/>
    <col min="835" max="835" width="10.69" hidden="false" outlineLevel="1" customWidth="1"/>
    <col min="836" max="836" width="10.69" hidden="false" outlineLevel="1" customWidth="1"/>
    <col min="837" max="837" width="10.69" hidden="false" outlineLevel="1" customWidth="1"/>
    <col min="838" max="838" width="10.69" hidden="false" outlineLevel="1" customWidth="1"/>
    <col min="839" max="839" width="10.69" hidden="false" outlineLevel="1" customWidth="1"/>
    <col min="840" max="840" width="10.69" hidden="false" outlineLevel="1" customWidth="1"/>
    <col min="841" max="841" width="10.69" hidden="false" outlineLevel="1" customWidth="1"/>
    <col min="842" max="842" width="10.69" hidden="false" outlineLevel="1" customWidth="1"/>
    <col min="843" max="843" width="10.69" hidden="false" outlineLevel="1" customWidth="1"/>
    <col min="844" max="844" width="10.69" hidden="false" outlineLevel="1" customWidth="1"/>
    <col min="845" max="845" width="10.69" hidden="false" outlineLevel="1" customWidth="1"/>
    <col min="846" max="846" width="10.69" hidden="false" outlineLevel="1" customWidth="1"/>
    <col min="847" max="847" width="10.69" hidden="false" outlineLevel="1" customWidth="1"/>
    <col min="848" max="848" width="10.69" hidden="false" outlineLevel="1" customWidth="1"/>
    <col min="849" max="849" width="10.69" hidden="false" outlineLevel="1" customWidth="1"/>
    <col min="850" max="850" width="10.69" hidden="false" outlineLevel="1" customWidth="1"/>
    <col min="851" max="851" width="10.69" hidden="false" outlineLevel="1" customWidth="1"/>
    <col min="852" max="852" width="10.69" hidden="false" outlineLevel="1" customWidth="1"/>
    <col min="853" max="853" width="10.69" hidden="false" outlineLevel="1" customWidth="1"/>
    <col min="854" max="854" width="10.69" hidden="false" outlineLevel="1" customWidth="1"/>
    <col min="855" max="855" width="10.69" hidden="false" outlineLevel="1" customWidth="1"/>
    <col min="856" max="856" width="10.69" hidden="false" outlineLevel="1" customWidth="1"/>
    <col min="857" max="857" width="10.69" hidden="false" outlineLevel="1" customWidth="1"/>
    <col min="858" max="858" width="10.69" hidden="false" outlineLevel="1" customWidth="1"/>
    <col min="859" max="859" width="10.69" hidden="false" outlineLevel="1" customWidth="1"/>
    <col min="860" max="860" width="10.69" hidden="false" outlineLevel="1" customWidth="1"/>
    <col min="861" max="861" width="10.69" hidden="false" outlineLevel="1" customWidth="1"/>
    <col min="862" max="862" width="10.69" hidden="false" outlineLevel="1" customWidth="1"/>
    <col min="863" max="863" width="10.69" hidden="false" outlineLevel="1" customWidth="1"/>
    <col min="864" max="864" width="10.69" hidden="false" outlineLevel="1" customWidth="1"/>
    <col min="865" max="865" width="10.69" hidden="false" outlineLevel="1" customWidth="1"/>
    <col min="866" max="866" width="10.69" hidden="false" outlineLevel="1" customWidth="1"/>
    <col min="867" max="867" width="10.69" hidden="false" outlineLevel="1" customWidth="1"/>
    <col min="868" max="868" width="10.69" hidden="false" outlineLevel="1" customWidth="1"/>
    <col min="869" max="869" width="10.69" hidden="false" outlineLevel="1" customWidth="1"/>
    <col min="870" max="870" width="10.69" hidden="false" outlineLevel="1" customWidth="1"/>
    <col min="871" max="871" width="10.69" hidden="false" outlineLevel="1" customWidth="1"/>
    <col min="872" max="872" width="10.69" hidden="false" outlineLevel="1" customWidth="1"/>
    <col min="873" max="873" width="10.69" hidden="false" outlineLevel="1" customWidth="1"/>
    <col min="874" max="874" width="10.69" hidden="false" outlineLevel="1" customWidth="1"/>
    <col min="875" max="875" width="10.69" hidden="false" outlineLevel="1" customWidth="1"/>
    <col min="876" max="876" width="10.69" hidden="false" outlineLevel="1" customWidth="1"/>
    <col min="877" max="877" width="10.69" hidden="false" outlineLevel="1" customWidth="1"/>
    <col min="878" max="878" width="10.69" hidden="false" outlineLevel="1" customWidth="1"/>
    <col min="879" max="879" width="10.69" hidden="false" outlineLevel="1" customWidth="1"/>
    <col min="880" max="880" width="10.69" hidden="false" outlineLevel="1" customWidth="1"/>
    <col min="881" max="881" width="10.69" hidden="false" outlineLevel="1" customWidth="1"/>
    <col min="882" max="882" width="10.69" hidden="false" outlineLevel="1" customWidth="1"/>
    <col min="883" max="883" width="10.69" hidden="false" outlineLevel="1" customWidth="1"/>
    <col min="884" max="884" width="10.69" hidden="false" outlineLevel="1" customWidth="1"/>
    <col min="885" max="885" width="10.69" hidden="false" outlineLevel="1" customWidth="1"/>
    <col min="886" max="886" width="10.69" hidden="false" outlineLevel="1" customWidth="1"/>
    <col min="887" max="887" width="10.69" hidden="false" outlineLevel="1" customWidth="1"/>
    <col min="888" max="888" width="10.69" hidden="false" outlineLevel="1" customWidth="1"/>
    <col min="889" max="889" width="10.69" hidden="false" outlineLevel="1" customWidth="1"/>
    <col min="890" max="890" width="10.69" hidden="false" outlineLevel="1" customWidth="1"/>
    <col min="891" max="891" width="10.69" hidden="false" outlineLevel="1" customWidth="1"/>
    <col min="892" max="892" width="10.69" hidden="false" outlineLevel="1" customWidth="1"/>
    <col min="893" max="893" width="10.69" hidden="false" outlineLevel="1" customWidth="1"/>
    <col min="894" max="894" width="10.69" hidden="false" outlineLevel="1" customWidth="1"/>
    <col min="895" max="895" width="10.69" hidden="false" outlineLevel="1" customWidth="1"/>
    <col min="896" max="896" width="10.69" hidden="false" outlineLevel="1" customWidth="1"/>
    <col min="897" max="897" width="10.69" hidden="false" outlineLevel="1" customWidth="1"/>
    <col min="898" max="898" width="10.69" hidden="false" outlineLevel="1" customWidth="1"/>
    <col min="899" max="899" width="10.69" hidden="false" outlineLevel="1" customWidth="1"/>
    <col min="900" max="900" width="10.69" hidden="false" outlineLevel="1" customWidth="1"/>
    <col min="901" max="901" width="10.69" hidden="false" outlineLevel="1" customWidth="1"/>
    <col min="902" max="902" width="10.69" hidden="false" outlineLevel="1" customWidth="1"/>
    <col min="903" max="903" width="10.69" hidden="false" outlineLevel="1" customWidth="1"/>
    <col min="904" max="904" width="10.69" hidden="false" outlineLevel="1" customWidth="1"/>
    <col min="905" max="905" width="10.69" hidden="false" outlineLevel="1" customWidth="1"/>
    <col min="906" max="906" width="10.69" hidden="false" outlineLevel="1" customWidth="1"/>
    <col min="907" max="907" width="10.69" hidden="false" outlineLevel="1" customWidth="1"/>
    <col min="908" max="908" width="10.69" hidden="false" outlineLevel="1" customWidth="1"/>
    <col min="909" max="909" width="10.69" hidden="false" outlineLevel="1" customWidth="1"/>
    <col min="910" max="910" width="10.69" hidden="false" outlineLevel="1" customWidth="1"/>
    <col min="911" max="911" width="10.69" hidden="false" outlineLevel="1" customWidth="1"/>
    <col min="912" max="912" width="10.69" hidden="false" outlineLevel="1" customWidth="1"/>
    <col min="913" max="913" width="10.69" hidden="false" outlineLevel="1" customWidth="1"/>
    <col min="914" max="914" width="10.69" hidden="false" outlineLevel="1" customWidth="1"/>
    <col min="915" max="915" width="10.69" hidden="false" outlineLevel="1" customWidth="1"/>
    <col min="916" max="916" width="10.69" hidden="false" outlineLevel="1" customWidth="1"/>
    <col min="917" max="917" width="10.69" hidden="false" outlineLevel="1" customWidth="1"/>
    <col min="918" max="918" width="10.69" hidden="false" outlineLevel="1" customWidth="1"/>
    <col min="919" max="919" width="10.69" hidden="false" outlineLevel="1" customWidth="1"/>
    <col min="920" max="920" width="10.69" hidden="false" outlineLevel="1" customWidth="1"/>
    <col min="921" max="921" width="10.69" hidden="false" outlineLevel="1" customWidth="1"/>
    <col min="922" max="922" width="10.69" hidden="false" outlineLevel="1" customWidth="1"/>
    <col min="923" max="923" width="10.69" hidden="false" outlineLevel="1" customWidth="1"/>
    <col min="924" max="924" width="10.69" hidden="false" outlineLevel="1" customWidth="1"/>
    <col min="925" max="925" width="10.69" hidden="false" outlineLevel="1" customWidth="1"/>
    <col min="926" max="926" width="10.69" hidden="false" outlineLevel="1" customWidth="1"/>
    <col min="927" max="927" width="10.69" hidden="false" outlineLevel="1" customWidth="1"/>
    <col min="928" max="928" width="10.69" hidden="false" outlineLevel="1" customWidth="1"/>
    <col min="929" max="929" width="10.69" hidden="false" outlineLevel="1" customWidth="1"/>
    <col min="930" max="930" width="10.69" hidden="false" outlineLevel="1" customWidth="1"/>
    <col min="931" max="931" width="10.69" hidden="false" outlineLevel="1" customWidth="1"/>
    <col min="932" max="932" width="10.69" hidden="false" outlineLevel="1" customWidth="1"/>
    <col min="933" max="933" width="10.69" hidden="false" outlineLevel="1" customWidth="1"/>
    <col min="934" max="934" width="10.69" hidden="false" outlineLevel="1" customWidth="1"/>
    <col min="935" max="935" width="10.69" hidden="false" outlineLevel="1" customWidth="1"/>
    <col min="936" max="936" width="10.69" hidden="false" outlineLevel="1" customWidth="1"/>
    <col min="937" max="937" width="10.69" hidden="false" outlineLevel="1" customWidth="1"/>
    <col min="938" max="938" width="10.69" hidden="false" outlineLevel="1" customWidth="1"/>
    <col min="939" max="939" width="10.69" hidden="false" outlineLevel="1" customWidth="1"/>
    <col min="940" max="940" width="10.69" hidden="false" outlineLevel="1" customWidth="1"/>
    <col min="941" max="941" width="10.69" hidden="false" outlineLevel="1" customWidth="1"/>
    <col min="942" max="942" width="10.69" hidden="false" outlineLevel="1" customWidth="1"/>
    <col min="943" max="943" width="10.69" hidden="false" outlineLevel="1" customWidth="1"/>
    <col min="944" max="944" width="10.69" hidden="false" outlineLevel="1" customWidth="1"/>
    <col min="945" max="945" width="10.69" hidden="false" outlineLevel="1" customWidth="1"/>
    <col min="946" max="946" width="10.69" hidden="false" outlineLevel="1" customWidth="1"/>
    <col min="947" max="947" width="10.69" hidden="false" outlineLevel="1" customWidth="1"/>
    <col min="948" max="948" width="10.69" hidden="false" outlineLevel="1" customWidth="1"/>
    <col min="949" max="949" width="10.69" hidden="false" outlineLevel="1" customWidth="1"/>
    <col min="950" max="950" width="10.69" hidden="false" outlineLevel="1" customWidth="1"/>
    <col min="951" max="951" width="10.69" hidden="false" outlineLevel="1" customWidth="1"/>
    <col min="952" max="952" width="10.69" hidden="false" outlineLevel="1" customWidth="1"/>
    <col min="953" max="953" width="10.69" hidden="false" outlineLevel="1" customWidth="1"/>
    <col min="954" max="954" width="10.69" hidden="false" outlineLevel="1" customWidth="1"/>
    <col min="955" max="955" width="10.69" hidden="false" outlineLevel="1" customWidth="1"/>
    <col min="956" max="956" width="10.69" hidden="false" outlineLevel="1" customWidth="1"/>
    <col min="957" max="957" width="10.69" hidden="false" outlineLevel="1" customWidth="1"/>
    <col min="958" max="958" width="10.69" hidden="false" outlineLevel="1" customWidth="1"/>
    <col min="959" max="959" width="10.69" hidden="false" outlineLevel="1" customWidth="1"/>
    <col min="960" max="960" width="10.69" hidden="false" outlineLevel="1" customWidth="1"/>
    <col min="961" max="961" width="10.69" hidden="false" outlineLevel="1" customWidth="1"/>
    <col min="962" max="962" width="10.69" hidden="false" outlineLevel="1" customWidth="1"/>
    <col min="963" max="963" width="10.69" hidden="false" outlineLevel="1" customWidth="1"/>
    <col min="964" max="964" width="10.69" hidden="false" outlineLevel="1" customWidth="1"/>
    <col min="965" max="965" width="10.69" hidden="false" outlineLevel="1" customWidth="1"/>
    <col min="966" max="966" width="10.69" hidden="false" outlineLevel="1" customWidth="1"/>
    <col min="967" max="967" width="10.69" hidden="false" outlineLevel="1" customWidth="1"/>
    <col min="968" max="968" width="10.69" hidden="false" outlineLevel="1" customWidth="1"/>
    <col min="969" max="969" width="10.69" hidden="false" outlineLevel="1" customWidth="1"/>
    <col min="970" max="970" width="10.69" hidden="false" outlineLevel="1" customWidth="1"/>
    <col min="971" max="971" width="10.69" hidden="false" outlineLevel="1" customWidth="1"/>
    <col min="972" max="972" width="10.69" hidden="false" outlineLevel="1" customWidth="1"/>
    <col min="973" max="973" width="10.69" hidden="false" outlineLevel="1" customWidth="1"/>
    <col min="974" max="974" width="10.69" hidden="false" outlineLevel="1" customWidth="1"/>
    <col min="975" max="975" width="10.69" hidden="false" outlineLevel="1" customWidth="1"/>
    <col min="976" max="976" width="10.69" hidden="false" outlineLevel="1" customWidth="1"/>
    <col min="977" max="977" width="10.69" hidden="false" outlineLevel="1" customWidth="1"/>
    <col min="978" max="978" width="10.69" hidden="false" outlineLevel="1" customWidth="1"/>
    <col min="979" max="979" width="10.69" hidden="false" outlineLevel="1" customWidth="1"/>
    <col min="980" max="980" width="10.69" hidden="false" outlineLevel="1" customWidth="1"/>
    <col min="981" max="981" width="10.69" hidden="false" outlineLevel="1" customWidth="1"/>
    <col min="982" max="982" width="10.69" hidden="false" outlineLevel="1" customWidth="1"/>
    <col min="983" max="983" width="10.69" hidden="false" outlineLevel="1" customWidth="1"/>
    <col min="984" max="984" width="10.69" hidden="false" outlineLevel="1" customWidth="1"/>
    <col min="985" max="985" width="10.69" hidden="false" outlineLevel="1" customWidth="1"/>
    <col min="986" max="986" width="10.69" hidden="false" outlineLevel="1" customWidth="1"/>
    <col min="987" max="987" width="10.69" hidden="false" outlineLevel="1" customWidth="1"/>
    <col min="988" max="988" width="10.69" hidden="false" outlineLevel="1" customWidth="1"/>
    <col min="989" max="989" width="10.69" hidden="false" outlineLevel="1" customWidth="1"/>
    <col min="990" max="990" width="10.69" hidden="false" outlineLevel="1" customWidth="1"/>
    <col min="991" max="991" width="10.69" hidden="false" outlineLevel="1" customWidth="1"/>
    <col min="992" max="992" width="10.69" hidden="false" outlineLevel="1" customWidth="1"/>
    <col min="993" max="993" width="10.69" hidden="false" outlineLevel="1" customWidth="1"/>
    <col min="994" max="994" width="10.69" hidden="false" outlineLevel="1" customWidth="1"/>
    <col min="995" max="995" width="10.69" hidden="false" outlineLevel="1" customWidth="1"/>
    <col min="996" max="996" width="10.69" hidden="false" outlineLevel="1" customWidth="1"/>
    <col min="997" max="997" width="10.69" hidden="false" outlineLevel="1" customWidth="1"/>
    <col min="998" max="998" width="10.69" hidden="false" outlineLevel="1" customWidth="1"/>
    <col min="999" max="999" width="10.69" hidden="false" outlineLevel="1" customWidth="1"/>
    <col min="1000" max="1000" width="10.69" hidden="false" outlineLevel="1" customWidth="1"/>
    <col min="1001" max="1001" width="10.69" hidden="false" outlineLevel="1" customWidth="1"/>
    <col min="1002" max="1002" width="10.69" hidden="false" outlineLevel="1" customWidth="1"/>
    <col min="1003" max="1003" width="10.69" hidden="false" outlineLevel="1" customWidth="1"/>
    <col min="1004" max="1004" width="10.69" hidden="false" outlineLevel="1" customWidth="1"/>
    <col min="1005" max="1005" width="10.69" hidden="false" outlineLevel="1" customWidth="1"/>
    <col min="1006" max="1006" width="10.69" hidden="false" outlineLevel="1" customWidth="1"/>
    <col min="1007" max="1007" width="10.69" hidden="false" outlineLevel="1" customWidth="1"/>
    <col min="1008" max="1008" width="10.69" hidden="false" outlineLevel="1" customWidth="1"/>
    <col min="1009" max="1009" width="10.69" hidden="false" outlineLevel="1" customWidth="1"/>
    <col min="1010" max="1010" width="10.69" hidden="false" outlineLevel="1" customWidth="1"/>
    <col min="1011" max="1011" width="10.69" hidden="false" outlineLevel="1" customWidth="1"/>
    <col min="1012" max="1012" width="10.69" hidden="false" outlineLevel="1" customWidth="1"/>
    <col min="1013" max="1013" width="10.69" hidden="false" outlineLevel="1" customWidth="1"/>
    <col min="1014" max="1014" width="10.69" hidden="false" outlineLevel="1" customWidth="1"/>
    <col min="1015" max="1015" width="10.69" hidden="false" outlineLevel="1" customWidth="1"/>
    <col min="1016" max="1016" width="10.69" hidden="false" outlineLevel="1" customWidth="1"/>
    <col min="1017" max="1017" width="10.69" hidden="false" outlineLevel="1" customWidth="1"/>
    <col min="1018" max="1018" width="10.69" hidden="false" outlineLevel="1" customWidth="1"/>
    <col min="1019" max="1019" width="10.69" hidden="false" outlineLevel="1" customWidth="1"/>
    <col min="1020" max="1020" width="10.69" hidden="false" outlineLevel="1" customWidth="1"/>
    <col min="1021" max="1021" width="10.69" hidden="false" outlineLevel="1" customWidth="1"/>
    <col min="1022" max="1022" width="10.69" hidden="false" outlineLevel="1" customWidth="1"/>
    <col min="1023" max="1023" width="10.69" hidden="false" outlineLevel="1" customWidth="1"/>
    <col min="1024" max="1024" width="10.69" hidden="false" outlineLevel="1" customWidth="1"/>
    <col min="1025" max="1025" width="10.69" hidden="false" outlineLevel="1" customWidth="1"/>
  </cols>
  <sheetData>
    <row r="1" ht="60" customHeight="1">
      <c r="A1" s="1621" t="s">
        <v>3041</v>
      </c>
      <c r="B1" s="1621"/>
      <c r="C1" s="1621"/>
      <c r="D1" s="1621"/>
      <c r="E1" s="1621"/>
      <c r="F1" s="1621"/>
      <c r="G1" s="1621"/>
      <c r="H1" s="1621"/>
      <c r="I1" s="1621"/>
      <c r="J1" s="1621"/>
      <c r="K1" s="1621"/>
    </row>
    <row r="2" ht="15.75" customHeight="1">
      <c r="A2" s="1444"/>
      <c r="B2" s="1444"/>
      <c r="C2" s="1444"/>
      <c r="G2"/>
    </row>
    <row r="3" ht="13.5" customHeight="1">
      <c r="G3"/>
    </row>
    <row r="4" ht="15" customHeight="1">
      <c r="A4" s="1622" t="s">
        <v>3042</v>
      </c>
      <c r="B4" s="646" t="s">
        <v>3043</v>
      </c>
      <c r="C4" s="1623" t="s">
        <v>3044</v>
      </c>
      <c r="D4" s="1623"/>
      <c r="E4" s="1623"/>
      <c r="F4" s="1623"/>
      <c r="G4" s="1623"/>
      <c r="H4" s="1623"/>
      <c r="I4" s="1624" t="s">
        <v>2989</v>
      </c>
      <c r="J4" s="646"/>
      <c r="K4" s="1625" t="s">
        <v>3045</v>
      </c>
    </row>
    <row r="5" ht="13.5" customHeight="1">
      <c r="A5" s="1622"/>
      <c r="B5" s="1449"/>
      <c r="C5" s="646"/>
      <c r="D5" s="646"/>
      <c r="E5" s="646"/>
      <c r="F5" s="646"/>
      <c r="G5" s="1529"/>
      <c r="H5" s="646"/>
      <c r="I5" s="646"/>
      <c r="J5" s="646"/>
      <c r="K5" s="1625"/>
    </row>
    <row r="6" ht="25.5" customHeight="1">
      <c r="A6" s="1622"/>
      <c r="B6" s="1449"/>
      <c r="C6" s="1165" t="s">
        <v>2822</v>
      </c>
      <c r="D6" s="1165"/>
      <c r="E6" s="1165"/>
      <c r="F6" s="1165"/>
      <c r="G6" s="1165"/>
      <c r="H6" s="1171" t="s">
        <v>2823</v>
      </c>
      <c r="I6" s="1171" t="s">
        <v>2824</v>
      </c>
      <c r="J6" s="646"/>
      <c r="K6" s="1626" t="n">
        <f aca="false">MIN(25,SUM(I7,I19,I30,I45,I52))</f>
        <v>17</v>
      </c>
      <c r="M6" s="1627" t="s">
        <v>3046</v>
      </c>
      <c r="N6" s="1627"/>
      <c r="O6" s="1627" t="s">
        <v>2895</v>
      </c>
    </row>
    <row r="7" ht="15.75" customHeight="1">
      <c r="A7" s="1622"/>
      <c r="B7" s="1449"/>
      <c r="C7" s="1460" t="s">
        <v>3047</v>
      </c>
      <c r="D7" s="1460"/>
      <c r="E7" s="1460"/>
      <c r="F7" s="1460"/>
      <c r="G7" s="1529" t="n">
        <f aca="false">IF(E8&gt;=M10,O10,IF(E8&gt;=M9,O9,IF(E8&gt;M8,O8,O7)))</f>
        <v>6</v>
      </c>
      <c r="H7" s="1454" t="n">
        <f aca="false">G7+G10+G12</f>
        <v>9</v>
      </c>
      <c r="I7" s="1628" t="n">
        <f aca="false">MIN(6,H7)</f>
        <v>6</v>
      </c>
      <c r="J7" s="646"/>
      <c r="K7" s="1626"/>
      <c r="M7" s="1192"/>
      <c r="N7" s="1192"/>
      <c r="O7" s="1627" t="n">
        <v>0</v>
      </c>
    </row>
    <row r="8" ht="15" customHeight="1">
      <c r="A8" s="1622"/>
      <c r="B8" s="1449"/>
      <c r="C8" s="1250" t="s">
        <v>3048</v>
      </c>
      <c r="D8" s="646" t="s">
        <v>1130</v>
      </c>
      <c r="E8" s="1629" t="n">
        <f aca="false">'Saisie et Calculateur'!J845</f>
        <v>0.948051948051948</v>
      </c>
      <c r="F8" s="646"/>
      <c r="G8" s="1529"/>
      <c r="H8" s="1454"/>
      <c r="I8" s="1628"/>
      <c r="J8" s="646"/>
      <c r="K8" s="1626"/>
      <c r="M8" s="1630" t="n">
        <v>0</v>
      </c>
      <c r="N8" s="1630"/>
      <c r="O8" s="1627" t="n">
        <v>2</v>
      </c>
    </row>
    <row r="9" ht="15" customHeight="1">
      <c r="A9" s="1622"/>
      <c r="B9" s="1449"/>
      <c r="C9" s="1250"/>
      <c r="D9" s="646"/>
      <c r="E9" s="1462"/>
      <c r="F9" s="646"/>
      <c r="G9" s="1529"/>
      <c r="H9" s="1454"/>
      <c r="I9" s="1628"/>
      <c r="J9" s="646"/>
      <c r="K9" s="1626"/>
      <c r="M9" s="1630" t="n">
        <v>0.45</v>
      </c>
      <c r="N9" s="1630"/>
      <c r="O9" s="1627" t="n">
        <v>4</v>
      </c>
    </row>
    <row r="10" ht="12.75" customHeight="1">
      <c r="A10" s="1622"/>
      <c r="B10" s="1449"/>
      <c r="C10" s="1538" t="s">
        <v>3049</v>
      </c>
      <c r="D10" s="1538"/>
      <c r="E10" s="1538"/>
      <c r="F10" s="1538"/>
      <c r="G10" s="1631" t="n">
        <f aca="false">IF(E11=M13,N13,N14)</f>
        <v>0</v>
      </c>
      <c r="H10" s="1454"/>
      <c r="I10" s="1628"/>
      <c r="J10" s="646"/>
      <c r="K10" s="1626"/>
      <c r="M10" s="1630" t="n">
        <v>0.85</v>
      </c>
      <c r="N10" s="1630"/>
      <c r="O10" s="1627" t="n">
        <v>6</v>
      </c>
      <c r="P10" s="1632"/>
    </row>
    <row r="11" ht="15" customHeight="1">
      <c r="A11" s="1622"/>
      <c r="B11" s="1449"/>
      <c r="C11" s="1530"/>
      <c r="D11" s="1460" t="s">
        <v>2843</v>
      </c>
      <c r="E11" s="1486" t="str">
        <f aca="false">'Saisie et Calculateur'!J847</f>
        <v>non</v>
      </c>
      <c r="F11" s="646"/>
      <c r="G11" s="1631"/>
      <c r="H11" s="1454"/>
      <c r="I11" s="1628"/>
      <c r="J11" s="646"/>
      <c r="K11" s="1626"/>
    </row>
    <row r="12" ht="15" customHeight="1">
      <c r="A12" s="1622"/>
      <c r="B12" s="1449"/>
      <c r="C12" s="1530" t="s">
        <v>3050</v>
      </c>
      <c r="D12" s="1530"/>
      <c r="E12" s="1530"/>
      <c r="F12" s="1530"/>
      <c r="G12" s="1539" t="n">
        <f aca="false">IF(E13=M13,O13,O14)</f>
        <v>3</v>
      </c>
      <c r="H12" s="1454"/>
      <c r="I12" s="1628"/>
      <c r="J12" s="646"/>
      <c r="K12" s="1626"/>
      <c r="N12" s="1192" t="s">
        <v>3051</v>
      </c>
      <c r="O12" s="1192" t="s">
        <v>3052</v>
      </c>
    </row>
    <row r="13" ht="15" customHeight="1">
      <c r="A13" s="1622"/>
      <c r="B13" s="1449"/>
      <c r="C13" s="1534"/>
      <c r="D13" s="1535" t="s">
        <v>2843</v>
      </c>
      <c r="E13" s="1633" t="str">
        <f aca="false">'Saisie et Calculateur'!J849</f>
        <v>oui</v>
      </c>
      <c r="F13" s="1535"/>
      <c r="G13" s="1539"/>
      <c r="H13" s="1454"/>
      <c r="I13" s="1628"/>
      <c r="J13" s="646"/>
      <c r="K13" s="1626"/>
      <c r="M13" s="1165" t="s">
        <v>253</v>
      </c>
      <c r="N13" s="1165" t="n">
        <v>3</v>
      </c>
      <c r="O13" s="1165" t="n">
        <v>3</v>
      </c>
    </row>
    <row r="14" ht="12.75" customHeight="1">
      <c r="A14" s="1622"/>
      <c r="B14" s="1449"/>
      <c r="C14" s="646"/>
      <c r="D14" s="646"/>
      <c r="E14" s="646"/>
      <c r="F14" s="646"/>
      <c r="G14" s="1529"/>
      <c r="H14" s="646"/>
      <c r="I14" s="646"/>
      <c r="J14" s="646"/>
      <c r="K14" s="1626"/>
      <c r="M14" s="1165" t="s">
        <v>254</v>
      </c>
      <c r="N14" s="1165" t="n">
        <v>0</v>
      </c>
      <c r="O14" s="1165" t="n">
        <v>0</v>
      </c>
    </row>
    <row r="15" ht="12.75" customHeight="1">
      <c r="A15" s="1622"/>
      <c r="B15" s="1449"/>
      <c r="C15" s="646"/>
      <c r="D15" s="646"/>
      <c r="E15" s="646"/>
      <c r="F15" s="646"/>
      <c r="G15" s="1529"/>
      <c r="H15" s="646"/>
      <c r="I15" s="646"/>
      <c r="J15" s="646"/>
      <c r="K15" s="1626"/>
    </row>
    <row r="16" ht="15" customHeight="1">
      <c r="A16" s="1622"/>
      <c r="B16" s="1449" t="s">
        <v>230</v>
      </c>
      <c r="C16" s="1634" t="s">
        <v>3053</v>
      </c>
      <c r="D16" s="1634"/>
      <c r="E16" s="1634"/>
      <c r="F16" s="1634"/>
      <c r="G16" s="1634"/>
      <c r="H16" s="1634"/>
      <c r="I16" s="1635" t="s">
        <v>2989</v>
      </c>
      <c r="J16" s="646"/>
      <c r="K16" s="1626"/>
      <c r="M16" s="1636"/>
    </row>
    <row r="17" ht="12.75" customHeight="1">
      <c r="A17" s="1622"/>
      <c r="B17" s="1449"/>
      <c r="C17" s="646"/>
      <c r="D17" s="646"/>
      <c r="E17" s="646"/>
      <c r="F17" s="646"/>
      <c r="G17" s="1529"/>
      <c r="H17" s="646"/>
      <c r="I17" s="646"/>
      <c r="J17" s="646"/>
      <c r="K17" s="1626"/>
      <c r="M17" s="1171" t="s">
        <v>3054</v>
      </c>
      <c r="N17" s="1171" t="s">
        <v>2895</v>
      </c>
      <c r="P17" s="1165" t="s">
        <v>3055</v>
      </c>
      <c r="Q17" s="1165" t="s">
        <v>2855</v>
      </c>
    </row>
    <row r="18" ht="25.5" customHeight="1">
      <c r="A18" s="1622"/>
      <c r="B18" s="1449"/>
      <c r="C18" s="1165" t="s">
        <v>2822</v>
      </c>
      <c r="D18" s="1165"/>
      <c r="E18" s="1165"/>
      <c r="F18" s="1165"/>
      <c r="G18" s="1165"/>
      <c r="H18" s="1171" t="s">
        <v>2823</v>
      </c>
      <c r="I18" s="1171" t="s">
        <v>2824</v>
      </c>
      <c r="J18" s="646"/>
      <c r="K18" s="1626"/>
      <c r="M18" s="1450" t="n">
        <v>0.1</v>
      </c>
      <c r="N18" s="1171" t="n">
        <v>6</v>
      </c>
      <c r="O18" s="1632"/>
      <c r="P18" s="1637" t="n">
        <v>0.3</v>
      </c>
      <c r="Q18" s="1463" t="n">
        <v>6</v>
      </c>
    </row>
    <row r="19" ht="12.75" customHeight="1">
      <c r="A19" s="1622"/>
      <c r="B19" s="1449"/>
      <c r="C19" s="1460" t="s">
        <v>3056</v>
      </c>
      <c r="D19" s="1460"/>
      <c r="E19" s="1460"/>
      <c r="F19" s="1460"/>
      <c r="G19" s="1529" t="n">
        <f aca="false">IF(E20&lt;=M18,N18,IF(E20&lt;=M19,N19,IF(E20&lt;=M20,N20,N21)))</f>
        <v>6</v>
      </c>
      <c r="H19" s="1454" t="n">
        <f aca="false">IF(OR('Saisie et Calculateur'!B854="1 - monogastrique",'Saisie et Calculateur'!B854="2 - herbivore")=TRUE(),G19,G22)</f>
        <v>6</v>
      </c>
      <c r="I19" s="1628" t="n">
        <f aca="false">MIN(6,H19)</f>
        <v>6</v>
      </c>
      <c r="J19" s="646"/>
      <c r="K19" s="1626"/>
      <c r="M19" s="1450" t="n">
        <v>0.3</v>
      </c>
      <c r="N19" s="1171" t="n">
        <v>4</v>
      </c>
      <c r="O19" s="1632"/>
      <c r="P19" s="1506" t="n">
        <v>0.15</v>
      </c>
      <c r="Q19" s="1456" t="n">
        <v>4</v>
      </c>
    </row>
    <row r="20" ht="12.75" customHeight="1">
      <c r="A20" s="1622"/>
      <c r="B20" s="1449"/>
      <c r="C20" s="1250" t="s">
        <v>3057</v>
      </c>
      <c r="D20" s="646" t="s">
        <v>1130</v>
      </c>
      <c r="E20" s="1462" t="n">
        <f aca="false">'Saisie et Calculateur'!J856</f>
        <v>0</v>
      </c>
      <c r="F20" s="646"/>
      <c r="G20" s="1529"/>
      <c r="H20" s="1454"/>
      <c r="I20" s="1628"/>
      <c r="J20" s="646"/>
      <c r="K20" s="1626"/>
      <c r="M20" s="1450" t="n">
        <v>0.6</v>
      </c>
      <c r="N20" s="1171" t="n">
        <v>2</v>
      </c>
      <c r="O20" s="1632"/>
      <c r="P20" s="1506" t="n">
        <v>0.05</v>
      </c>
      <c r="Q20" s="1456" t="n">
        <v>2</v>
      </c>
    </row>
    <row r="21" ht="12.75" customHeight="1">
      <c r="A21" s="1622"/>
      <c r="B21" s="1449"/>
      <c r="C21" s="1250"/>
      <c r="F21" s="646"/>
      <c r="G21" s="1529"/>
      <c r="H21" s="1454"/>
      <c r="I21" s="1628"/>
      <c r="J21" s="646"/>
      <c r="K21" s="1626"/>
      <c r="M21" s="1450"/>
      <c r="N21" s="1171" t="n">
        <v>0</v>
      </c>
      <c r="O21" s="1632"/>
      <c r="P21" s="1506"/>
      <c r="Q21" s="1456" t="n">
        <v>0</v>
      </c>
    </row>
    <row r="22" ht="12.75" customHeight="1">
      <c r="A22" s="1622"/>
      <c r="B22" s="1449"/>
      <c r="C22" s="1538" t="s">
        <v>3058</v>
      </c>
      <c r="D22" s="1538"/>
      <c r="E22" s="1538"/>
      <c r="F22" s="1538"/>
      <c r="G22" s="1539" t="n">
        <f aca="false">IF(E24&gt;=P18,Q18,IF(E24&gt;=P19,Q19,IF(E24&gt;=P20,Q20,Q21)))</f>
        <v>0</v>
      </c>
      <c r="H22" s="1454"/>
      <c r="I22" s="1628"/>
      <c r="J22" s="646"/>
      <c r="K22" s="1626"/>
      <c r="M22" s="1638"/>
      <c r="N22" s="1638"/>
      <c r="O22" s="1632"/>
    </row>
    <row r="23" ht="15" customHeight="1">
      <c r="A23" s="1622"/>
      <c r="B23" s="1449"/>
      <c r="C23" s="1531" t="s">
        <v>3059</v>
      </c>
      <c r="D23" s="1460"/>
      <c r="E23" s="1486"/>
      <c r="F23" s="646"/>
      <c r="G23" s="1539"/>
      <c r="H23" s="1454"/>
      <c r="I23" s="1628"/>
      <c r="J23" s="646"/>
      <c r="K23" s="1626"/>
      <c r="M23" s="1639"/>
      <c r="N23" s="1639"/>
    </row>
    <row r="24" ht="12.75" customHeight="1">
      <c r="A24" s="1622"/>
      <c r="B24" s="1449"/>
      <c r="C24" s="1534"/>
      <c r="D24" s="1535" t="s">
        <v>1130</v>
      </c>
      <c r="E24" s="1640" t="n">
        <f aca="false">'Saisie et Calculateur'!J860</f>
        <v>0</v>
      </c>
      <c r="F24" s="1535"/>
      <c r="G24" s="1539"/>
      <c r="H24" s="1454"/>
      <c r="I24" s="1628"/>
      <c r="J24" s="646"/>
      <c r="K24" s="1626"/>
    </row>
    <row r="25" ht="12.75" customHeight="1">
      <c r="A25" s="1622"/>
      <c r="B25" s="1449"/>
      <c r="C25" s="646"/>
      <c r="D25" s="646"/>
      <c r="E25" s="646"/>
      <c r="F25" s="646"/>
      <c r="G25" s="1529"/>
      <c r="H25" s="646"/>
      <c r="I25" s="646"/>
      <c r="J25" s="646"/>
      <c r="K25" s="1626"/>
    </row>
    <row r="26" ht="12.75" customHeight="1">
      <c r="A26" s="1622"/>
      <c r="B26" s="1449"/>
      <c r="C26" s="646"/>
      <c r="D26" s="646"/>
      <c r="E26" s="646"/>
      <c r="F26" s="646"/>
      <c r="G26" s="1529"/>
      <c r="H26" s="646"/>
      <c r="I26" s="646"/>
      <c r="J26" s="646"/>
      <c r="K26" s="1626"/>
    </row>
    <row r="27" ht="15" customHeight="1">
      <c r="A27" s="1622"/>
      <c r="B27" s="1449" t="s">
        <v>673</v>
      </c>
      <c r="C27" s="1634" t="s">
        <v>3060</v>
      </c>
      <c r="D27" s="1634"/>
      <c r="E27" s="1634"/>
      <c r="F27" s="1634"/>
      <c r="G27" s="1634"/>
      <c r="H27" s="1634"/>
      <c r="I27" s="1635" t="s">
        <v>2989</v>
      </c>
      <c r="J27" s="646"/>
      <c r="K27" s="1626"/>
    </row>
    <row r="28" ht="12.75" customHeight="1">
      <c r="A28" s="1622"/>
      <c r="B28" s="1449"/>
      <c r="C28" s="646"/>
      <c r="D28" s="646"/>
      <c r="E28" s="646"/>
      <c r="F28" s="646"/>
      <c r="G28" s="1529"/>
      <c r="H28" s="646"/>
      <c r="I28" s="646"/>
      <c r="J28" s="646"/>
      <c r="K28" s="1626"/>
    </row>
    <row r="29" ht="25.5" customHeight="1">
      <c r="A29" s="1622"/>
      <c r="B29" s="1449"/>
      <c r="C29" s="1165" t="s">
        <v>2822</v>
      </c>
      <c r="D29" s="1165"/>
      <c r="E29" s="1165"/>
      <c r="F29" s="1165"/>
      <c r="G29" s="1165"/>
      <c r="H29" s="1171" t="s">
        <v>2823</v>
      </c>
      <c r="I29" s="1171" t="s">
        <v>2824</v>
      </c>
      <c r="J29" s="646"/>
      <c r="K29" s="1626"/>
      <c r="M29" s="1636"/>
    </row>
    <row r="30" ht="15" customHeight="1">
      <c r="A30" s="1622"/>
      <c r="B30" s="1449"/>
      <c r="C30" s="1460" t="s">
        <v>3061</v>
      </c>
      <c r="D30" s="1460"/>
      <c r="E30" s="1460"/>
      <c r="F30" s="1460"/>
      <c r="G30" s="1529" t="n">
        <f aca="false">MIN(4,SUM(F31:F33))</f>
        <v>0</v>
      </c>
      <c r="H30" s="1454" t="n">
        <f aca="false">G30+G35+G38</f>
        <v>0</v>
      </c>
      <c r="I30" s="1628" t="n">
        <f aca="false">MIN(6,H30)</f>
        <v>0</v>
      </c>
      <c r="J30" s="646"/>
      <c r="K30" s="1626"/>
      <c r="M30" s="1171" t="s">
        <v>3062</v>
      </c>
      <c r="N30" s="1171" t="s">
        <v>253</v>
      </c>
      <c r="O30" s="1192" t="s">
        <v>254</v>
      </c>
    </row>
    <row r="31" ht="12.75" customHeight="1">
      <c r="A31" s="1622"/>
      <c r="B31" s="1449"/>
      <c r="C31" s="1250" t="s">
        <v>3063</v>
      </c>
      <c r="D31" s="646" t="s">
        <v>2843</v>
      </c>
      <c r="E31" s="634" t="str">
        <f aca="false">'Saisie et Calculateur'!D867</f>
        <v>non</v>
      </c>
      <c r="F31" s="646" t="n">
        <f aca="false">IF(E31=N$30,N31,O31)</f>
        <v>0</v>
      </c>
      <c r="G31" s="1529"/>
      <c r="H31" s="1454"/>
      <c r="I31" s="1628"/>
      <c r="J31" s="646"/>
      <c r="K31" s="1626"/>
      <c r="M31" s="1171" t="s">
        <v>3063</v>
      </c>
      <c r="N31" s="1171" t="n">
        <v>2</v>
      </c>
      <c r="O31" s="1192" t="n">
        <v>0</v>
      </c>
    </row>
    <row r="32" ht="12.75" customHeight="1">
      <c r="A32" s="1622"/>
      <c r="B32" s="1449"/>
      <c r="C32" s="1250" t="s">
        <v>3064</v>
      </c>
      <c r="D32" s="646" t="s">
        <v>2843</v>
      </c>
      <c r="E32" s="634" t="str">
        <f aca="false">'Saisie et Calculateur'!D868</f>
        <v>non</v>
      </c>
      <c r="F32" s="646" t="n">
        <f aca="false">IF(E32=N$30,N32,O32)</f>
        <v>0</v>
      </c>
      <c r="G32" s="1529"/>
      <c r="H32" s="1454"/>
      <c r="I32" s="1628"/>
      <c r="J32" s="646"/>
      <c r="K32" s="1626"/>
      <c r="M32" s="1192" t="s">
        <v>3064</v>
      </c>
      <c r="N32" s="1192" t="n">
        <v>4</v>
      </c>
      <c r="O32" s="1192" t="n">
        <v>0</v>
      </c>
    </row>
    <row r="33" ht="12.75" customHeight="1">
      <c r="A33" s="1622"/>
      <c r="B33" s="1449"/>
      <c r="C33" s="1250" t="s">
        <v>3065</v>
      </c>
      <c r="D33" s="646" t="s">
        <v>2843</v>
      </c>
      <c r="E33" s="634" t="str">
        <f aca="false">'Saisie et Calculateur'!D869</f>
        <v>non</v>
      </c>
      <c r="F33" s="646" t="n">
        <f aca="false">IF(E33=N$30,N33,O33)</f>
        <v>0</v>
      </c>
      <c r="G33" s="1529"/>
      <c r="H33" s="1454"/>
      <c r="I33" s="1628"/>
      <c r="J33" s="646"/>
      <c r="K33" s="1626"/>
      <c r="M33" s="1192" t="s">
        <v>3065</v>
      </c>
      <c r="N33" s="1171" t="n">
        <v>2</v>
      </c>
      <c r="O33" s="1192" t="n">
        <v>0</v>
      </c>
    </row>
    <row r="34" ht="12.75" customHeight="1">
      <c r="A34" s="1622"/>
      <c r="B34" s="1449"/>
      <c r="C34" s="1250"/>
      <c r="D34" s="646"/>
      <c r="E34" s="646"/>
      <c r="F34" s="646"/>
      <c r="G34" s="1529"/>
      <c r="H34" s="1454"/>
      <c r="I34" s="1628"/>
      <c r="J34" s="646"/>
      <c r="K34" s="1626"/>
      <c r="M34" s="1380" t="s">
        <v>3066</v>
      </c>
      <c r="N34" s="1192" t="n">
        <v>2</v>
      </c>
      <c r="O34" s="1192" t="n">
        <v>0</v>
      </c>
    </row>
    <row r="35" ht="12.75" customHeight="1">
      <c r="A35" s="1622"/>
      <c r="B35" s="1449"/>
      <c r="C35" s="1538" t="s">
        <v>3067</v>
      </c>
      <c r="D35" s="1538"/>
      <c r="E35" s="1538"/>
      <c r="F35" s="1538"/>
      <c r="G35" s="1461" t="n">
        <f aca="false">IF(E36=N30,N34,O34)</f>
        <v>0</v>
      </c>
      <c r="H35" s="1454"/>
      <c r="I35" s="1628"/>
      <c r="J35" s="646"/>
      <c r="K35" s="1626"/>
      <c r="M35" s="1641" t="s">
        <v>3068</v>
      </c>
      <c r="N35" s="1641" t="n">
        <v>6</v>
      </c>
      <c r="O35" s="1641" t="n">
        <v>0</v>
      </c>
    </row>
    <row r="36" ht="12.75" customHeight="1">
      <c r="A36" s="1622"/>
      <c r="B36" s="1449"/>
      <c r="C36" s="1531"/>
      <c r="D36" s="1460" t="s">
        <v>2843</v>
      </c>
      <c r="E36" s="1486" t="str">
        <f aca="false">'Saisie et Calculateur'!D870</f>
        <v>non</v>
      </c>
      <c r="F36" s="646"/>
      <c r="G36" s="1461"/>
      <c r="H36" s="1454"/>
      <c r="I36" s="1628"/>
      <c r="J36" s="646"/>
      <c r="K36" s="1626"/>
    </row>
    <row r="37" ht="12.75" customHeight="1">
      <c r="A37" s="1622"/>
      <c r="B37" s="1449"/>
      <c r="C37" s="1531"/>
      <c r="D37" s="1460"/>
      <c r="E37" s="1486"/>
      <c r="F37" s="646"/>
      <c r="G37" s="1461"/>
      <c r="H37" s="1454"/>
      <c r="I37" s="1628"/>
      <c r="J37" s="646"/>
      <c r="K37" s="1626"/>
    </row>
    <row r="38" ht="12.75" customHeight="1">
      <c r="A38" s="1622"/>
      <c r="B38" s="1449"/>
      <c r="C38" s="1531" t="s">
        <v>3069</v>
      </c>
      <c r="D38" s="1460"/>
      <c r="E38" s="1486"/>
      <c r="F38" s="646"/>
      <c r="G38" s="1642" t="n">
        <f aca="false">IF(E39=N30,N35,O35)</f>
        <v>0</v>
      </c>
      <c r="H38" s="1454"/>
      <c r="I38" s="1628"/>
      <c r="J38" s="646"/>
      <c r="K38" s="1626"/>
    </row>
    <row r="39" ht="12.75" customHeight="1">
      <c r="A39" s="1622"/>
      <c r="B39" s="1449"/>
      <c r="C39" s="1550" t="s">
        <v>3070</v>
      </c>
      <c r="D39" s="1548" t="s">
        <v>2843</v>
      </c>
      <c r="E39" s="1643" t="str">
        <f aca="false">'Saisie et Calculateur'!D871</f>
        <v>non</v>
      </c>
      <c r="F39" s="1535"/>
      <c r="G39" s="1642"/>
      <c r="H39" s="1454"/>
      <c r="I39" s="1628"/>
      <c r="J39" s="646"/>
      <c r="K39" s="1626"/>
    </row>
    <row r="40" ht="12.75" customHeight="1">
      <c r="A40" s="1622"/>
      <c r="B40" s="1449"/>
      <c r="C40" s="646"/>
      <c r="D40" s="646"/>
      <c r="E40" s="646"/>
      <c r="F40" s="646"/>
      <c r="G40" s="1529"/>
      <c r="H40" s="646"/>
      <c r="I40" s="646"/>
      <c r="J40" s="646"/>
      <c r="K40" s="1626"/>
    </row>
    <row r="41" ht="12.75" customHeight="1">
      <c r="A41" s="1622"/>
      <c r="B41" s="1449"/>
      <c r="C41" s="646"/>
      <c r="D41" s="646"/>
      <c r="E41" s="646"/>
      <c r="F41" s="646"/>
      <c r="G41" s="1529"/>
      <c r="H41" s="646"/>
      <c r="I41" s="646"/>
      <c r="J41" s="646"/>
      <c r="K41" s="1626"/>
    </row>
    <row r="42" ht="15" customHeight="1">
      <c r="A42" s="1622"/>
      <c r="B42" s="1449" t="s">
        <v>688</v>
      </c>
      <c r="C42" s="1634" t="s">
        <v>3071</v>
      </c>
      <c r="D42" s="1634"/>
      <c r="E42" s="1634"/>
      <c r="F42" s="1634"/>
      <c r="G42" s="1634"/>
      <c r="H42" s="1634"/>
      <c r="I42" s="1635" t="s">
        <v>2989</v>
      </c>
      <c r="J42" s="646"/>
      <c r="K42" s="1626"/>
    </row>
    <row r="43" ht="12.75" customHeight="1">
      <c r="A43" s="1622"/>
      <c r="B43" s="1449"/>
      <c r="C43" s="646"/>
      <c r="D43" s="646"/>
      <c r="E43" s="646"/>
      <c r="F43" s="646"/>
      <c r="G43" s="1529"/>
      <c r="H43" s="646"/>
      <c r="I43" s="646"/>
      <c r="J43" s="646"/>
      <c r="K43" s="1626"/>
      <c r="R43" s="1485"/>
    </row>
    <row r="44" ht="25.5" customHeight="1">
      <c r="A44" s="1622"/>
      <c r="B44" s="1449"/>
      <c r="C44" s="1165" t="s">
        <v>2822</v>
      </c>
      <c r="D44" s="1165"/>
      <c r="E44" s="1165"/>
      <c r="F44" s="1165"/>
      <c r="G44" s="1165"/>
      <c r="H44" s="1171" t="s">
        <v>2823</v>
      </c>
      <c r="I44" s="1171" t="s">
        <v>2824</v>
      </c>
      <c r="J44" s="646"/>
      <c r="K44" s="1626"/>
    </row>
    <row r="45" ht="12.75" customHeight="1">
      <c r="A45" s="1622"/>
      <c r="B45" s="1449"/>
      <c r="C45" s="1140" t="s">
        <v>3072</v>
      </c>
      <c r="D45" s="1140"/>
      <c r="E45" s="1140"/>
      <c r="F45" s="1140"/>
      <c r="G45" s="1140"/>
      <c r="H45" s="1165" t="n">
        <f aca="false">D46</f>
        <v>2</v>
      </c>
      <c r="I45" s="1628" t="n">
        <f aca="false">MIN(6,H45)</f>
        <v>2</v>
      </c>
      <c r="J45" s="646"/>
      <c r="K45" s="1626"/>
    </row>
    <row r="46" ht="12.75" customHeight="1">
      <c r="A46" s="1622"/>
      <c r="B46" s="1449"/>
      <c r="C46" s="1550"/>
      <c r="D46" s="1548" t="n">
        <f aca="false">'Saisie et Calculateur'!F885</f>
        <v>2</v>
      </c>
      <c r="E46" s="1643"/>
      <c r="F46" s="1535"/>
      <c r="G46" s="1644"/>
      <c r="H46" s="1165"/>
      <c r="I46" s="1628"/>
      <c r="J46" s="646"/>
      <c r="K46" s="1626"/>
    </row>
    <row r="47" ht="12.75" customHeight="1">
      <c r="A47" s="1622"/>
      <c r="B47" s="1449"/>
      <c r="C47" s="646"/>
      <c r="D47" s="646"/>
      <c r="E47" s="646"/>
      <c r="F47" s="646"/>
      <c r="G47" s="1529"/>
      <c r="H47" s="646"/>
      <c r="I47" s="646"/>
      <c r="J47" s="646"/>
      <c r="K47" s="1626"/>
    </row>
    <row r="48" ht="12.75" customHeight="1">
      <c r="A48" s="1622"/>
      <c r="B48" s="1449"/>
      <c r="C48" s="646"/>
      <c r="D48" s="646"/>
      <c r="E48" s="646"/>
      <c r="F48" s="646"/>
      <c r="G48" s="1529"/>
      <c r="H48" s="646"/>
      <c r="I48" s="646"/>
      <c r="J48" s="646"/>
      <c r="K48" s="1626"/>
    </row>
    <row r="49" ht="15.75" customHeight="1">
      <c r="A49" s="1622"/>
      <c r="B49" s="1449" t="s">
        <v>740</v>
      </c>
      <c r="C49" s="1634" t="s">
        <v>3073</v>
      </c>
      <c r="D49" s="1634"/>
      <c r="E49" s="1634"/>
      <c r="F49" s="1634"/>
      <c r="G49" s="1634"/>
      <c r="H49" s="1634"/>
      <c r="I49" s="1635" t="s">
        <v>2989</v>
      </c>
      <c r="J49" s="646"/>
      <c r="K49" s="1626"/>
    </row>
    <row r="50" ht="12.75" customHeight="1">
      <c r="A50" s="1622"/>
      <c r="B50" s="1449"/>
      <c r="C50" s="646"/>
      <c r="D50" s="646"/>
      <c r="E50" s="646"/>
      <c r="F50" s="646"/>
      <c r="G50" s="1529"/>
      <c r="H50" s="646"/>
      <c r="I50" s="646"/>
      <c r="J50" s="646"/>
      <c r="K50" s="1626"/>
    </row>
    <row r="51" ht="25.5" customHeight="1">
      <c r="A51" s="1622"/>
      <c r="B51" s="1449"/>
      <c r="C51" s="1165" t="s">
        <v>2822</v>
      </c>
      <c r="D51" s="1165"/>
      <c r="E51" s="1165"/>
      <c r="F51" s="1165"/>
      <c r="G51" s="1165"/>
      <c r="H51" s="1171" t="s">
        <v>2823</v>
      </c>
      <c r="I51" s="1171" t="s">
        <v>2824</v>
      </c>
      <c r="J51" s="646"/>
      <c r="K51" s="1626"/>
    </row>
    <row r="52" ht="15" customHeight="1">
      <c r="A52" s="1622"/>
      <c r="B52" s="1449"/>
      <c r="C52" s="1645" t="s">
        <v>3074</v>
      </c>
      <c r="D52" s="1645"/>
      <c r="E52" s="1645"/>
      <c r="F52" s="1645"/>
      <c r="G52" s="1529" t="n">
        <f aca="false">IF(E54=N52,N53,O53)</f>
        <v>0</v>
      </c>
      <c r="H52" s="1454" t="n">
        <f aca="false">G52+G56+G60</f>
        <v>3</v>
      </c>
      <c r="I52" s="1628" t="n">
        <f aca="false">MIN(6,H52)</f>
        <v>3</v>
      </c>
      <c r="J52" s="646"/>
      <c r="K52" s="1626"/>
      <c r="M52" s="1171" t="s">
        <v>3062</v>
      </c>
      <c r="N52" s="1171" t="s">
        <v>1627</v>
      </c>
      <c r="O52" s="1192" t="s">
        <v>254</v>
      </c>
    </row>
    <row r="53" ht="12.75" customHeight="1">
      <c r="A53" s="1622"/>
      <c r="B53" s="1449"/>
      <c r="C53" s="1645"/>
      <c r="D53" s="1645"/>
      <c r="E53" s="1645"/>
      <c r="F53" s="1645"/>
      <c r="G53" s="1529"/>
      <c r="H53" s="1454"/>
      <c r="I53" s="1628"/>
      <c r="J53" s="646"/>
      <c r="K53" s="1626"/>
      <c r="M53" s="1171" t="s">
        <v>3075</v>
      </c>
      <c r="N53" s="1171" t="n">
        <v>3</v>
      </c>
      <c r="O53" s="1192" t="n">
        <v>0</v>
      </c>
    </row>
    <row r="54" ht="12.75" customHeight="1">
      <c r="A54" s="1622"/>
      <c r="B54" s="1449"/>
      <c r="C54" s="1250"/>
      <c r="D54" s="646" t="s">
        <v>2843</v>
      </c>
      <c r="E54" s="1485" t="str">
        <f aca="false">'Saisie et Calculateur'!E890</f>
        <v>non</v>
      </c>
      <c r="F54" s="646"/>
      <c r="G54" s="1529"/>
      <c r="H54" s="1454"/>
      <c r="I54" s="1628"/>
      <c r="J54" s="646"/>
      <c r="K54" s="1626"/>
      <c r="M54" s="1192" t="s">
        <v>2861</v>
      </c>
      <c r="N54" s="1192" t="n">
        <v>3</v>
      </c>
      <c r="O54" s="1192" t="n">
        <v>0</v>
      </c>
    </row>
    <row r="55" ht="12.75" customHeight="1">
      <c r="A55" s="1622"/>
      <c r="B55" s="1449"/>
      <c r="C55" s="1250"/>
      <c r="D55" s="646"/>
      <c r="E55" s="1485"/>
      <c r="F55" s="646"/>
      <c r="G55" s="1529"/>
      <c r="H55" s="1454"/>
      <c r="I55" s="1628"/>
      <c r="J55" s="646"/>
      <c r="K55" s="1626"/>
      <c r="M55" s="1192" t="s">
        <v>3076</v>
      </c>
      <c r="N55" s="1192" t="n">
        <v>3</v>
      </c>
      <c r="O55" s="1192" t="n">
        <v>0</v>
      </c>
    </row>
    <row r="56" ht="15" customHeight="1">
      <c r="A56" s="1622"/>
      <c r="B56" s="1449"/>
      <c r="C56" s="1530" t="s">
        <v>3077</v>
      </c>
      <c r="D56" s="1530"/>
      <c r="E56" s="1530"/>
      <c r="F56" s="1530"/>
      <c r="G56" s="1631" t="n">
        <f aca="false">IF(E58=N52,N54,O54)</f>
        <v>0</v>
      </c>
      <c r="H56" s="1454"/>
      <c r="I56" s="1628"/>
      <c r="J56" s="646"/>
      <c r="K56" s="1626"/>
    </row>
    <row r="57" ht="12.75" customHeight="1">
      <c r="A57" s="1622"/>
      <c r="B57" s="1449"/>
      <c r="C57" s="1530"/>
      <c r="D57" s="1530"/>
      <c r="E57" s="1530"/>
      <c r="F57" s="1530"/>
      <c r="G57" s="1631"/>
      <c r="H57" s="1454"/>
      <c r="I57" s="1628"/>
      <c r="J57" s="646"/>
      <c r="K57" s="1626"/>
    </row>
    <row r="58" ht="12.75" customHeight="1">
      <c r="A58" s="1622"/>
      <c r="B58" s="1449"/>
      <c r="C58" s="1530"/>
      <c r="D58" s="1460" t="s">
        <v>2843</v>
      </c>
      <c r="E58" s="1460" t="str">
        <f aca="false">'Saisie et Calculateur'!E893</f>
        <v>non</v>
      </c>
      <c r="F58" s="1460"/>
      <c r="G58" s="1631"/>
      <c r="H58" s="1454"/>
      <c r="I58" s="1628"/>
      <c r="J58" s="646"/>
      <c r="K58" s="1626"/>
    </row>
    <row r="59" ht="12.75" customHeight="1">
      <c r="A59" s="1622"/>
      <c r="B59" s="1449"/>
      <c r="C59" s="1530"/>
      <c r="D59" s="1460"/>
      <c r="E59" s="1460"/>
      <c r="F59" s="1460"/>
      <c r="G59" s="1631"/>
      <c r="H59" s="1454"/>
      <c r="I59" s="1628"/>
      <c r="J59" s="646"/>
      <c r="K59" s="1626"/>
    </row>
    <row r="60" ht="15" customHeight="1">
      <c r="A60" s="1622"/>
      <c r="B60" s="1449"/>
      <c r="C60" s="1530" t="s">
        <v>3078</v>
      </c>
      <c r="D60" s="1530"/>
      <c r="E60" s="1530"/>
      <c r="F60" s="1530"/>
      <c r="G60" s="1539" t="n">
        <f aca="false">IF(E62=N52,N55,O55)</f>
        <v>3</v>
      </c>
      <c r="H60" s="1454"/>
      <c r="I60" s="1628"/>
      <c r="J60" s="646"/>
      <c r="K60" s="1626"/>
    </row>
    <row r="61" ht="29.25" customHeight="1">
      <c r="A61" s="1622"/>
      <c r="B61" s="1449"/>
      <c r="C61" s="1530"/>
      <c r="D61" s="1530"/>
      <c r="E61" s="1530"/>
      <c r="F61" s="1530"/>
      <c r="G61" s="1539"/>
      <c r="H61" s="1454"/>
      <c r="I61" s="1628"/>
      <c r="J61" s="646"/>
      <c r="K61" s="1626"/>
    </row>
    <row r="62" ht="12.75" customHeight="1">
      <c r="A62" s="1622"/>
      <c r="B62" s="1449"/>
      <c r="C62" s="1545"/>
      <c r="D62" s="1548" t="s">
        <v>2843</v>
      </c>
      <c r="E62" s="1548" t="str">
        <f aca="false">'Saisie et Calculateur'!E897</f>
        <v>oui</v>
      </c>
      <c r="F62" s="1548"/>
      <c r="G62" s="1539"/>
      <c r="H62" s="1454"/>
      <c r="I62" s="1628"/>
      <c r="J62" s="646"/>
      <c r="K62" s="1626"/>
    </row>
    <row r="63" ht="13.5" customHeight="1">
      <c r="A63" s="1622"/>
      <c r="B63" s="1369"/>
      <c r="C63" s="584"/>
      <c r="D63" s="584"/>
      <c r="E63" s="584"/>
      <c r="F63" s="584"/>
      <c r="G63" s="1513"/>
      <c r="H63" s="646"/>
      <c r="I63" s="646"/>
      <c r="J63" s="646"/>
      <c r="K63" s="1626"/>
    </row>
    <row r="65" ht="29.25" customHeight="1">
      <c r="A65" s="1646" t="s">
        <v>3079</v>
      </c>
      <c r="B65" s="646" t="s">
        <v>680</v>
      </c>
      <c r="C65" s="1647" t="s">
        <v>3080</v>
      </c>
      <c r="D65" s="1647"/>
      <c r="E65" s="1647"/>
      <c r="F65" s="1647"/>
      <c r="G65" s="1647"/>
      <c r="H65" s="1647"/>
      <c r="I65" s="1648" t="s">
        <v>2821</v>
      </c>
      <c r="J65" s="646"/>
      <c r="K65" s="1649" t="n">
        <f aca="false">MIN(25,SUM(I68,I78,I89,I102,I125,I141,I154,I162))</f>
        <v>16</v>
      </c>
      <c r="M65" s="646"/>
      <c r="N65" s="646"/>
      <c r="O65" s="646"/>
      <c r="P65" s="646"/>
      <c r="Q65" s="646"/>
      <c r="R65" s="646"/>
    </row>
    <row r="66" ht="12.75" customHeight="1">
      <c r="A66" s="1646"/>
      <c r="B66" s="646"/>
      <c r="C66" s="646"/>
      <c r="D66" s="646"/>
      <c r="E66" s="646"/>
      <c r="F66" s="646"/>
      <c r="G66" s="1529"/>
      <c r="H66" s="646"/>
      <c r="I66" s="646"/>
      <c r="J66" s="646"/>
      <c r="K66" s="1649"/>
      <c r="M66" s="646"/>
      <c r="N66" s="1165"/>
      <c r="O66" s="1165"/>
      <c r="P66" s="1165"/>
      <c r="Q66" s="1165"/>
      <c r="R66" s="646"/>
    </row>
    <row r="67" ht="25.5" customHeight="1">
      <c r="A67" s="1646"/>
      <c r="B67" s="646"/>
      <c r="C67" s="1165" t="s">
        <v>2822</v>
      </c>
      <c r="D67" s="1165"/>
      <c r="E67" s="1165"/>
      <c r="F67" s="1165"/>
      <c r="G67" s="1165"/>
      <c r="H67" s="1171" t="s">
        <v>2823</v>
      </c>
      <c r="I67" s="1171" t="s">
        <v>2824</v>
      </c>
      <c r="J67" s="646"/>
      <c r="K67" s="1649"/>
      <c r="M67" s="1165"/>
      <c r="N67" s="1165"/>
      <c r="O67" s="1165"/>
      <c r="P67" s="1165"/>
      <c r="Q67" s="1501" t="s">
        <v>3081</v>
      </c>
      <c r="R67" s="1501"/>
    </row>
    <row r="68" ht="12.75" customHeight="1">
      <c r="A68" s="1646"/>
      <c r="B68" s="646"/>
      <c r="C68" s="1538" t="s">
        <v>3082</v>
      </c>
      <c r="D68" s="1538"/>
      <c r="E68" s="1538"/>
      <c r="F68" s="1538"/>
      <c r="G68" s="1631" t="n">
        <f aca="false">IF(E69=M68,O68,IF(E69=M69,O69,O70))</f>
        <v>0</v>
      </c>
      <c r="H68" s="1454" t="n">
        <f aca="false">G68+G71</f>
        <v>0</v>
      </c>
      <c r="I68" s="1628" t="n">
        <f aca="false">MIN(5,H68)</f>
        <v>0</v>
      </c>
      <c r="J68" s="646"/>
      <c r="K68" s="1649"/>
      <c r="M68" s="1483" t="s">
        <v>3083</v>
      </c>
      <c r="N68" s="1483"/>
      <c r="O68" s="1650" t="n">
        <v>5</v>
      </c>
      <c r="Q68" s="1501"/>
      <c r="R68" s="1501"/>
    </row>
    <row r="69" ht="12.75" customHeight="1">
      <c r="A69" s="1646"/>
      <c r="B69" s="646"/>
      <c r="C69" s="1531"/>
      <c r="D69" s="1460" t="s">
        <v>2843</v>
      </c>
      <c r="E69" s="1460" t="str">
        <f aca="false">'Saisie et Calculateur'!E901</f>
        <v>Non</v>
      </c>
      <c r="F69" s="1485"/>
      <c r="G69" s="1631"/>
      <c r="H69" s="1454"/>
      <c r="I69" s="1628"/>
      <c r="J69" s="646"/>
      <c r="K69" s="1649"/>
      <c r="M69" s="1483" t="s">
        <v>3084</v>
      </c>
      <c r="N69" s="1483"/>
      <c r="O69" s="1650" t="n">
        <v>3</v>
      </c>
      <c r="Q69" s="1483" t="s">
        <v>253</v>
      </c>
      <c r="R69" s="1483" t="n">
        <v>3</v>
      </c>
    </row>
    <row r="70" ht="12.75" customHeight="1">
      <c r="A70" s="1646"/>
      <c r="B70" s="646"/>
      <c r="C70" s="1531"/>
      <c r="D70" s="1460"/>
      <c r="E70" s="1486"/>
      <c r="F70" s="646"/>
      <c r="G70" s="1631"/>
      <c r="H70" s="1454"/>
      <c r="I70" s="1628"/>
      <c r="J70" s="646"/>
      <c r="K70" s="1649"/>
      <c r="M70" s="1487" t="s">
        <v>1346</v>
      </c>
      <c r="N70" s="1487"/>
      <c r="O70" s="1650" t="n">
        <v>0</v>
      </c>
      <c r="Q70" s="1483" t="s">
        <v>254</v>
      </c>
      <c r="R70" s="1483" t="n">
        <v>0</v>
      </c>
    </row>
    <row r="71" ht="12.75" customHeight="1">
      <c r="A71" s="1646"/>
      <c r="B71" s="646"/>
      <c r="C71" s="1531" t="s">
        <v>3085</v>
      </c>
      <c r="D71" s="1531"/>
      <c r="E71" s="1531"/>
      <c r="F71" s="1531"/>
      <c r="G71" s="1539" t="n">
        <f aca="false">IF(E72=Q69,R69,R70)</f>
        <v>0</v>
      </c>
      <c r="H71" s="1454"/>
      <c r="I71" s="1628"/>
      <c r="J71" s="646"/>
      <c r="K71" s="1649"/>
    </row>
    <row r="72" ht="12.75" customHeight="1">
      <c r="A72" s="1646"/>
      <c r="B72" s="646"/>
      <c r="C72" s="1651"/>
      <c r="D72" s="1535" t="s">
        <v>2843</v>
      </c>
      <c r="E72" s="1557" t="str">
        <f aca="false">'Saisie et Calculateur'!E905</f>
        <v>non</v>
      </c>
      <c r="F72" s="1535"/>
      <c r="G72" s="1539"/>
      <c r="H72" s="1454"/>
      <c r="I72" s="1628"/>
      <c r="J72" s="646"/>
      <c r="K72" s="1649"/>
    </row>
    <row r="73" ht="12.75" customHeight="1">
      <c r="A73" s="1646"/>
      <c r="B73" s="646"/>
      <c r="C73" s="646"/>
      <c r="D73" s="646"/>
      <c r="E73" s="646"/>
      <c r="F73" s="646"/>
      <c r="G73" s="1529"/>
      <c r="H73" s="646"/>
      <c r="I73" s="646"/>
      <c r="J73" s="646"/>
      <c r="K73" s="1649"/>
    </row>
    <row r="74" ht="12.75" customHeight="1">
      <c r="A74" s="1646"/>
      <c r="B74" s="646"/>
      <c r="C74" s="646"/>
      <c r="D74" s="646"/>
      <c r="E74" s="646"/>
      <c r="F74" s="646"/>
      <c r="G74" s="1529"/>
      <c r="H74" s="646"/>
      <c r="I74" s="646"/>
      <c r="J74" s="646"/>
      <c r="K74" s="1649"/>
    </row>
    <row r="75" ht="12.75" customHeight="1">
      <c r="A75" s="1646"/>
      <c r="B75" s="646" t="s">
        <v>716</v>
      </c>
      <c r="C75" s="1634" t="s">
        <v>3086</v>
      </c>
      <c r="D75" s="1634"/>
      <c r="E75" s="1634"/>
      <c r="F75" s="1634"/>
      <c r="G75" s="1634"/>
      <c r="H75" s="1634"/>
      <c r="I75" s="1635" t="s">
        <v>3087</v>
      </c>
      <c r="J75" s="646"/>
      <c r="K75" s="1649"/>
    </row>
    <row r="76" ht="12.75" customHeight="1">
      <c r="A76" s="1646"/>
      <c r="B76" s="646"/>
      <c r="C76" s="646"/>
      <c r="D76" s="646"/>
      <c r="E76" s="646"/>
      <c r="F76" s="646"/>
      <c r="G76" s="1529"/>
      <c r="H76" s="646"/>
      <c r="I76" s="646"/>
      <c r="J76" s="646"/>
      <c r="K76" s="1649"/>
    </row>
    <row r="77" ht="25.5" customHeight="1">
      <c r="A77" s="1646"/>
      <c r="B77" s="646"/>
      <c r="C77" s="1165" t="s">
        <v>2822</v>
      </c>
      <c r="D77" s="1165"/>
      <c r="E77" s="1165"/>
      <c r="F77" s="1165"/>
      <c r="G77" s="1165"/>
      <c r="H77" s="1171" t="s">
        <v>2823</v>
      </c>
      <c r="I77" s="1171" t="s">
        <v>2824</v>
      </c>
      <c r="J77" s="646"/>
      <c r="K77" s="1649"/>
    </row>
    <row r="78" ht="12.75" customHeight="1">
      <c r="A78" s="1646"/>
      <c r="B78" s="646"/>
      <c r="C78" s="1460" t="s">
        <v>3088</v>
      </c>
      <c r="D78" s="1460"/>
      <c r="E78" s="1460"/>
      <c r="F78" s="1460"/>
      <c r="G78" s="1529" t="n">
        <f aca="false">IF(E79=M79,N79,N80)</f>
        <v>0</v>
      </c>
      <c r="H78" s="1454" t="n">
        <f aca="false">G78+G80+G82</f>
        <v>0</v>
      </c>
      <c r="I78" s="1628" t="n">
        <f aca="false">MIN(3,H78)</f>
        <v>0</v>
      </c>
      <c r="J78" s="646"/>
      <c r="K78" s="1649"/>
      <c r="M78" s="1192" t="s">
        <v>3062</v>
      </c>
      <c r="N78" s="1192" t="s">
        <v>3075</v>
      </c>
      <c r="O78" s="1192" t="s">
        <v>2861</v>
      </c>
      <c r="P78" s="1165" t="s">
        <v>3089</v>
      </c>
    </row>
    <row r="79" ht="12.75" customHeight="1">
      <c r="A79" s="1646"/>
      <c r="B79" s="646"/>
      <c r="C79" s="1250"/>
      <c r="D79" s="646" t="s">
        <v>2843</v>
      </c>
      <c r="E79" s="646" t="str">
        <f aca="false">'Saisie et Calculateur'!C912</f>
        <v>non</v>
      </c>
      <c r="F79" s="646"/>
      <c r="G79" s="1529"/>
      <c r="H79" s="1454"/>
      <c r="I79" s="1628"/>
      <c r="J79" s="646"/>
      <c r="K79" s="1649"/>
      <c r="M79" s="1301" t="s">
        <v>253</v>
      </c>
      <c r="N79" s="1301" t="n">
        <v>2</v>
      </c>
      <c r="O79" s="1301" t="n">
        <v>2</v>
      </c>
      <c r="P79" s="1165" t="n">
        <v>2</v>
      </c>
    </row>
    <row r="80" ht="12.75" customHeight="1">
      <c r="A80" s="1646"/>
      <c r="B80" s="646"/>
      <c r="C80" s="1538" t="s">
        <v>3090</v>
      </c>
      <c r="D80" s="1538"/>
      <c r="E80" s="1538"/>
      <c r="F80" s="1538"/>
      <c r="G80" s="1532" t="n">
        <f aca="false">IF(E81=M79,O79,O80)</f>
        <v>0</v>
      </c>
      <c r="H80" s="1454"/>
      <c r="I80" s="1628"/>
      <c r="J80" s="646"/>
      <c r="K80" s="1649"/>
      <c r="M80" s="1165" t="s">
        <v>254</v>
      </c>
      <c r="N80" s="1165" t="n">
        <v>0</v>
      </c>
      <c r="O80" s="1165" t="n">
        <v>0</v>
      </c>
      <c r="P80" s="1165" t="n">
        <v>0</v>
      </c>
    </row>
    <row r="81" ht="12.75" customHeight="1">
      <c r="A81" s="1646"/>
      <c r="B81" s="646"/>
      <c r="C81" s="1531"/>
      <c r="D81" s="646" t="s">
        <v>2843</v>
      </c>
      <c r="E81" s="1486" t="str">
        <f aca="false">'Saisie et Calculateur'!C914</f>
        <v>non</v>
      </c>
      <c r="F81" s="646"/>
      <c r="G81" s="1532"/>
      <c r="H81" s="1454"/>
      <c r="I81" s="1628"/>
      <c r="J81" s="646"/>
      <c r="K81" s="1649"/>
    </row>
    <row r="82" ht="12.75" customHeight="1">
      <c r="A82" s="1646"/>
      <c r="B82" s="646"/>
      <c r="C82" s="1531" t="s">
        <v>3091</v>
      </c>
      <c r="D82" s="1531"/>
      <c r="E82" s="1531"/>
      <c r="F82" s="1531"/>
      <c r="G82" s="1539" t="n">
        <f aca="false">IF(E83=M79,P79,P80)</f>
        <v>0</v>
      </c>
      <c r="H82" s="1454"/>
      <c r="I82" s="1628"/>
      <c r="J82" s="646"/>
      <c r="K82" s="1649"/>
    </row>
    <row r="83" ht="12.75" customHeight="1">
      <c r="A83" s="1646"/>
      <c r="B83" s="646"/>
      <c r="C83" s="1534"/>
      <c r="D83" s="1535" t="s">
        <v>2843</v>
      </c>
      <c r="E83" s="1535" t="str">
        <f aca="false">'Saisie et Calculateur'!C915</f>
        <v>non</v>
      </c>
      <c r="F83" s="1535"/>
      <c r="G83" s="1539"/>
      <c r="H83" s="1454"/>
      <c r="I83" s="1628"/>
      <c r="J83" s="646"/>
      <c r="K83" s="1649"/>
    </row>
    <row r="84" ht="12.75" customHeight="1">
      <c r="A84" s="1646"/>
      <c r="B84" s="646"/>
      <c r="C84" s="646"/>
      <c r="D84" s="646"/>
      <c r="E84" s="646"/>
      <c r="F84" s="646"/>
      <c r="G84" s="1529"/>
      <c r="H84" s="646"/>
      <c r="I84" s="646"/>
      <c r="J84" s="646"/>
      <c r="K84" s="1649"/>
    </row>
    <row r="85" ht="12.75" customHeight="1">
      <c r="A85" s="1646"/>
      <c r="B85" s="646"/>
      <c r="C85" s="646"/>
      <c r="D85" s="646"/>
      <c r="E85" s="646"/>
      <c r="F85" s="646"/>
      <c r="G85" s="1529"/>
      <c r="H85" s="646"/>
      <c r="I85" s="646"/>
      <c r="J85" s="646"/>
      <c r="K85" s="1649"/>
    </row>
    <row r="86" ht="12.75" customHeight="1">
      <c r="A86" s="1646"/>
      <c r="B86" s="646" t="s">
        <v>955</v>
      </c>
      <c r="C86" s="1634" t="s">
        <v>3092</v>
      </c>
      <c r="D86" s="1634"/>
      <c r="E86" s="1634"/>
      <c r="F86" s="1634"/>
      <c r="G86" s="1634"/>
      <c r="H86" s="1634"/>
      <c r="I86" s="1635" t="s">
        <v>2821</v>
      </c>
      <c r="J86" s="646"/>
      <c r="K86" s="1649"/>
      <c r="Q86" s="646"/>
      <c r="R86" s="646"/>
    </row>
    <row r="87" ht="12.75" customHeight="1">
      <c r="A87" s="1646"/>
      <c r="B87" s="646"/>
      <c r="C87" s="646"/>
      <c r="D87" s="646"/>
      <c r="E87" s="646"/>
      <c r="F87" s="646"/>
      <c r="G87" s="1529"/>
      <c r="H87" s="646"/>
      <c r="I87" s="646"/>
      <c r="J87" s="646"/>
      <c r="K87" s="1649"/>
      <c r="M87" s="1192" t="s">
        <v>3093</v>
      </c>
      <c r="N87" s="1522"/>
      <c r="O87" s="1522" t="n">
        <v>0.05</v>
      </c>
      <c r="P87" s="1652" t="n">
        <v>0.5</v>
      </c>
      <c r="Q87" s="1522"/>
      <c r="R87" s="1522"/>
    </row>
    <row r="88" ht="25.5" customHeight="1">
      <c r="A88" s="1646"/>
      <c r="B88" s="646"/>
      <c r="C88" s="1165" t="s">
        <v>2822</v>
      </c>
      <c r="D88" s="1165"/>
      <c r="E88" s="1165"/>
      <c r="F88" s="1165"/>
      <c r="G88" s="1165"/>
      <c r="H88" s="1171" t="s">
        <v>2823</v>
      </c>
      <c r="I88" s="1171" t="s">
        <v>2824</v>
      </c>
      <c r="J88" s="646"/>
      <c r="K88" s="1649"/>
      <c r="M88" s="1165" t="s">
        <v>3075</v>
      </c>
      <c r="N88" s="1165" t="n">
        <v>0</v>
      </c>
      <c r="O88" s="1165" t="n">
        <v>1</v>
      </c>
      <c r="P88" s="1653" t="n">
        <v>2</v>
      </c>
      <c r="Q88" s="1165"/>
      <c r="R88" s="1165"/>
    </row>
    <row r="89" ht="12.75" customHeight="1">
      <c r="A89" s="1646"/>
      <c r="B89" s="646"/>
      <c r="C89" s="1460" t="s">
        <v>3094</v>
      </c>
      <c r="D89" s="1460"/>
      <c r="E89" s="1460"/>
      <c r="F89" s="1460"/>
      <c r="G89" s="1529" t="n">
        <f aca="false">IF(E90&gt;=P87,P88,IF(E90&gt;=O87,O88,N88))</f>
        <v>0</v>
      </c>
      <c r="H89" s="1454" t="n">
        <f aca="false">G89+G92+G95</f>
        <v>0</v>
      </c>
      <c r="I89" s="1628" t="n">
        <f aca="false">MIN(5,H89)</f>
        <v>0</v>
      </c>
      <c r="J89" s="646"/>
      <c r="K89" s="1649"/>
    </row>
    <row r="90" ht="12.75" customHeight="1">
      <c r="A90" s="1646"/>
      <c r="B90" s="646"/>
      <c r="C90" s="1530"/>
      <c r="D90" s="646" t="s">
        <v>1130</v>
      </c>
      <c r="E90" s="1629" t="n">
        <f aca="false">'Saisie et Calculateur'!J919</f>
        <v>0</v>
      </c>
      <c r="F90" s="1486"/>
      <c r="G90" s="1529"/>
      <c r="H90" s="1454"/>
      <c r="I90" s="1628"/>
      <c r="J90" s="646"/>
      <c r="K90" s="1649"/>
      <c r="M90" s="646"/>
      <c r="N90" s="646"/>
      <c r="O90" s="646"/>
      <c r="P90" s="646"/>
    </row>
    <row r="91" ht="12.75" customHeight="1">
      <c r="A91" s="1646"/>
      <c r="B91" s="646"/>
      <c r="C91" s="1250"/>
      <c r="D91" s="646"/>
      <c r="E91" s="646"/>
      <c r="F91" s="646"/>
      <c r="G91" s="1529"/>
      <c r="H91" s="1454"/>
      <c r="I91" s="1628"/>
      <c r="J91" s="646"/>
      <c r="K91" s="1649"/>
      <c r="M91" s="1171"/>
      <c r="N91" s="1171"/>
      <c r="O91" s="1192"/>
      <c r="P91" s="646"/>
    </row>
    <row r="92" ht="12.75" customHeight="1">
      <c r="A92" s="1646"/>
      <c r="B92" s="646"/>
      <c r="C92" s="1538" t="s">
        <v>3095</v>
      </c>
      <c r="D92" s="1538"/>
      <c r="E92" s="1538"/>
      <c r="F92" s="1538"/>
      <c r="G92" s="1532" t="n">
        <f aca="false">MAX(F93:F94)</f>
        <v>0</v>
      </c>
      <c r="H92" s="1454"/>
      <c r="I92" s="1628"/>
      <c r="J92" s="646"/>
      <c r="K92" s="1649"/>
      <c r="L92" s="646"/>
      <c r="M92" s="1165"/>
      <c r="N92" s="1165"/>
      <c r="O92" s="1165"/>
      <c r="P92" s="646"/>
      <c r="Q92" s="1165"/>
    </row>
    <row r="93" ht="12.75" customHeight="1">
      <c r="A93" s="1646"/>
      <c r="B93" s="646"/>
      <c r="C93" s="1250"/>
      <c r="D93" s="646" t="s">
        <v>3096</v>
      </c>
      <c r="E93" s="1486" t="str">
        <f aca="false">'Saisie et Calculateur'!D922</f>
        <v>non</v>
      </c>
      <c r="F93" s="646" t="n">
        <f aca="false">IF(E93="oui",3,0)</f>
        <v>0</v>
      </c>
      <c r="G93" s="1532"/>
      <c r="H93" s="1454"/>
      <c r="I93" s="1628"/>
      <c r="J93" s="1654"/>
      <c r="K93" s="1649"/>
      <c r="M93" s="1165"/>
      <c r="N93" s="1165"/>
      <c r="O93" s="1165"/>
      <c r="P93" s="646"/>
      <c r="Q93" s="1165"/>
    </row>
    <row r="94" ht="12.75" customHeight="1">
      <c r="A94" s="1646"/>
      <c r="B94" s="646"/>
      <c r="C94" s="1531"/>
      <c r="D94" s="646" t="s">
        <v>3097</v>
      </c>
      <c r="E94" s="634" t="str">
        <f aca="false">'Saisie et Calculateur'!D923</f>
        <v>non</v>
      </c>
      <c r="F94" s="646" t="n">
        <f aca="false">IF(E94="oui",2,0)</f>
        <v>0</v>
      </c>
      <c r="G94" s="1532"/>
      <c r="H94" s="1454"/>
      <c r="I94" s="1628"/>
      <c r="J94" s="646"/>
      <c r="K94" s="1649"/>
      <c r="M94" s="646"/>
      <c r="N94" s="646"/>
      <c r="O94" s="646"/>
      <c r="P94" s="646"/>
      <c r="Q94" s="1165"/>
    </row>
    <row r="95" ht="12.75" customHeight="1">
      <c r="A95" s="1646"/>
      <c r="B95" s="646"/>
      <c r="C95" s="1531" t="s">
        <v>3098</v>
      </c>
      <c r="D95" s="1531"/>
      <c r="E95" s="1531"/>
      <c r="F95" s="1531"/>
      <c r="G95" s="1539" t="n">
        <f aca="false">IF(E96="oui",3,0)</f>
        <v>0</v>
      </c>
      <c r="H95" s="1454"/>
      <c r="I95" s="1628"/>
      <c r="J95" s="646"/>
      <c r="K95" s="1649"/>
    </row>
    <row r="96" ht="12.75" customHeight="1">
      <c r="A96" s="1646"/>
      <c r="B96" s="646"/>
      <c r="C96" s="1534"/>
      <c r="D96" s="1535" t="s">
        <v>2843</v>
      </c>
      <c r="E96" s="1655" t="str">
        <f aca="false">'Saisie et Calculateur'!E925</f>
        <v>non</v>
      </c>
      <c r="F96" s="1535"/>
      <c r="G96" s="1539"/>
      <c r="H96" s="1454"/>
      <c r="I96" s="1628"/>
      <c r="J96" s="646"/>
      <c r="K96" s="1649"/>
    </row>
    <row r="97" ht="12.75" customHeight="1">
      <c r="A97" s="1646"/>
      <c r="B97" s="646"/>
      <c r="C97" s="646"/>
      <c r="D97" s="646"/>
      <c r="E97" s="646"/>
      <c r="F97" s="646"/>
      <c r="G97" s="1529"/>
      <c r="H97" s="646"/>
      <c r="I97" s="646"/>
      <c r="J97" s="646"/>
      <c r="K97" s="1649"/>
    </row>
    <row r="98" ht="12.75" customHeight="1">
      <c r="A98" s="1646"/>
      <c r="B98" s="646"/>
      <c r="C98" s="646"/>
      <c r="D98" s="646"/>
      <c r="E98" s="646"/>
      <c r="F98" s="646"/>
      <c r="G98" s="1529"/>
      <c r="H98" s="646"/>
      <c r="I98" s="646"/>
      <c r="J98" s="646"/>
      <c r="K98" s="1649"/>
    </row>
    <row r="99" ht="12.75" customHeight="1">
      <c r="A99" s="1646"/>
      <c r="B99" s="646" t="s">
        <v>227</v>
      </c>
      <c r="C99" s="1634" t="s">
        <v>3099</v>
      </c>
      <c r="D99" s="1634"/>
      <c r="E99" s="1634"/>
      <c r="F99" s="1634"/>
      <c r="G99" s="1634"/>
      <c r="H99" s="1634"/>
      <c r="I99" s="1635" t="s">
        <v>2821</v>
      </c>
      <c r="J99" s="646"/>
      <c r="K99" s="1649"/>
      <c r="M99" s="1356"/>
      <c r="N99" s="1165"/>
    </row>
    <row r="100" ht="12.75" customHeight="1">
      <c r="A100" s="1646"/>
      <c r="B100" s="646"/>
      <c r="C100" s="646"/>
      <c r="D100" s="646"/>
      <c r="E100" s="646"/>
      <c r="F100" s="646"/>
      <c r="G100" s="1529"/>
      <c r="H100" s="646"/>
      <c r="I100" s="646"/>
      <c r="J100" s="646"/>
      <c r="K100" s="1649"/>
      <c r="M100" s="1165" t="s">
        <v>3100</v>
      </c>
      <c r="N100" s="1472" t="n">
        <v>0.7</v>
      </c>
      <c r="O100" s="276"/>
      <c r="Q100" s="1165" t="s">
        <v>3101</v>
      </c>
      <c r="R100" s="1472" t="n">
        <v>0.7</v>
      </c>
      <c r="S100" s="276"/>
    </row>
    <row r="101" ht="25.5" customHeight="1">
      <c r="A101" s="1646"/>
      <c r="B101" s="646"/>
      <c r="C101" s="1165" t="s">
        <v>2822</v>
      </c>
      <c r="D101" s="1165"/>
      <c r="E101" s="1165"/>
      <c r="F101" s="1165"/>
      <c r="G101" s="1165"/>
      <c r="H101" s="1171" t="s">
        <v>2823</v>
      </c>
      <c r="I101" s="1171" t="s">
        <v>2824</v>
      </c>
      <c r="J101" s="646"/>
      <c r="K101" s="1649"/>
      <c r="M101" s="276" t="s">
        <v>2855</v>
      </c>
      <c r="N101" s="1165" t="n">
        <v>2</v>
      </c>
      <c r="O101" s="1165" t="n">
        <v>0</v>
      </c>
      <c r="Q101" s="276" t="s">
        <v>2855</v>
      </c>
      <c r="R101" s="1165" t="n">
        <v>1</v>
      </c>
      <c r="S101" s="1165" t="n">
        <v>0</v>
      </c>
    </row>
    <row r="102" ht="12.75" customHeight="1">
      <c r="A102" s="1646"/>
      <c r="B102" s="646"/>
      <c r="C102" s="1452" t="s">
        <v>3102</v>
      </c>
      <c r="D102" s="1452"/>
      <c r="E102" s="1452"/>
      <c r="F102" s="1452"/>
      <c r="G102" s="1584" t="n">
        <f aca="false">MIN(5,SUM(F103:F108))</f>
        <v>3</v>
      </c>
      <c r="H102" s="1454" t="n">
        <f aca="false">G102+G110+G116</f>
        <v>6</v>
      </c>
      <c r="I102" s="1628" t="n">
        <f aca="false">IF(H102&lt;0,0,MIN(5,H102))</f>
        <v>5</v>
      </c>
      <c r="J102" s="646"/>
      <c r="K102" s="1649"/>
    </row>
    <row r="103" ht="12.75" customHeight="1">
      <c r="A103" s="1646"/>
      <c r="B103" s="646"/>
      <c r="C103" s="1457" t="s">
        <v>3103</v>
      </c>
      <c r="D103" s="646" t="s">
        <v>1130</v>
      </c>
      <c r="E103" s="1462" t="n">
        <f aca="false">'Saisie et Calculateur'!D931</f>
        <v>0</v>
      </c>
      <c r="F103" s="646" t="n">
        <f aca="false">IF(E103="NC",0,IF(E103&gt;=N100,N101,O101))</f>
        <v>0</v>
      </c>
      <c r="G103" s="1584"/>
      <c r="H103" s="1454"/>
      <c r="I103" s="1628"/>
      <c r="J103" s="646"/>
      <c r="K103" s="1649"/>
      <c r="M103" s="1192" t="s">
        <v>3104</v>
      </c>
      <c r="N103" s="1192"/>
      <c r="P103" s="1192" t="s">
        <v>3105</v>
      </c>
      <c r="Q103" s="1192"/>
      <c r="S103" s="1192" t="s">
        <v>3106</v>
      </c>
      <c r="T103" s="1192"/>
      <c r="V103" s="1192" t="s">
        <v>3107</v>
      </c>
      <c r="W103" s="1192"/>
    </row>
    <row r="104" ht="12.75" customHeight="1">
      <c r="A104" s="1646"/>
      <c r="B104" s="646"/>
      <c r="C104" s="1457" t="s">
        <v>3108</v>
      </c>
      <c r="D104" s="646" t="s">
        <v>1130</v>
      </c>
      <c r="E104" s="1462" t="n">
        <f aca="false">'Saisie et Calculateur'!D933</f>
        <v>1</v>
      </c>
      <c r="F104" s="646" t="n">
        <f aca="false">IF(E104&gt;=R100,R101,S101)</f>
        <v>1</v>
      </c>
      <c r="G104" s="1584"/>
      <c r="H104" s="1454"/>
      <c r="I104" s="1628"/>
      <c r="J104" s="646"/>
      <c r="K104" s="1649"/>
      <c r="M104" s="1165" t="s">
        <v>253</v>
      </c>
      <c r="N104" s="1165" t="n">
        <v>1</v>
      </c>
      <c r="P104" s="1165" t="s">
        <v>253</v>
      </c>
      <c r="Q104" s="1165" t="n">
        <v>1</v>
      </c>
      <c r="S104" s="1165" t="s">
        <v>253</v>
      </c>
      <c r="T104" s="1165" t="n">
        <v>1</v>
      </c>
      <c r="V104" s="1165" t="s">
        <v>253</v>
      </c>
      <c r="W104" s="1165" t="n">
        <v>1</v>
      </c>
    </row>
    <row r="105" ht="12.75" customHeight="1">
      <c r="A105" s="1646"/>
      <c r="B105" s="646"/>
      <c r="C105" s="1457" t="s">
        <v>3109</v>
      </c>
      <c r="D105" s="646" t="s">
        <v>2843</v>
      </c>
      <c r="E105" s="634" t="str">
        <f aca="false">'Saisie et Calculateur'!D934</f>
        <v>non</v>
      </c>
      <c r="F105" s="646" t="n">
        <f aca="false">IF(E105=P104,Q104,Q105)</f>
        <v>0</v>
      </c>
      <c r="G105" s="1584"/>
      <c r="H105" s="1454"/>
      <c r="I105" s="1628"/>
      <c r="J105" s="646"/>
      <c r="K105" s="1649"/>
      <c r="M105" s="1165" t="s">
        <v>254</v>
      </c>
      <c r="N105" s="1165" t="n">
        <v>0</v>
      </c>
      <c r="P105" s="1165" t="s">
        <v>254</v>
      </c>
      <c r="Q105" s="1165" t="n">
        <v>0</v>
      </c>
      <c r="S105" s="1165" t="s">
        <v>254</v>
      </c>
      <c r="T105" s="1165" t="n">
        <v>0</v>
      </c>
      <c r="V105" s="1165" t="s">
        <v>254</v>
      </c>
      <c r="W105" s="1165" t="n">
        <v>0</v>
      </c>
    </row>
    <row r="106" ht="12.75" customHeight="1">
      <c r="A106" s="1646"/>
      <c r="B106" s="646"/>
      <c r="C106" s="1457" t="s">
        <v>1302</v>
      </c>
      <c r="D106" s="646" t="s">
        <v>2843</v>
      </c>
      <c r="E106" s="1629" t="str">
        <f aca="false">'Saisie et Calculateur'!D936</f>
        <v>oui</v>
      </c>
      <c r="F106" s="646" t="n">
        <f aca="false">IF(E106=M104,N104,N105)</f>
        <v>1</v>
      </c>
      <c r="G106" s="1584"/>
      <c r="H106" s="1454"/>
      <c r="I106" s="1628"/>
      <c r="J106" s="646"/>
      <c r="K106" s="1649"/>
      <c r="R106" s="1356"/>
    </row>
    <row r="107" ht="15.75" customHeight="1">
      <c r="A107" s="1646"/>
      <c r="B107" s="646"/>
      <c r="C107" s="1656" t="s">
        <v>3106</v>
      </c>
      <c r="D107" s="1485" t="s">
        <v>2843</v>
      </c>
      <c r="E107" s="1486" t="str">
        <f aca="false">'Saisie et Calculateur'!D937</f>
        <v>non</v>
      </c>
      <c r="F107" s="1461" t="n">
        <f aca="false">IF(E107=S104,T104,T105)</f>
        <v>0</v>
      </c>
      <c r="G107" s="1584"/>
      <c r="H107" s="1454"/>
      <c r="I107" s="1628"/>
      <c r="J107" s="646"/>
      <c r="K107" s="1649"/>
      <c r="R107" s="1165"/>
    </row>
    <row r="108" ht="12.75" customHeight="1">
      <c r="A108" s="1646"/>
      <c r="B108" s="646"/>
      <c r="C108" s="1457" t="s">
        <v>3110</v>
      </c>
      <c r="D108" s="646" t="s">
        <v>2843</v>
      </c>
      <c r="E108" s="1657" t="str">
        <f aca="false">'Saisie et Calculateur'!D940</f>
        <v>oui</v>
      </c>
      <c r="F108" s="1461" t="n">
        <f aca="false">IF(E108=V104,W104,W105)</f>
        <v>1</v>
      </c>
      <c r="G108" s="1584"/>
      <c r="H108" s="1454"/>
      <c r="I108" s="1628"/>
      <c r="J108" s="646"/>
      <c r="K108" s="1649"/>
      <c r="M108" s="1192" t="s">
        <v>3111</v>
      </c>
      <c r="N108" s="1192"/>
      <c r="P108" s="1192" t="s">
        <v>3112</v>
      </c>
      <c r="Q108" s="1192"/>
      <c r="R108" s="1165"/>
      <c r="S108" s="1192" t="s">
        <v>3113</v>
      </c>
      <c r="T108" s="1192"/>
      <c r="V108" s="1192" t="s">
        <v>3114</v>
      </c>
      <c r="W108" s="1192"/>
    </row>
    <row r="109" ht="12.75" customHeight="1">
      <c r="A109" s="1646"/>
      <c r="B109" s="646"/>
      <c r="C109" s="1457"/>
      <c r="D109" s="646"/>
      <c r="E109" s="646"/>
      <c r="F109" s="646"/>
      <c r="G109" s="1658"/>
      <c r="H109" s="1454"/>
      <c r="I109" s="1628"/>
      <c r="J109" s="646"/>
      <c r="K109" s="1649"/>
      <c r="M109" s="1165" t="s">
        <v>253</v>
      </c>
      <c r="N109" s="1165" t="n">
        <v>2</v>
      </c>
      <c r="P109" s="1165" t="s">
        <v>253</v>
      </c>
      <c r="Q109" s="1165" t="n">
        <v>2</v>
      </c>
      <c r="S109" s="1165" t="s">
        <v>253</v>
      </c>
      <c r="T109" s="1165" t="n">
        <v>2</v>
      </c>
      <c r="V109" s="1165" t="s">
        <v>253</v>
      </c>
      <c r="W109" s="1165" t="n">
        <v>2</v>
      </c>
    </row>
    <row r="110" ht="12.75" customHeight="1">
      <c r="A110" s="1646"/>
      <c r="B110" s="646"/>
      <c r="C110" s="1459" t="s">
        <v>3115</v>
      </c>
      <c r="D110" s="1459"/>
      <c r="E110" s="1459"/>
      <c r="F110" s="1459"/>
      <c r="G110" s="1659" t="n">
        <f aca="false">MIN(3,SUM(F111:F114))</f>
        <v>3</v>
      </c>
      <c r="H110" s="1454"/>
      <c r="I110" s="1628"/>
      <c r="J110" s="646"/>
      <c r="K110" s="1649"/>
      <c r="M110" s="1165" t="s">
        <v>254</v>
      </c>
      <c r="N110" s="1165" t="n">
        <v>0</v>
      </c>
      <c r="P110" s="1165" t="s">
        <v>254</v>
      </c>
      <c r="Q110" s="1165" t="n">
        <v>0</v>
      </c>
      <c r="S110" s="1165" t="s">
        <v>254</v>
      </c>
      <c r="T110" s="1165" t="n">
        <v>0</v>
      </c>
      <c r="V110" s="1165" t="s">
        <v>254</v>
      </c>
      <c r="W110" s="1165" t="n">
        <v>0</v>
      </c>
    </row>
    <row r="111" ht="12.75" customHeight="1">
      <c r="A111" s="1646"/>
      <c r="B111" s="646"/>
      <c r="C111" s="1457" t="s">
        <v>3111</v>
      </c>
      <c r="D111" s="646" t="s">
        <v>2843</v>
      </c>
      <c r="E111" s="646" t="str">
        <f aca="false">'Saisie et Calculateur'!E944</f>
        <v>non</v>
      </c>
      <c r="F111" s="1461" t="n">
        <f aca="false">IF(E111=M109,N109,N110)</f>
        <v>0</v>
      </c>
      <c r="G111" s="1659"/>
      <c r="H111" s="1454"/>
      <c r="I111" s="1628"/>
      <c r="J111" s="646"/>
      <c r="K111" s="1649"/>
    </row>
    <row r="112" ht="12.75" customHeight="1">
      <c r="A112" s="1646"/>
      <c r="B112" s="646"/>
      <c r="C112" s="1457" t="s">
        <v>3112</v>
      </c>
      <c r="D112" s="646" t="s">
        <v>2843</v>
      </c>
      <c r="E112" s="646" t="str">
        <f aca="false">'Saisie et Calculateur'!E945</f>
        <v>non</v>
      </c>
      <c r="F112" s="1461" t="n">
        <f aca="false">IF(E112=P109,Q109,Q110)</f>
        <v>0</v>
      </c>
      <c r="G112" s="1659"/>
      <c r="H112" s="1454"/>
      <c r="I112" s="1628"/>
      <c r="J112" s="646"/>
      <c r="K112" s="1649"/>
    </row>
    <row r="113" ht="13.5" customHeight="1">
      <c r="A113" s="1646"/>
      <c r="B113" s="646"/>
      <c r="C113" s="1457" t="s">
        <v>3113</v>
      </c>
      <c r="D113" s="646" t="s">
        <v>2843</v>
      </c>
      <c r="E113" s="646" t="str">
        <f aca="false">'Saisie et Calculateur'!E947</f>
        <v>oui</v>
      </c>
      <c r="F113" s="1461" t="n">
        <f aca="false">IF(E113=S109,T109,T110)</f>
        <v>2</v>
      </c>
      <c r="G113" s="1659"/>
      <c r="H113" s="1454"/>
      <c r="I113" s="1628"/>
      <c r="J113" s="646"/>
      <c r="K113" s="1649"/>
      <c r="M113" s="1165"/>
      <c r="N113" s="1165"/>
    </row>
    <row r="114" ht="13.5" customHeight="1">
      <c r="A114" s="1646"/>
      <c r="B114" s="646"/>
      <c r="C114" s="1457" t="s">
        <v>3114</v>
      </c>
      <c r="D114" s="646" t="s">
        <v>2843</v>
      </c>
      <c r="E114" s="646" t="str">
        <f aca="false">'Saisie et Calculateur'!E948</f>
        <v>oui</v>
      </c>
      <c r="F114" s="1461" t="n">
        <f aca="false">IF(E114=V109,W109,W110)</f>
        <v>2</v>
      </c>
      <c r="G114" s="1659"/>
      <c r="H114" s="1454"/>
      <c r="I114" s="1628"/>
      <c r="J114" s="646"/>
      <c r="K114" s="1649"/>
      <c r="M114" s="1192" t="s">
        <v>3116</v>
      </c>
      <c r="N114" s="1192"/>
      <c r="P114" s="1192" t="s">
        <v>3117</v>
      </c>
      <c r="Q114" s="1192"/>
      <c r="S114" s="1192" t="s">
        <v>3118</v>
      </c>
      <c r="T114" s="1192"/>
    </row>
    <row r="115" ht="13.5" customHeight="1">
      <c r="A115" s="1646"/>
      <c r="B115" s="646"/>
      <c r="C115" s="1457"/>
      <c r="D115" s="646"/>
      <c r="E115" s="646"/>
      <c r="F115" s="646"/>
      <c r="G115" s="1658"/>
      <c r="H115" s="1454"/>
      <c r="I115" s="1628"/>
      <c r="J115" s="646"/>
      <c r="K115" s="1649"/>
      <c r="M115" s="1165" t="s">
        <v>253</v>
      </c>
      <c r="N115" s="1165" t="n">
        <v>2</v>
      </c>
      <c r="P115" s="1165" t="s">
        <v>253</v>
      </c>
      <c r="Q115" s="1165" t="n">
        <v>2</v>
      </c>
      <c r="S115" s="1165" t="s">
        <v>253</v>
      </c>
      <c r="T115" s="1165" t="n">
        <v>2</v>
      </c>
    </row>
    <row r="116" ht="13.5" customHeight="1">
      <c r="A116" s="1646"/>
      <c r="B116" s="646"/>
      <c r="C116" s="1459" t="s">
        <v>3119</v>
      </c>
      <c r="D116" s="1459"/>
      <c r="E116" s="1459"/>
      <c r="F116" s="1459"/>
      <c r="G116" s="1660" t="n">
        <f aca="false">MIN(2,SUM(F117:F119))</f>
        <v>0</v>
      </c>
      <c r="H116" s="1454"/>
      <c r="I116" s="1628"/>
      <c r="J116" s="646"/>
      <c r="K116" s="1649"/>
      <c r="M116" s="1165" t="s">
        <v>254</v>
      </c>
      <c r="N116" s="1165" t="n">
        <v>0</v>
      </c>
      <c r="P116" s="1165" t="s">
        <v>254</v>
      </c>
      <c r="Q116" s="1165" t="n">
        <v>0</v>
      </c>
      <c r="S116" s="1165" t="s">
        <v>254</v>
      </c>
      <c r="T116" s="1165" t="n">
        <v>0</v>
      </c>
    </row>
    <row r="117" ht="13.5" customHeight="1">
      <c r="A117" s="1646"/>
      <c r="B117" s="646"/>
      <c r="C117" s="1473" t="s">
        <v>3116</v>
      </c>
      <c r="D117" s="646" t="s">
        <v>2843</v>
      </c>
      <c r="E117" s="634" t="str">
        <f aca="false">'Saisie et Calculateur'!D951</f>
        <v>non</v>
      </c>
      <c r="F117" s="634" t="n">
        <f aca="false">IF(E117=M115,N115,N116)</f>
        <v>0</v>
      </c>
      <c r="G117" s="1660"/>
      <c r="H117" s="1454"/>
      <c r="I117" s="1628"/>
      <c r="J117" s="646"/>
      <c r="K117" s="1649"/>
      <c r="M117" s="1165"/>
      <c r="N117" s="1165"/>
      <c r="T117" s="1661"/>
    </row>
    <row r="118" ht="13.5" customHeight="1">
      <c r="A118" s="1646"/>
      <c r="B118" s="646"/>
      <c r="C118" s="1473" t="s">
        <v>3117</v>
      </c>
      <c r="D118" s="646" t="s">
        <v>2843</v>
      </c>
      <c r="E118" s="634" t="str">
        <f aca="false">'Saisie et Calculateur'!D952</f>
        <v>non</v>
      </c>
      <c r="F118" s="634" t="n">
        <f aca="false">IF(E118=P115,Q115,Q116)</f>
        <v>0</v>
      </c>
      <c r="G118" s="1660"/>
      <c r="H118" s="1454"/>
      <c r="I118" s="1628"/>
      <c r="J118" s="646"/>
      <c r="K118" s="1649"/>
      <c r="M118" s="1165"/>
      <c r="N118" s="1165"/>
      <c r="T118" s="1165"/>
      <c r="U118" s="1165"/>
      <c r="V118" s="1165"/>
      <c r="W118" s="1165"/>
      <c r="X118" s="646"/>
    </row>
    <row r="119" ht="13.5" customHeight="1">
      <c r="A119" s="1646"/>
      <c r="B119" s="646"/>
      <c r="C119" s="1504" t="s">
        <v>3118</v>
      </c>
      <c r="D119" s="1478" t="s">
        <v>2843</v>
      </c>
      <c r="E119" s="1616" t="str">
        <f aca="false">'Saisie et Calculateur'!D953</f>
        <v>non</v>
      </c>
      <c r="F119" s="1616" t="n">
        <f aca="false">IF(E119=S115,T115,T116)</f>
        <v>0</v>
      </c>
      <c r="G119" s="1660"/>
      <c r="H119" s="1454"/>
      <c r="I119" s="1628"/>
      <c r="J119" s="646"/>
      <c r="K119" s="1649"/>
      <c r="T119" s="1165"/>
      <c r="U119" s="1165"/>
      <c r="V119" s="1165"/>
      <c r="W119" s="1165"/>
      <c r="X119" s="646"/>
    </row>
    <row r="120" ht="13.5" customHeight="1">
      <c r="A120" s="1646"/>
      <c r="B120" s="646"/>
      <c r="C120" s="646"/>
      <c r="D120" s="646"/>
      <c r="E120" s="646"/>
      <c r="F120" s="646"/>
      <c r="G120" s="1529"/>
      <c r="H120" s="646"/>
      <c r="I120" s="646"/>
      <c r="J120" s="646"/>
      <c r="K120" s="1649"/>
      <c r="T120" s="1165"/>
      <c r="U120" s="1165"/>
      <c r="V120" s="1165"/>
      <c r="W120" s="1165"/>
      <c r="X120" s="646"/>
    </row>
    <row r="121" ht="13.5" customHeight="1">
      <c r="A121" s="1646"/>
      <c r="B121" s="646"/>
      <c r="C121" s="646"/>
      <c r="D121" s="646"/>
      <c r="E121" s="646"/>
      <c r="F121" s="646"/>
      <c r="G121" s="1529"/>
      <c r="H121" s="646"/>
      <c r="I121" s="646"/>
      <c r="J121" s="646"/>
      <c r="K121" s="1649"/>
      <c r="T121" s="1165"/>
      <c r="U121" s="1165"/>
      <c r="V121" s="1165"/>
      <c r="W121" s="1165"/>
      <c r="X121" s="646"/>
    </row>
    <row r="122" ht="13.5" customHeight="1">
      <c r="A122" s="1646"/>
      <c r="B122" s="646" t="s">
        <v>257</v>
      </c>
      <c r="C122" s="1634" t="s">
        <v>3120</v>
      </c>
      <c r="D122" s="1634"/>
      <c r="E122" s="1634"/>
      <c r="F122" s="1634"/>
      <c r="G122" s="1634"/>
      <c r="H122" s="1634"/>
      <c r="I122" s="1635" t="s">
        <v>3087</v>
      </c>
      <c r="J122" s="646"/>
      <c r="K122" s="1649"/>
      <c r="T122" s="1165"/>
      <c r="U122" s="1165"/>
      <c r="V122" s="1165"/>
      <c r="W122" s="1165"/>
    </row>
    <row r="123" ht="13.5" customHeight="1">
      <c r="A123" s="1646"/>
      <c r="B123" s="646"/>
      <c r="C123" s="646"/>
      <c r="D123" s="646"/>
      <c r="E123" s="646"/>
      <c r="F123" s="646"/>
      <c r="G123" s="1529"/>
      <c r="H123" s="646"/>
      <c r="I123" s="646"/>
      <c r="J123" s="646"/>
      <c r="K123" s="1649"/>
    </row>
    <row r="124" ht="25.5" customHeight="1">
      <c r="A124" s="1646"/>
      <c r="B124" s="646"/>
      <c r="C124" s="1165" t="s">
        <v>2822</v>
      </c>
      <c r="D124" s="1165"/>
      <c r="E124" s="1165"/>
      <c r="F124" s="1165"/>
      <c r="G124" s="1165"/>
      <c r="H124" s="1171" t="s">
        <v>2823</v>
      </c>
      <c r="I124" s="1171" t="s">
        <v>2824</v>
      </c>
      <c r="J124" s="646"/>
      <c r="K124" s="1649"/>
      <c r="M124" s="1485"/>
    </row>
    <row r="125" ht="13.5" customHeight="1">
      <c r="A125" s="1646"/>
      <c r="B125" s="646"/>
      <c r="C125" s="1645" t="s">
        <v>3121</v>
      </c>
      <c r="D125" s="1645"/>
      <c r="E125" s="1645"/>
      <c r="F125" s="1645"/>
      <c r="G125" s="1529" t="n">
        <f aca="false">MIN(1,D126)</f>
        <v>1</v>
      </c>
      <c r="H125" s="1454" t="n">
        <f aca="false">ROUND(G125+G128+G131+G134,0)</f>
        <v>3</v>
      </c>
      <c r="I125" s="1628" t="n">
        <f aca="false">MIN(3,H125)</f>
        <v>3</v>
      </c>
      <c r="J125" s="646"/>
      <c r="K125" s="1649"/>
      <c r="M125" s="1171" t="s">
        <v>3062</v>
      </c>
      <c r="N125" s="1171" t="s">
        <v>253</v>
      </c>
      <c r="O125" s="1192" t="s">
        <v>254</v>
      </c>
    </row>
    <row r="126" ht="12.75" customHeight="1">
      <c r="A126" s="1646"/>
      <c r="B126" s="646"/>
      <c r="C126" s="1250"/>
      <c r="D126" s="1662" t="n">
        <f aca="false">'Saisie et Calculateur'!D958</f>
        <v>1</v>
      </c>
      <c r="E126" s="646"/>
      <c r="F126" s="646"/>
      <c r="G126" s="1529"/>
      <c r="H126" s="1454"/>
      <c r="I126" s="1628"/>
      <c r="J126" s="646"/>
      <c r="K126" s="1649"/>
      <c r="M126" s="1192" t="s">
        <v>3076</v>
      </c>
      <c r="N126" s="1192" t="n">
        <v>1</v>
      </c>
      <c r="O126" s="1192" t="n">
        <v>0</v>
      </c>
    </row>
    <row r="127" ht="15.75" customHeight="1">
      <c r="A127" s="1646"/>
      <c r="B127" s="646"/>
      <c r="C127" s="1250"/>
      <c r="D127" s="1662"/>
      <c r="E127" s="646"/>
      <c r="F127" s="646"/>
      <c r="G127" s="1529"/>
      <c r="H127" s="1454"/>
      <c r="I127" s="1628"/>
      <c r="J127" s="646"/>
      <c r="K127" s="1649"/>
    </row>
    <row r="128" ht="12.75" customHeight="1">
      <c r="A128" s="1646"/>
      <c r="B128" s="646"/>
      <c r="C128" s="1530" t="s">
        <v>3122</v>
      </c>
      <c r="D128" s="1530"/>
      <c r="E128" s="1530"/>
      <c r="F128" s="1530"/>
      <c r="G128" s="1631" t="n">
        <f aca="false">MIN(1,D129)</f>
        <v>1</v>
      </c>
      <c r="H128" s="1454"/>
      <c r="I128" s="1628"/>
      <c r="J128" s="646"/>
      <c r="K128" s="1649"/>
    </row>
    <row r="129" ht="12.75" customHeight="1">
      <c r="A129" s="1646"/>
      <c r="B129" s="646"/>
      <c r="C129" s="1558"/>
      <c r="D129" s="584" t="n">
        <f aca="false">'Saisie et Calculateur'!J958</f>
        <v>1</v>
      </c>
      <c r="E129" s="646"/>
      <c r="F129" s="584"/>
      <c r="G129" s="1631"/>
      <c r="H129" s="1454"/>
      <c r="I129" s="1628"/>
      <c r="J129" s="646"/>
      <c r="K129" s="1649"/>
    </row>
    <row r="130" ht="15.75" customHeight="1">
      <c r="A130" s="1646"/>
      <c r="B130" s="646"/>
      <c r="C130" s="1558"/>
      <c r="D130" s="584"/>
      <c r="E130" s="646"/>
      <c r="F130" s="584"/>
      <c r="G130" s="1631"/>
      <c r="H130" s="1454"/>
      <c r="I130" s="1628"/>
      <c r="J130" s="646"/>
      <c r="K130" s="1649"/>
    </row>
    <row r="131" ht="12.75" customHeight="1">
      <c r="A131" s="1646"/>
      <c r="B131" s="646"/>
      <c r="C131" s="1530" t="s">
        <v>3123</v>
      </c>
      <c r="D131" s="1530"/>
      <c r="E131" s="1530"/>
      <c r="F131" s="1530"/>
      <c r="G131" s="1631" t="n">
        <f aca="false">IF(D132=N125,N126,O126)</f>
        <v>1</v>
      </c>
      <c r="H131" s="1454"/>
      <c r="I131" s="1628"/>
      <c r="J131" s="646"/>
      <c r="K131" s="1649"/>
    </row>
    <row r="132" ht="12.75" customHeight="1">
      <c r="A132" s="1646"/>
      <c r="B132" s="646"/>
      <c r="C132" s="1530" t="s">
        <v>2843</v>
      </c>
      <c r="D132" s="1486" t="str">
        <f aca="false">'Saisie et Calculateur'!D964</f>
        <v>oui</v>
      </c>
      <c r="E132" s="646"/>
      <c r="F132" s="1460"/>
      <c r="G132" s="1631"/>
      <c r="H132" s="1454"/>
      <c r="I132" s="1628"/>
      <c r="J132" s="646"/>
      <c r="K132" s="1649"/>
      <c r="N132" s="1192"/>
      <c r="O132" s="1192"/>
      <c r="P132" s="1192"/>
    </row>
    <row r="133" ht="12.75" customHeight="1">
      <c r="A133" s="1646"/>
      <c r="B133" s="646"/>
      <c r="C133" s="1530"/>
      <c r="D133" s="1460"/>
      <c r="E133" s="1460"/>
      <c r="F133" s="1460"/>
      <c r="G133" s="1631"/>
      <c r="H133" s="1454"/>
      <c r="I133" s="1628"/>
      <c r="J133" s="646"/>
      <c r="K133" s="1649"/>
      <c r="N133" s="646"/>
      <c r="O133" s="646"/>
      <c r="P133" s="646"/>
    </row>
    <row r="134" ht="12.75" customHeight="1">
      <c r="A134" s="1646"/>
      <c r="B134" s="646"/>
      <c r="C134" s="1531" t="s">
        <v>3124</v>
      </c>
      <c r="D134" s="1531"/>
      <c r="E134" s="1531"/>
      <c r="F134" s="1531"/>
      <c r="G134" s="1539" t="n">
        <f aca="false">'Saisie et Calculateur'!D966</f>
        <v>0</v>
      </c>
      <c r="H134" s="1454"/>
      <c r="I134" s="1628"/>
      <c r="J134" s="646"/>
      <c r="K134" s="1649"/>
      <c r="P134" s="646"/>
    </row>
    <row r="135" ht="12.75" customHeight="1">
      <c r="A135" s="1646"/>
      <c r="B135" s="646"/>
      <c r="C135" s="1545"/>
      <c r="D135" s="1548"/>
      <c r="E135" s="1548"/>
      <c r="F135" s="1548"/>
      <c r="G135" s="1539"/>
      <c r="H135" s="1454"/>
      <c r="I135" s="1628"/>
      <c r="J135" s="646"/>
      <c r="K135" s="1649"/>
      <c r="P135" s="646"/>
    </row>
    <row r="136" ht="12.75" customHeight="1">
      <c r="A136" s="1646"/>
      <c r="B136" s="646"/>
      <c r="C136" s="646"/>
      <c r="D136" s="646"/>
      <c r="E136" s="646"/>
      <c r="F136" s="646"/>
      <c r="G136" s="1529"/>
      <c r="H136" s="646"/>
      <c r="I136" s="646"/>
      <c r="J136" s="646"/>
      <c r="K136" s="1649"/>
      <c r="P136" s="646"/>
    </row>
    <row r="137" ht="12.75" customHeight="1">
      <c r="A137" s="1646"/>
      <c r="B137" s="646"/>
      <c r="C137" s="646"/>
      <c r="D137" s="646"/>
      <c r="E137" s="646"/>
      <c r="F137" s="646"/>
      <c r="G137" s="1529"/>
      <c r="H137" s="646"/>
      <c r="I137" s="646"/>
      <c r="J137" s="646"/>
      <c r="K137" s="1649"/>
    </row>
    <row r="138" ht="15" customHeight="1">
      <c r="A138" s="1646"/>
      <c r="B138" s="646" t="s">
        <v>721</v>
      </c>
      <c r="C138" s="1634" t="s">
        <v>3125</v>
      </c>
      <c r="D138" s="1634"/>
      <c r="E138" s="1634"/>
      <c r="F138" s="1634"/>
      <c r="G138" s="1634"/>
      <c r="H138" s="1634"/>
      <c r="I138" s="1635" t="s">
        <v>3087</v>
      </c>
      <c r="J138" s="646"/>
      <c r="K138" s="1649"/>
    </row>
    <row r="139" ht="12.75" customHeight="1">
      <c r="A139" s="1646"/>
      <c r="B139" s="646"/>
      <c r="C139" s="646"/>
      <c r="D139" s="646"/>
      <c r="E139" s="646"/>
      <c r="F139" s="646"/>
      <c r="G139" s="1529"/>
      <c r="H139" s="646"/>
      <c r="I139" s="646"/>
      <c r="J139" s="646"/>
      <c r="K139" s="1649"/>
    </row>
    <row r="140" ht="25.5" customHeight="1">
      <c r="A140" s="1646"/>
      <c r="B140" s="646"/>
      <c r="C140" s="1165" t="s">
        <v>2822</v>
      </c>
      <c r="D140" s="1165"/>
      <c r="E140" s="1165"/>
      <c r="F140" s="1165"/>
      <c r="G140" s="1165"/>
      <c r="H140" s="1171" t="s">
        <v>2823</v>
      </c>
      <c r="I140" s="1171" t="s">
        <v>2824</v>
      </c>
      <c r="J140" s="646"/>
      <c r="K140" s="1649"/>
    </row>
    <row r="141" ht="12.75" customHeight="1">
      <c r="A141" s="1646"/>
      <c r="B141" s="646"/>
      <c r="C141" s="1460" t="s">
        <v>3126</v>
      </c>
      <c r="D141" s="1460"/>
      <c r="E141" s="1460"/>
      <c r="F141" s="1460"/>
      <c r="G141" s="1529" t="n">
        <f aca="false">IF(E142=N141,N142,O142)</f>
        <v>2</v>
      </c>
      <c r="H141" s="1454" t="n">
        <f aca="false">G141+G144+G147</f>
        <v>3</v>
      </c>
      <c r="I141" s="1628" t="n">
        <f aca="false">MIN(3,H141)</f>
        <v>3</v>
      </c>
      <c r="J141" s="646"/>
      <c r="K141" s="1649"/>
      <c r="M141" s="1171" t="s">
        <v>3062</v>
      </c>
      <c r="N141" s="1171" t="s">
        <v>253</v>
      </c>
      <c r="O141" s="1192" t="s">
        <v>254</v>
      </c>
    </row>
    <row r="142" ht="12.75" customHeight="1">
      <c r="A142" s="1646"/>
      <c r="B142" s="646"/>
      <c r="C142" s="1250"/>
      <c r="D142" s="646" t="s">
        <v>2843</v>
      </c>
      <c r="E142" s="646" t="str">
        <f aca="false">'Saisie et Calculateur'!B973</f>
        <v>oui</v>
      </c>
      <c r="F142" s="646"/>
      <c r="G142" s="1529"/>
      <c r="H142" s="1454"/>
      <c r="I142" s="1628"/>
      <c r="J142" s="646"/>
      <c r="K142" s="1649"/>
      <c r="M142" s="1171" t="s">
        <v>3075</v>
      </c>
      <c r="N142" s="1171" t="n">
        <v>2</v>
      </c>
      <c r="O142" s="1192" t="n">
        <v>0</v>
      </c>
    </row>
    <row r="143" ht="12.75" customHeight="1">
      <c r="A143" s="1646"/>
      <c r="B143" s="646"/>
      <c r="C143" s="1250"/>
      <c r="D143" s="646"/>
      <c r="E143" s="646"/>
      <c r="F143" s="646"/>
      <c r="G143" s="1529"/>
      <c r="H143" s="1454"/>
      <c r="I143" s="1628"/>
      <c r="J143" s="646"/>
      <c r="K143" s="1649"/>
      <c r="M143" s="1192" t="s">
        <v>2861</v>
      </c>
      <c r="N143" s="1192" t="n">
        <v>3</v>
      </c>
      <c r="O143" s="1192" t="n">
        <v>0</v>
      </c>
    </row>
    <row r="144" ht="12.75" customHeight="1">
      <c r="A144" s="1646"/>
      <c r="B144" s="646"/>
      <c r="C144" s="1538" t="s">
        <v>3127</v>
      </c>
      <c r="D144" s="1538"/>
      <c r="E144" s="1538"/>
      <c r="F144" s="1538"/>
      <c r="G144" s="1631" t="n">
        <f aca="false">IF(E145=N141,N143,O143)</f>
        <v>0</v>
      </c>
      <c r="H144" s="1454"/>
      <c r="I144" s="1628"/>
      <c r="J144" s="646"/>
      <c r="K144" s="1649"/>
      <c r="M144" s="1192" t="s">
        <v>3076</v>
      </c>
      <c r="N144" s="1192" t="n">
        <v>1</v>
      </c>
      <c r="O144" s="1192" t="n">
        <v>0</v>
      </c>
    </row>
    <row r="145" ht="12.75" customHeight="1">
      <c r="A145" s="1646"/>
      <c r="B145" s="646"/>
      <c r="C145" s="1531"/>
      <c r="D145" s="646" t="s">
        <v>2843</v>
      </c>
      <c r="E145" s="1486" t="str">
        <f aca="false">'Saisie et Calculateur'!E973</f>
        <v>non</v>
      </c>
      <c r="F145" s="646"/>
      <c r="G145" s="1631"/>
      <c r="H145" s="1454"/>
      <c r="I145" s="1628"/>
      <c r="J145" s="646"/>
      <c r="K145" s="1649"/>
    </row>
    <row r="146" ht="12.75" customHeight="1">
      <c r="A146" s="1646"/>
      <c r="B146" s="646"/>
      <c r="C146" s="1531"/>
      <c r="D146" s="646"/>
      <c r="E146" s="1486"/>
      <c r="F146" s="646"/>
      <c r="G146" s="1631"/>
      <c r="H146" s="1454"/>
      <c r="I146" s="1628"/>
      <c r="J146" s="646"/>
      <c r="K146" s="1649"/>
    </row>
    <row r="147" ht="15.75" customHeight="1">
      <c r="A147" s="1646"/>
      <c r="B147" s="646"/>
      <c r="C147" s="1250" t="s">
        <v>3128</v>
      </c>
      <c r="D147" s="646"/>
      <c r="E147" s="646"/>
      <c r="F147" s="646"/>
      <c r="G147" s="1539" t="n">
        <f aca="false">IF(E148=N141,N144,O144)</f>
        <v>1</v>
      </c>
      <c r="H147" s="1454"/>
      <c r="I147" s="1628"/>
      <c r="J147" s="646"/>
      <c r="K147" s="1649"/>
    </row>
    <row r="148" ht="12.75" customHeight="1">
      <c r="A148" s="1646"/>
      <c r="B148" s="646"/>
      <c r="C148" s="1534"/>
      <c r="D148" s="1535" t="s">
        <v>2843</v>
      </c>
      <c r="E148" s="1535" t="str">
        <f aca="false">'Saisie et Calculateur'!J973</f>
        <v>oui</v>
      </c>
      <c r="F148" s="1535"/>
      <c r="G148" s="1539"/>
      <c r="H148" s="1454"/>
      <c r="I148" s="1628"/>
      <c r="J148" s="646"/>
      <c r="K148" s="1649"/>
    </row>
    <row r="149" ht="12.75" customHeight="1">
      <c r="A149" s="1646"/>
      <c r="B149" s="646"/>
      <c r="C149" s="646"/>
      <c r="D149" s="646"/>
      <c r="E149" s="646"/>
      <c r="F149" s="646"/>
      <c r="G149" s="1529"/>
      <c r="H149" s="646"/>
      <c r="I149" s="646"/>
      <c r="J149" s="646"/>
      <c r="K149" s="1649"/>
    </row>
    <row r="150" ht="12.75" customHeight="1">
      <c r="A150" s="1646"/>
      <c r="B150" s="646"/>
      <c r="C150" s="646"/>
      <c r="D150" s="646"/>
      <c r="E150" s="646"/>
      <c r="F150" s="646"/>
      <c r="G150" s="1529"/>
      <c r="H150" s="646"/>
      <c r="I150" s="646"/>
      <c r="J150" s="646"/>
      <c r="K150" s="1649"/>
      <c r="S150" s="1165"/>
    </row>
    <row r="151" ht="12.75" customHeight="1">
      <c r="A151" s="1646"/>
      <c r="B151" s="646" t="s">
        <v>701</v>
      </c>
      <c r="C151" s="1634" t="s">
        <v>3129</v>
      </c>
      <c r="D151" s="1634"/>
      <c r="E151" s="1634"/>
      <c r="F151" s="1634"/>
      <c r="G151" s="1634"/>
      <c r="H151" s="1634"/>
      <c r="I151" s="1635" t="s">
        <v>3087</v>
      </c>
      <c r="J151" s="646"/>
      <c r="K151" s="1649"/>
      <c r="S151" s="1165"/>
    </row>
    <row r="152" ht="12.75" customHeight="1">
      <c r="A152" s="1646"/>
      <c r="B152" s="646"/>
      <c r="C152" s="646"/>
      <c r="D152" s="646"/>
      <c r="E152" s="646"/>
      <c r="F152" s="646"/>
      <c r="G152" s="1529"/>
      <c r="H152" s="646"/>
      <c r="I152" s="646"/>
      <c r="J152" s="646"/>
      <c r="K152" s="1649"/>
      <c r="S152" s="1165"/>
    </row>
    <row r="153" ht="25.5" customHeight="1">
      <c r="A153" s="1646"/>
      <c r="B153" s="646"/>
      <c r="C153" s="1165" t="s">
        <v>2822</v>
      </c>
      <c r="D153" s="1165"/>
      <c r="E153" s="1165"/>
      <c r="F153" s="1165"/>
      <c r="G153" s="1165"/>
      <c r="H153" s="1171" t="s">
        <v>2823</v>
      </c>
      <c r="I153" s="1171" t="s">
        <v>2824</v>
      </c>
      <c r="J153" s="646"/>
      <c r="K153" s="1649"/>
    </row>
    <row r="154" ht="12.75" customHeight="1">
      <c r="A154" s="1646"/>
      <c r="B154" s="646"/>
      <c r="C154" s="1460" t="s">
        <v>3130</v>
      </c>
      <c r="D154" s="1460"/>
      <c r="E154" s="1460"/>
      <c r="F154" s="1460"/>
      <c r="G154" s="1513"/>
      <c r="H154" s="1454" t="n">
        <f aca="false">G155+G156</f>
        <v>2</v>
      </c>
      <c r="I154" s="1628" t="n">
        <f aca="false">IF(H154&lt;0,0,MIN(3,H154))</f>
        <v>2</v>
      </c>
      <c r="J154" s="646"/>
      <c r="K154" s="1649"/>
      <c r="S154" s="646"/>
    </row>
    <row r="155" ht="12.75" customHeight="1">
      <c r="A155" s="1646"/>
      <c r="B155" s="646"/>
      <c r="C155" s="1530"/>
      <c r="D155" s="1460" t="n">
        <f aca="false">'Saisie et Calculateur'!K982</f>
        <v>2</v>
      </c>
      <c r="E155" s="1460"/>
      <c r="F155" s="1460" t="s">
        <v>3131</v>
      </c>
      <c r="G155" s="1532" t="n">
        <f aca="false">ROUND(D155,0)</f>
        <v>2</v>
      </c>
      <c r="H155" s="1454"/>
      <c r="I155" s="1628"/>
      <c r="J155" s="646"/>
      <c r="K155" s="1649"/>
      <c r="S155" s="646"/>
    </row>
    <row r="156" ht="12.75" customHeight="1">
      <c r="A156" s="1646"/>
      <c r="B156" s="646"/>
      <c r="C156" s="1534" t="s">
        <v>3132</v>
      </c>
      <c r="D156" s="1557" t="str">
        <f aca="false">'Saisie et Calculateur'!B989</f>
        <v>non</v>
      </c>
      <c r="E156" s="1535"/>
      <c r="F156" s="1535" t="s">
        <v>3133</v>
      </c>
      <c r="G156" s="1533" t="n">
        <f aca="false">IF(D156="oui",-1,0)</f>
        <v>0</v>
      </c>
      <c r="H156" s="1454"/>
      <c r="I156" s="1628"/>
      <c r="J156" s="646"/>
      <c r="K156" s="1649"/>
      <c r="S156" s="1165"/>
    </row>
    <row r="157" ht="12.75" customHeight="1">
      <c r="A157" s="1646"/>
      <c r="B157" s="646"/>
      <c r="C157" s="646"/>
      <c r="D157" s="646"/>
      <c r="E157" s="646"/>
      <c r="F157" s="646"/>
      <c r="G157" s="1529"/>
      <c r="H157" s="646"/>
      <c r="I157" s="646"/>
      <c r="J157" s="646"/>
      <c r="K157" s="1649"/>
      <c r="S157" s="1165"/>
    </row>
    <row r="158" ht="12.75" customHeight="1">
      <c r="A158" s="1646"/>
      <c r="B158" s="646"/>
      <c r="C158" s="646"/>
      <c r="D158" s="646"/>
      <c r="E158" s="646"/>
      <c r="F158" s="646"/>
      <c r="G158" s="1529"/>
      <c r="H158" s="646"/>
      <c r="I158" s="646"/>
      <c r="J158" s="646"/>
      <c r="K158" s="1649"/>
      <c r="S158" s="1165"/>
    </row>
    <row r="159" ht="15.75" customHeight="1">
      <c r="A159" s="1646"/>
      <c r="B159" s="646" t="s">
        <v>666</v>
      </c>
      <c r="C159" s="1634" t="s">
        <v>3134</v>
      </c>
      <c r="D159" s="1634"/>
      <c r="E159" s="1634"/>
      <c r="F159" s="1634"/>
      <c r="G159" s="1634"/>
      <c r="H159" s="1634"/>
      <c r="I159" s="1635" t="s">
        <v>3087</v>
      </c>
      <c r="J159" s="646"/>
      <c r="K159" s="1649"/>
      <c r="M159" s="1192" t="s">
        <v>3062</v>
      </c>
      <c r="N159" s="1192" t="s">
        <v>3075</v>
      </c>
      <c r="O159" s="1165" t="s">
        <v>2861</v>
      </c>
    </row>
    <row r="160" ht="12.75" customHeight="1">
      <c r="A160" s="1646"/>
      <c r="B160" s="646"/>
      <c r="C160" s="646"/>
      <c r="D160" s="646"/>
      <c r="E160" s="646"/>
      <c r="F160" s="646"/>
      <c r="G160" s="1529"/>
      <c r="H160" s="646"/>
      <c r="I160" s="646"/>
      <c r="J160" s="646"/>
      <c r="K160" s="1649"/>
      <c r="M160" s="1301" t="s">
        <v>253</v>
      </c>
      <c r="N160" s="1301" t="n">
        <v>2</v>
      </c>
      <c r="O160" s="1165" t="n">
        <v>2</v>
      </c>
    </row>
    <row r="161" ht="25.5" customHeight="1">
      <c r="A161" s="1646"/>
      <c r="B161" s="646"/>
      <c r="C161" s="1165" t="s">
        <v>2822</v>
      </c>
      <c r="D161" s="1165"/>
      <c r="E161" s="1165"/>
      <c r="F161" s="1165"/>
      <c r="G161" s="1165"/>
      <c r="H161" s="1171" t="s">
        <v>2823</v>
      </c>
      <c r="I161" s="1171" t="s">
        <v>2824</v>
      </c>
      <c r="J161" s="646"/>
      <c r="K161" s="1649"/>
      <c r="M161" s="1165" t="s">
        <v>254</v>
      </c>
      <c r="N161" s="1165" t="n">
        <v>0</v>
      </c>
      <c r="O161" s="1165" t="n">
        <v>0</v>
      </c>
    </row>
    <row r="162" ht="13.5" customHeight="1">
      <c r="A162" s="1646"/>
      <c r="B162" s="646"/>
      <c r="C162" s="1460" t="s">
        <v>3135</v>
      </c>
      <c r="D162" s="1460"/>
      <c r="E162" s="1460"/>
      <c r="F162" s="1460"/>
      <c r="G162" s="1529" t="n">
        <f aca="false">IF(E163=M160,N160,N161)</f>
        <v>2</v>
      </c>
      <c r="H162" s="1454" t="n">
        <f aca="false">G162+G165</f>
        <v>4</v>
      </c>
      <c r="I162" s="1628" t="n">
        <f aca="false">MIN(3,H162)</f>
        <v>3</v>
      </c>
      <c r="J162" s="646"/>
      <c r="K162" s="1649"/>
      <c r="R162" s="1165"/>
      <c r="S162" s="1165"/>
      <c r="T162" s="1165"/>
    </row>
    <row r="163" ht="13.5" customHeight="1">
      <c r="A163" s="1646"/>
      <c r="B163" s="646"/>
      <c r="C163" s="1250"/>
      <c r="D163" s="646" t="s">
        <v>2843</v>
      </c>
      <c r="E163" s="646" t="str">
        <f aca="false">'Saisie et Calculateur'!D995</f>
        <v>oui</v>
      </c>
      <c r="F163" s="646"/>
      <c r="G163" s="1529"/>
      <c r="H163" s="1454"/>
      <c r="I163" s="1628"/>
      <c r="J163" s="646"/>
      <c r="K163" s="1649"/>
      <c r="R163" s="1165"/>
      <c r="S163" s="1165"/>
      <c r="T163" s="1165"/>
    </row>
    <row r="164" ht="13.5" customHeight="1">
      <c r="A164" s="1646"/>
      <c r="B164" s="646"/>
      <c r="C164" s="1250"/>
      <c r="D164" s="646"/>
      <c r="E164" s="646"/>
      <c r="F164" s="646"/>
      <c r="G164" s="1529"/>
      <c r="H164" s="1454"/>
      <c r="I164" s="1628"/>
      <c r="J164" s="646"/>
      <c r="K164" s="1649"/>
    </row>
    <row r="165" ht="13.5" customHeight="1">
      <c r="A165" s="1646"/>
      <c r="B165" s="646"/>
      <c r="C165" s="1538" t="s">
        <v>3136</v>
      </c>
      <c r="D165" s="1538"/>
      <c r="E165" s="1538"/>
      <c r="F165" s="1538"/>
      <c r="G165" s="1539" t="n">
        <f aca="false">IF(E166=M160,O160,O161)</f>
        <v>2</v>
      </c>
      <c r="H165" s="1454"/>
      <c r="I165" s="1628"/>
      <c r="J165" s="646"/>
      <c r="K165" s="1649"/>
    </row>
    <row r="166" ht="13.5" customHeight="1">
      <c r="A166" s="1646"/>
      <c r="B166" s="646"/>
      <c r="C166" s="1550"/>
      <c r="D166" s="1535" t="s">
        <v>2843</v>
      </c>
      <c r="E166" s="1643" t="str">
        <f aca="false">'Saisie et Calculateur'!D999</f>
        <v>oui</v>
      </c>
      <c r="F166" s="1535"/>
      <c r="G166" s="1539"/>
      <c r="H166" s="1454"/>
      <c r="I166" s="1628"/>
      <c r="J166" s="646"/>
      <c r="K166" s="1649"/>
    </row>
    <row r="167" ht="13.5" customHeight="1">
      <c r="A167" s="1646"/>
      <c r="B167" s="646"/>
      <c r="C167" s="748"/>
      <c r="D167" s="646"/>
      <c r="E167" s="1200"/>
      <c r="F167" s="646"/>
      <c r="G167" s="1663"/>
      <c r="H167" s="1128"/>
      <c r="I167" s="148"/>
      <c r="J167" s="646"/>
      <c r="K167" s="1649"/>
    </row>
    <row r="168" ht="13.5" customHeight="1">
      <c r="A168" s="148"/>
      <c r="B168" s="646"/>
      <c r="C168" s="748"/>
      <c r="D168" s="646"/>
      <c r="E168" s="1486"/>
      <c r="F168" s="646"/>
      <c r="G168" s="1663"/>
      <c r="H168" s="1128"/>
      <c r="I168" s="148"/>
      <c r="J168" s="646"/>
      <c r="K168" s="148"/>
    </row>
    <row r="169" ht="15.75" customHeight="1">
      <c r="A169" s="1664" t="s">
        <v>3137</v>
      </c>
      <c r="B169" s="646" t="s">
        <v>756</v>
      </c>
      <c r="C169" s="1634" t="s">
        <v>3138</v>
      </c>
      <c r="D169" s="1634"/>
      <c r="E169" s="1634"/>
      <c r="F169" s="1634"/>
      <c r="G169" s="1634"/>
      <c r="H169" s="1634"/>
      <c r="I169" s="1624" t="s">
        <v>2989</v>
      </c>
      <c r="J169" s="646"/>
      <c r="K169" s="1665" t="n">
        <f aca="false">MIN(25,SUM(I172,I186,I195,I210,I224))</f>
        <v>20</v>
      </c>
    </row>
    <row r="170" ht="15.75" customHeight="1">
      <c r="A170" s="1664"/>
      <c r="B170" s="1449"/>
      <c r="C170" s="646"/>
      <c r="D170" s="646"/>
      <c r="E170" s="646"/>
      <c r="F170" s="646"/>
      <c r="G170" s="1529"/>
      <c r="H170" s="646"/>
      <c r="I170" s="646"/>
      <c r="J170" s="646"/>
      <c r="K170" s="1665"/>
      <c r="M170" s="1165" t="s">
        <v>3139</v>
      </c>
      <c r="N170" s="1165" t="s">
        <v>3075</v>
      </c>
    </row>
    <row r="171" ht="25.5" customHeight="1">
      <c r="A171" s="1664"/>
      <c r="B171" s="1449"/>
      <c r="C171" s="1165" t="s">
        <v>2822</v>
      </c>
      <c r="D171" s="1165"/>
      <c r="E171" s="1165"/>
      <c r="F171" s="1165"/>
      <c r="G171" s="1165"/>
      <c r="H171" s="1171" t="s">
        <v>2823</v>
      </c>
      <c r="I171" s="1171" t="s">
        <v>2824</v>
      </c>
      <c r="J171" s="646"/>
      <c r="K171" s="1665"/>
      <c r="M171" s="1165" t="n">
        <v>125</v>
      </c>
      <c r="N171" s="1165" t="n">
        <v>0</v>
      </c>
    </row>
    <row r="172" ht="12.75" customHeight="1">
      <c r="A172" s="1664"/>
      <c r="B172" s="1449"/>
      <c r="C172" s="1460" t="s">
        <v>3140</v>
      </c>
      <c r="D172" s="1460"/>
      <c r="E172" s="1460"/>
      <c r="F172" s="1460"/>
      <c r="G172" s="1529" t="n">
        <f aca="false">IF(E173&lt;M173,N174,IF(E173&lt;M172,N173,IF(E173&lt;M171,N172,N171)))</f>
        <v>2</v>
      </c>
      <c r="H172" s="1454" t="n">
        <f aca="false">G172+G174+G178</f>
        <v>8</v>
      </c>
      <c r="I172" s="1628" t="n">
        <f aca="false">MIN(6,H172)</f>
        <v>6</v>
      </c>
      <c r="J172" s="646"/>
      <c r="K172" s="1665"/>
      <c r="M172" s="1165" t="n">
        <v>50</v>
      </c>
      <c r="N172" s="1165" t="n">
        <v>1</v>
      </c>
      <c r="Q172" s="1165"/>
    </row>
    <row r="173" ht="15" customHeight="1">
      <c r="A173" s="1664"/>
      <c r="B173" s="1449"/>
      <c r="C173" s="1250"/>
      <c r="D173" s="646"/>
      <c r="E173" s="646" t="n">
        <f aca="false">'Saisie et Calculateur'!C1004</f>
        <v>38.5</v>
      </c>
      <c r="F173" s="646"/>
      <c r="G173" s="1529"/>
      <c r="H173" s="1454"/>
      <c r="I173" s="1628"/>
      <c r="J173" s="646"/>
      <c r="K173" s="1665"/>
      <c r="M173" s="1165" t="n">
        <v>20</v>
      </c>
      <c r="N173" s="1165" t="n">
        <v>2</v>
      </c>
      <c r="Q173" s="1165"/>
    </row>
    <row r="174" ht="12.75" customHeight="1">
      <c r="A174" s="1664"/>
      <c r="B174" s="1449"/>
      <c r="C174" s="1538" t="s">
        <v>3141</v>
      </c>
      <c r="D174" s="1538"/>
      <c r="E174" s="1538"/>
      <c r="F174" s="1538"/>
      <c r="G174" s="1631" t="n">
        <f aca="false">MIN(3,F175+F176)</f>
        <v>3</v>
      </c>
      <c r="H174" s="1454"/>
      <c r="I174" s="1628"/>
      <c r="J174" s="646"/>
      <c r="K174" s="1665"/>
      <c r="M174" s="1165"/>
      <c r="N174" s="1165" t="n">
        <v>3</v>
      </c>
    </row>
    <row r="175" ht="15" customHeight="1">
      <c r="A175" s="1664"/>
      <c r="B175" s="1449"/>
      <c r="C175" s="1531" t="s">
        <v>3142</v>
      </c>
      <c r="D175" s="646" t="s">
        <v>2843</v>
      </c>
      <c r="E175" s="1486" t="str">
        <f aca="false">'Saisie et Calculateur'!E1006</f>
        <v>oui</v>
      </c>
      <c r="F175" s="646" t="n">
        <f aca="false">IF(E175=M177,N177,N178)</f>
        <v>3</v>
      </c>
      <c r="G175" s="1631"/>
      <c r="H175" s="1454"/>
      <c r="I175" s="1628"/>
      <c r="J175" s="646"/>
      <c r="K175" s="1665"/>
    </row>
    <row r="176" ht="13.5" customHeight="1">
      <c r="A176" s="1664"/>
      <c r="B176" s="1449"/>
      <c r="C176" s="1250" t="s">
        <v>3143</v>
      </c>
      <c r="D176" s="646" t="s">
        <v>2843</v>
      </c>
      <c r="E176" s="646" t="str">
        <f aca="false">'Saisie et Calculateur'!E1007</f>
        <v>oui</v>
      </c>
      <c r="F176" s="646" t="n">
        <f aca="false">IF(E176=M177,O177,O178)</f>
        <v>1</v>
      </c>
      <c r="G176" s="1631"/>
      <c r="H176" s="1454"/>
      <c r="I176" s="1628"/>
      <c r="J176" s="646"/>
      <c r="K176" s="1665"/>
      <c r="M176" s="1165" t="s">
        <v>2861</v>
      </c>
      <c r="N176" s="1165" t="s">
        <v>3144</v>
      </c>
      <c r="O176" s="1165" t="s">
        <v>3145</v>
      </c>
      <c r="P176" s="1165" t="s">
        <v>3146</v>
      </c>
    </row>
    <row r="177" ht="13.5" customHeight="1">
      <c r="A177" s="1664"/>
      <c r="B177" s="1449"/>
      <c r="C177" s="1250"/>
      <c r="D177" s="646"/>
      <c r="E177" s="646"/>
      <c r="F177" s="646"/>
      <c r="G177" s="1631"/>
      <c r="H177" s="1454"/>
      <c r="I177" s="1628"/>
      <c r="J177" s="646"/>
      <c r="K177" s="1665"/>
      <c r="M177" s="1165" t="s">
        <v>253</v>
      </c>
      <c r="N177" s="1165" t="n">
        <v>3</v>
      </c>
      <c r="O177" s="1165" t="n">
        <v>1</v>
      </c>
      <c r="P177" s="1165" t="n">
        <v>1</v>
      </c>
    </row>
    <row r="178" ht="13.5" customHeight="1">
      <c r="A178" s="1664"/>
      <c r="B178" s="1449"/>
      <c r="C178" s="1531" t="s">
        <v>3147</v>
      </c>
      <c r="D178" s="1531"/>
      <c r="E178" s="1531"/>
      <c r="F178" s="1531"/>
      <c r="G178" s="1539" t="n">
        <f aca="false">MIN(3,F179+F180)</f>
        <v>3</v>
      </c>
      <c r="H178" s="1454"/>
      <c r="I178" s="1628"/>
      <c r="J178" s="646"/>
      <c r="K178" s="1665"/>
      <c r="M178" s="1192" t="s">
        <v>254</v>
      </c>
      <c r="N178" s="1165" t="n">
        <v>0</v>
      </c>
      <c r="O178" s="1192" t="n">
        <v>0</v>
      </c>
      <c r="P178" s="1192" t="n">
        <v>0</v>
      </c>
    </row>
    <row r="179" ht="13.5" customHeight="1">
      <c r="A179" s="1664"/>
      <c r="B179" s="1449"/>
      <c r="C179" s="1250" t="s">
        <v>3148</v>
      </c>
      <c r="D179" s="1564"/>
      <c r="E179" s="1564" t="str">
        <f aca="false">'Saisie et Calculateur'!E1010</f>
        <v>oui</v>
      </c>
      <c r="F179" s="1564" t="n">
        <f aca="false">IF(E179=M177,P177,P178)</f>
        <v>1</v>
      </c>
      <c r="G179" s="1539"/>
      <c r="H179" s="1454"/>
      <c r="I179" s="1628"/>
      <c r="J179" s="646"/>
      <c r="K179" s="1665"/>
    </row>
    <row r="180" ht="13.5" customHeight="1">
      <c r="A180" s="1664"/>
      <c r="B180" s="1449"/>
      <c r="C180" s="1534" t="s">
        <v>3149</v>
      </c>
      <c r="D180" s="1535"/>
      <c r="E180" s="1535"/>
      <c r="F180" s="1535" t="n">
        <f aca="false">'Saisie et Calculateur'!E1013</f>
        <v>3</v>
      </c>
      <c r="G180" s="1539"/>
      <c r="H180" s="1454"/>
      <c r="I180" s="1628"/>
      <c r="J180" s="646"/>
      <c r="K180" s="1665"/>
    </row>
    <row r="181" ht="13.5" customHeight="1">
      <c r="A181" s="1664"/>
      <c r="B181" s="1449"/>
      <c r="C181" s="646"/>
      <c r="D181" s="646"/>
      <c r="E181" s="646"/>
      <c r="F181" s="646"/>
      <c r="G181" s="1529"/>
      <c r="H181" s="646"/>
      <c r="I181" s="646"/>
      <c r="J181" s="646"/>
      <c r="K181" s="1665"/>
    </row>
    <row r="182" ht="13.5" customHeight="1">
      <c r="A182" s="1664"/>
      <c r="B182" s="1449"/>
      <c r="C182" s="646"/>
      <c r="D182" s="646"/>
      <c r="E182" s="646"/>
      <c r="F182" s="646"/>
      <c r="G182" s="1529"/>
      <c r="H182" s="646"/>
      <c r="I182" s="646"/>
      <c r="J182" s="646"/>
      <c r="K182" s="1665"/>
    </row>
    <row r="183" ht="15" customHeight="1">
      <c r="A183" s="1664"/>
      <c r="B183" s="1449" t="s">
        <v>669</v>
      </c>
      <c r="C183" s="1634" t="s">
        <v>3150</v>
      </c>
      <c r="D183" s="1634"/>
      <c r="E183" s="1634"/>
      <c r="F183" s="1634"/>
      <c r="G183" s="1634"/>
      <c r="H183" s="1634"/>
      <c r="I183" s="1635" t="s">
        <v>2989</v>
      </c>
      <c r="J183" s="646"/>
      <c r="K183" s="1665"/>
    </row>
    <row r="184" ht="13.5" customHeight="1">
      <c r="A184" s="1664"/>
      <c r="B184" s="1449"/>
      <c r="C184" s="748"/>
      <c r="D184" s="646"/>
      <c r="E184" s="1486"/>
      <c r="F184" s="646"/>
      <c r="G184" s="1663"/>
      <c r="H184" s="1128"/>
      <c r="I184" s="148"/>
      <c r="J184" s="646"/>
      <c r="K184" s="1665"/>
    </row>
    <row r="185" ht="27.75" customHeight="1">
      <c r="A185" s="1664"/>
      <c r="B185" s="1449"/>
      <c r="C185" s="1165" t="s">
        <v>2822</v>
      </c>
      <c r="D185" s="1165"/>
      <c r="E185" s="1165"/>
      <c r="F185" s="1165"/>
      <c r="G185" s="1165"/>
      <c r="H185" s="1171" t="s">
        <v>2823</v>
      </c>
      <c r="I185" s="1171" t="s">
        <v>2824</v>
      </c>
      <c r="J185" s="646"/>
      <c r="K185" s="1665"/>
    </row>
    <row r="186" ht="13.5" customHeight="1">
      <c r="A186" s="1664"/>
      <c r="B186" s="1449"/>
      <c r="C186" s="748" t="s">
        <v>3151</v>
      </c>
      <c r="D186" s="1369"/>
      <c r="E186" s="1666"/>
      <c r="F186" s="1369"/>
      <c r="G186" s="1541" t="n">
        <f aca="false">'Saisie et Calculateur'!D1021</f>
        <v>2</v>
      </c>
      <c r="H186" s="1454" t="n">
        <f aca="false">G186+G188</f>
        <v>2</v>
      </c>
      <c r="I186" s="1628" t="n">
        <f aca="false">MIN(6,H186)</f>
        <v>2</v>
      </c>
      <c r="J186" s="646"/>
      <c r="K186" s="1665"/>
      <c r="M186" s="1192" t="s">
        <v>3062</v>
      </c>
      <c r="N186" s="1192" t="s">
        <v>2861</v>
      </c>
    </row>
    <row r="187" ht="13.5" customHeight="1">
      <c r="A187" s="1664"/>
      <c r="B187" s="1449"/>
      <c r="C187" s="1531"/>
      <c r="D187" s="646"/>
      <c r="E187" s="1486"/>
      <c r="F187" s="646"/>
      <c r="G187" s="1541"/>
      <c r="H187" s="1454"/>
      <c r="I187" s="1628"/>
      <c r="J187" s="646"/>
      <c r="K187" s="1665"/>
      <c r="M187" s="1301" t="s">
        <v>253</v>
      </c>
      <c r="N187" s="1301" t="n">
        <v>3</v>
      </c>
    </row>
    <row r="188" ht="13.5" customHeight="1">
      <c r="A188" s="1664"/>
      <c r="B188" s="1449"/>
      <c r="C188" s="1531" t="s">
        <v>3152</v>
      </c>
      <c r="D188" s="1531"/>
      <c r="E188" s="1531"/>
      <c r="F188" s="1531"/>
      <c r="G188" s="1539" t="n">
        <f aca="false">IF(E189=M187,N187,N188)</f>
        <v>0</v>
      </c>
      <c r="H188" s="1454"/>
      <c r="I188" s="1628"/>
      <c r="J188" s="646"/>
      <c r="K188" s="1665"/>
      <c r="M188" s="1165" t="s">
        <v>254</v>
      </c>
      <c r="N188" s="1165" t="n">
        <v>0</v>
      </c>
    </row>
    <row r="189" ht="13.5" customHeight="1">
      <c r="A189" s="1664"/>
      <c r="B189" s="1449"/>
      <c r="C189" s="1534"/>
      <c r="D189" s="1535" t="s">
        <v>2843</v>
      </c>
      <c r="E189" s="1535" t="str">
        <f aca="false">'Saisie et Calculateur'!D1027</f>
        <v>non</v>
      </c>
      <c r="F189" s="1535"/>
      <c r="G189" s="1539"/>
      <c r="H189" s="1454"/>
      <c r="I189" s="1628"/>
      <c r="J189" s="646"/>
      <c r="K189" s="1665"/>
    </row>
    <row r="190" ht="13.5" customHeight="1">
      <c r="A190" s="1664"/>
      <c r="B190" s="1449"/>
      <c r="C190" s="646"/>
      <c r="D190" s="646"/>
      <c r="E190" s="646"/>
      <c r="F190" s="646"/>
      <c r="G190" s="1529"/>
      <c r="H190" s="646"/>
      <c r="I190" s="646"/>
      <c r="J190" s="646"/>
      <c r="K190" s="1665"/>
    </row>
    <row r="191" ht="12.75" customHeight="1">
      <c r="A191" s="1664"/>
      <c r="B191" s="1449"/>
      <c r="C191" s="646"/>
      <c r="D191" s="646"/>
      <c r="E191" s="646"/>
      <c r="F191" s="646"/>
      <c r="G191" s="1529"/>
      <c r="H191" s="646"/>
      <c r="I191" s="646"/>
      <c r="J191" s="646"/>
      <c r="K191" s="1665"/>
    </row>
    <row r="192" ht="15" customHeight="1">
      <c r="A192" s="1664"/>
      <c r="B192" s="1449" t="s">
        <v>774</v>
      </c>
      <c r="C192" s="1634" t="s">
        <v>3153</v>
      </c>
      <c r="D192" s="1634"/>
      <c r="E192" s="1634"/>
      <c r="F192" s="1634"/>
      <c r="G192" s="1634"/>
      <c r="H192" s="1634"/>
      <c r="I192" s="1635" t="s">
        <v>2989</v>
      </c>
      <c r="J192" s="646"/>
      <c r="K192" s="1665"/>
    </row>
    <row r="193" ht="15.75" customHeight="1">
      <c r="A193" s="1664"/>
      <c r="B193" s="1449"/>
      <c r="C193" s="646"/>
      <c r="D193" s="646"/>
      <c r="E193" s="646"/>
      <c r="F193" s="646"/>
      <c r="G193" s="1529"/>
      <c r="H193" s="646"/>
      <c r="I193" s="646"/>
      <c r="J193" s="646"/>
      <c r="K193" s="1665"/>
    </row>
    <row r="194" ht="25.5" customHeight="1">
      <c r="A194" s="1664"/>
      <c r="B194" s="1449"/>
      <c r="C194" s="1165" t="s">
        <v>2822</v>
      </c>
      <c r="D194" s="1165"/>
      <c r="E194" s="1165"/>
      <c r="F194" s="1165"/>
      <c r="G194" s="1165"/>
      <c r="H194" s="1171" t="s">
        <v>2823</v>
      </c>
      <c r="I194" s="1171" t="s">
        <v>2824</v>
      </c>
      <c r="J194" s="646"/>
      <c r="K194" s="1665"/>
      <c r="M194" s="1521" t="s">
        <v>3154</v>
      </c>
      <c r="N194" s="1165" t="s">
        <v>3075</v>
      </c>
      <c r="P194" s="1165"/>
    </row>
    <row r="195" ht="12.75" customHeight="1">
      <c r="A195" s="1664"/>
      <c r="B195" s="1449"/>
      <c r="C195" s="1356" t="s">
        <v>3155</v>
      </c>
      <c r="D195" s="1165"/>
      <c r="E195" s="1165"/>
      <c r="F195" s="1165"/>
      <c r="G195" s="1529" t="n">
        <f aca="false">'Saisie et Calculateur'!E1033</f>
        <v>3</v>
      </c>
      <c r="H195" s="1454" t="n">
        <f aca="false">G195+G197+G200+G203</f>
        <v>5</v>
      </c>
      <c r="I195" s="1628" t="n">
        <f aca="false">IF(H195&lt;0,0,MIN(6,H195))</f>
        <v>5</v>
      </c>
      <c r="J195" s="646"/>
      <c r="K195" s="1665"/>
      <c r="M195" s="1128"/>
      <c r="N195" s="1165" t="n">
        <v>0</v>
      </c>
    </row>
    <row r="196" ht="12.75" customHeight="1">
      <c r="A196" s="1664"/>
      <c r="B196" s="1449"/>
      <c r="C196" s="1667"/>
      <c r="D196" s="1356"/>
      <c r="E196" s="646"/>
      <c r="F196" s="1165"/>
      <c r="G196" s="1529"/>
      <c r="H196" s="1454"/>
      <c r="I196" s="1628"/>
      <c r="J196" s="646"/>
      <c r="K196" s="1665"/>
      <c r="M196" s="1128" t="n">
        <v>9</v>
      </c>
      <c r="N196" s="1165" t="n">
        <v>1</v>
      </c>
    </row>
    <row r="197" ht="12.75" customHeight="1">
      <c r="A197" s="1664"/>
      <c r="B197" s="1449"/>
      <c r="C197" s="1563" t="s">
        <v>3156</v>
      </c>
      <c r="D197" s="1356"/>
      <c r="E197" s="1165"/>
      <c r="F197" s="1165"/>
      <c r="G197" s="1532" t="n">
        <f aca="false">IF(F198=M198,N198,IF(F198&lt;M197,N197,IF(F198&lt;M196,N196,N195)))</f>
        <v>1</v>
      </c>
      <c r="H197" s="1454"/>
      <c r="I197" s="1628"/>
      <c r="J197" s="646"/>
      <c r="K197" s="1665"/>
      <c r="M197" s="1128" t="n">
        <v>4</v>
      </c>
      <c r="N197" s="1165" t="n">
        <v>2</v>
      </c>
    </row>
    <row r="198" ht="12.75" customHeight="1">
      <c r="A198" s="1664"/>
      <c r="B198" s="1449"/>
      <c r="C198" s="1667"/>
      <c r="D198" s="1356" t="s">
        <v>3157</v>
      </c>
      <c r="F198" s="1356" t="n">
        <f aca="false">'Saisie et Calculateur'!E1034</f>
        <v>6</v>
      </c>
      <c r="G198" s="1532"/>
      <c r="H198" s="1454"/>
      <c r="I198" s="1628"/>
      <c r="J198" s="646"/>
      <c r="K198" s="1665"/>
      <c r="M198" s="1128" t="n">
        <v>0</v>
      </c>
      <c r="N198" s="1165" t="n">
        <v>3</v>
      </c>
    </row>
    <row r="199" ht="12.75" customHeight="1">
      <c r="A199" s="1664"/>
      <c r="B199" s="1449"/>
      <c r="C199" s="1667"/>
      <c r="D199" s="1356"/>
      <c r="E199" s="1165"/>
      <c r="F199" s="1165"/>
      <c r="G199" s="1532"/>
      <c r="H199" s="1454"/>
      <c r="I199" s="1628"/>
      <c r="J199" s="646"/>
      <c r="K199" s="1665"/>
    </row>
    <row r="200" ht="12.75" customHeight="1">
      <c r="A200" s="1664"/>
      <c r="B200" s="1449"/>
      <c r="C200" s="1563" t="s">
        <v>3158</v>
      </c>
      <c r="D200" s="1165"/>
      <c r="E200" s="1165"/>
      <c r="F200" s="1165"/>
      <c r="G200" s="1532" t="n">
        <f aca="false">IF(E201="",0,IF(E201=M201,N201,IF(E201=M202,N202,N203)))</f>
        <v>3</v>
      </c>
      <c r="H200" s="1454"/>
      <c r="I200" s="1628"/>
      <c r="J200" s="646"/>
      <c r="K200" s="1665"/>
      <c r="M200" s="646" t="s">
        <v>3159</v>
      </c>
      <c r="N200" s="1192" t="s">
        <v>3076</v>
      </c>
    </row>
    <row r="201" ht="12.75" customHeight="1">
      <c r="A201" s="1664"/>
      <c r="B201" s="1449"/>
      <c r="C201" s="1530" t="s">
        <v>3160</v>
      </c>
      <c r="D201" s="1530"/>
      <c r="E201" s="1460" t="str">
        <f aca="false">CONCATENATE('Saisie et Calculateur'!C1036,'Saisie et Calculateur'!E1036)</f>
        <v>ouioui</v>
      </c>
      <c r="F201" s="584"/>
      <c r="G201" s="1532"/>
      <c r="H201" s="1454"/>
      <c r="I201" s="1628"/>
      <c r="J201" s="646"/>
      <c r="K201" s="1665"/>
      <c r="M201" s="646" t="s">
        <v>3161</v>
      </c>
      <c r="N201" s="1165" t="n">
        <v>3</v>
      </c>
    </row>
    <row r="202" ht="12.75" customHeight="1">
      <c r="A202" s="1664"/>
      <c r="B202" s="1449"/>
      <c r="C202" s="1558"/>
      <c r="D202" s="584"/>
      <c r="E202" s="584"/>
      <c r="F202" s="584"/>
      <c r="G202" s="1532"/>
      <c r="H202" s="1454"/>
      <c r="I202" s="1628"/>
      <c r="J202" s="646"/>
      <c r="K202" s="1665"/>
      <c r="M202" s="646" t="s">
        <v>3162</v>
      </c>
      <c r="N202" s="1165" t="n">
        <v>0</v>
      </c>
    </row>
    <row r="203" ht="12.75" customHeight="1">
      <c r="A203" s="1664"/>
      <c r="B203" s="1449"/>
      <c r="C203" s="1558" t="s">
        <v>3163</v>
      </c>
      <c r="D203" s="584"/>
      <c r="E203" s="584"/>
      <c r="F203" s="584"/>
      <c r="G203" s="1533" t="n">
        <f aca="false">'Saisie et Calculateur'!E1038</f>
        <v>-2</v>
      </c>
      <c r="H203" s="1454"/>
      <c r="I203" s="1628"/>
      <c r="J203" s="646"/>
      <c r="K203" s="1665"/>
      <c r="M203" s="646" t="s">
        <v>3164</v>
      </c>
      <c r="N203" s="1165" t="n">
        <v>-3</v>
      </c>
    </row>
    <row r="204" ht="15" customHeight="1">
      <c r="A204" s="1664"/>
      <c r="B204" s="1449"/>
      <c r="C204" s="1534"/>
      <c r="D204" s="1535"/>
      <c r="E204" s="1535"/>
      <c r="F204" s="1535"/>
      <c r="G204" s="1533"/>
      <c r="H204" s="1454"/>
      <c r="I204" s="1628"/>
      <c r="J204" s="646"/>
      <c r="K204" s="1665"/>
      <c r="M204" s="646" t="s">
        <v>3165</v>
      </c>
      <c r="N204" s="1165" t="n">
        <v>-3</v>
      </c>
    </row>
    <row r="205" ht="15" customHeight="1">
      <c r="A205" s="1664"/>
      <c r="B205" s="1449"/>
      <c r="C205" s="646"/>
      <c r="D205" s="646"/>
      <c r="E205" s="646"/>
      <c r="F205" s="646"/>
      <c r="G205" s="1513"/>
      <c r="H205" s="1165"/>
      <c r="I205" s="1165"/>
      <c r="J205" s="646"/>
      <c r="K205" s="1665"/>
      <c r="M205" s="646"/>
      <c r="N205" s="1165"/>
    </row>
    <row r="206" ht="12.75" customHeight="1">
      <c r="A206" s="1664"/>
      <c r="B206" s="1449"/>
      <c r="C206" s="646"/>
      <c r="D206" s="646"/>
      <c r="E206" s="646"/>
      <c r="F206" s="646"/>
      <c r="G206" s="1529"/>
      <c r="H206" s="646"/>
      <c r="I206" s="646"/>
      <c r="J206" s="646"/>
      <c r="K206" s="1665"/>
    </row>
    <row r="207" ht="12.75" customHeight="1">
      <c r="A207" s="1664"/>
      <c r="B207" s="1449" t="s">
        <v>782</v>
      </c>
      <c r="C207" s="1634" t="s">
        <v>3166</v>
      </c>
      <c r="D207" s="1634"/>
      <c r="E207" s="1634"/>
      <c r="F207" s="1634"/>
      <c r="G207" s="1634"/>
      <c r="H207" s="1634"/>
      <c r="I207" s="1635" t="s">
        <v>2821</v>
      </c>
      <c r="J207" s="646"/>
      <c r="K207" s="1665"/>
      <c r="N207" s="646"/>
      <c r="O207" s="646"/>
      <c r="P207" s="646"/>
    </row>
    <row r="208" ht="12.75" customHeight="1">
      <c r="A208" s="1664"/>
      <c r="B208" s="1449"/>
      <c r="C208" s="646"/>
      <c r="D208" s="646"/>
      <c r="E208" s="646"/>
      <c r="F208" s="646"/>
      <c r="G208" s="1529"/>
      <c r="H208" s="646"/>
      <c r="I208" s="646"/>
      <c r="J208" s="646"/>
      <c r="K208" s="1665"/>
      <c r="N208" s="646"/>
      <c r="O208" s="1192"/>
      <c r="P208" s="646"/>
    </row>
    <row r="209" ht="25.5" customHeight="1">
      <c r="A209" s="1664"/>
      <c r="B209" s="1449"/>
      <c r="C209" s="1165" t="s">
        <v>2822</v>
      </c>
      <c r="D209" s="1165"/>
      <c r="E209" s="1165"/>
      <c r="F209" s="1165"/>
      <c r="G209" s="1165"/>
      <c r="H209" s="1171" t="s">
        <v>2823</v>
      </c>
      <c r="I209" s="1171" t="s">
        <v>2824</v>
      </c>
      <c r="J209" s="646"/>
      <c r="K209" s="1665"/>
      <c r="N209" s="646"/>
      <c r="O209" s="1192"/>
      <c r="P209" s="646"/>
    </row>
    <row r="210" ht="12.75" customHeight="1">
      <c r="A210" s="1664"/>
      <c r="B210" s="1449"/>
      <c r="C210" s="1460" t="s">
        <v>3167</v>
      </c>
      <c r="D210" s="1460"/>
      <c r="E210" s="1460"/>
      <c r="F210" s="1460"/>
      <c r="G210" s="1529" t="n">
        <f aca="false">'Saisie et Calculateur'!E1043</f>
        <v>2</v>
      </c>
      <c r="H210" s="1454" t="n">
        <f aca="false">G210+G212+G215</f>
        <v>5</v>
      </c>
      <c r="I210" s="1628" t="n">
        <f aca="false">IF(H210&lt;0,0,MIN(5,H210))</f>
        <v>5</v>
      </c>
      <c r="J210" s="646"/>
      <c r="K210" s="1665"/>
    </row>
    <row r="211" ht="12.75" customHeight="1">
      <c r="A211" s="1664"/>
      <c r="B211" s="1449"/>
      <c r="C211" s="1530"/>
      <c r="D211" s="1460"/>
      <c r="E211" s="1460"/>
      <c r="F211" s="1486"/>
      <c r="G211" s="1529"/>
      <c r="H211" s="1454"/>
      <c r="I211" s="1628"/>
      <c r="J211" s="646"/>
      <c r="K211" s="1665"/>
      <c r="N211" s="1192" t="s">
        <v>2861</v>
      </c>
      <c r="O211" s="1192" t="s">
        <v>3168</v>
      </c>
      <c r="P211" s="1192" t="s">
        <v>3169</v>
      </c>
      <c r="Q211" s="1192" t="s">
        <v>3170</v>
      </c>
    </row>
    <row r="212" ht="12.75" customHeight="1">
      <c r="A212" s="1664"/>
      <c r="B212" s="1449"/>
      <c r="C212" s="1538" t="s">
        <v>3171</v>
      </c>
      <c r="D212" s="1538"/>
      <c r="E212" s="1538"/>
      <c r="F212" s="1538"/>
      <c r="G212" s="1631" t="n">
        <f aca="false">IF(F213=M212,N212,N213)</f>
        <v>1</v>
      </c>
      <c r="H212" s="1454"/>
      <c r="I212" s="1628"/>
      <c r="J212" s="646"/>
      <c r="K212" s="1665"/>
      <c r="M212" s="646" t="s">
        <v>253</v>
      </c>
      <c r="N212" s="1165" t="n">
        <v>1</v>
      </c>
      <c r="O212" s="1165" t="n">
        <v>2</v>
      </c>
      <c r="P212" s="1165" t="n">
        <v>-2</v>
      </c>
      <c r="Q212" s="1165" t="n">
        <v>2</v>
      </c>
    </row>
    <row r="213" ht="12.75" customHeight="1">
      <c r="A213" s="1664"/>
      <c r="B213" s="1449"/>
      <c r="C213" s="1531" t="s">
        <v>3172</v>
      </c>
      <c r="E213" s="634" t="s">
        <v>2843</v>
      </c>
      <c r="F213" s="1486" t="str">
        <f aca="false">'Saisie et Calculateur'!E1045</f>
        <v>oui</v>
      </c>
      <c r="G213" s="1631"/>
      <c r="H213" s="1454"/>
      <c r="I213" s="1628"/>
      <c r="J213" s="646"/>
      <c r="K213" s="1665"/>
      <c r="M213" s="646" t="s">
        <v>254</v>
      </c>
      <c r="N213" s="1165" t="n">
        <v>0</v>
      </c>
      <c r="O213" s="1165" t="n">
        <v>0</v>
      </c>
      <c r="P213" s="1165" t="n">
        <v>0</v>
      </c>
      <c r="Q213" s="1165" t="n">
        <v>0</v>
      </c>
    </row>
    <row r="214" ht="12.75" customHeight="1">
      <c r="A214" s="1664"/>
      <c r="B214" s="1449"/>
      <c r="C214" s="1531"/>
      <c r="D214" s="1460"/>
      <c r="E214" s="1486"/>
      <c r="F214" s="646"/>
      <c r="G214" s="1631"/>
      <c r="H214" s="1454"/>
      <c r="I214" s="1628"/>
      <c r="J214" s="646"/>
      <c r="K214" s="1665"/>
    </row>
    <row r="215" ht="12.75" customHeight="1">
      <c r="A215" s="1664"/>
      <c r="B215" s="1449"/>
      <c r="C215" s="1531" t="s">
        <v>3173</v>
      </c>
      <c r="D215" s="1531"/>
      <c r="E215" s="1531"/>
      <c r="F215" s="1531"/>
      <c r="G215" s="1539" t="n">
        <f aca="false">MIN(2,SUM(F216:F218))</f>
        <v>2</v>
      </c>
      <c r="H215" s="1454"/>
      <c r="I215" s="1628"/>
      <c r="J215" s="646"/>
      <c r="K215" s="1665"/>
    </row>
    <row r="216" ht="12.75" customHeight="1">
      <c r="A216" s="1664"/>
      <c r="B216" s="1449"/>
      <c r="C216" s="1250" t="s">
        <v>3174</v>
      </c>
      <c r="D216" s="634" t="s">
        <v>2843</v>
      </c>
      <c r="E216" s="1485" t="str">
        <f aca="false">'Saisie et Calculateur'!E1048</f>
        <v>oui</v>
      </c>
      <c r="F216" s="646" t="n">
        <f aca="false">IF(E216=M212,O212,O213)</f>
        <v>2</v>
      </c>
      <c r="G216" s="1539"/>
      <c r="H216" s="1454"/>
      <c r="I216" s="1628"/>
      <c r="J216" s="646"/>
      <c r="K216" s="1665"/>
    </row>
    <row r="217" ht="12.75" customHeight="1">
      <c r="A217" s="1664"/>
      <c r="B217" s="1449"/>
      <c r="C217" s="1250" t="s">
        <v>3175</v>
      </c>
      <c r="D217" s="634" t="s">
        <v>2843</v>
      </c>
      <c r="E217" s="1485" t="str">
        <f aca="false">'Saisie et Calculateur'!E1049</f>
        <v>non</v>
      </c>
      <c r="F217" s="646" t="n">
        <f aca="false">IF(E217=M212,P212,P213)</f>
        <v>0</v>
      </c>
      <c r="G217" s="1539"/>
      <c r="H217" s="1454"/>
      <c r="I217" s="1628"/>
      <c r="J217" s="646"/>
      <c r="K217" s="1665"/>
    </row>
    <row r="218" ht="12.75" customHeight="1">
      <c r="A218" s="1664"/>
      <c r="B218" s="1449"/>
      <c r="C218" s="1534" t="s">
        <v>3176</v>
      </c>
      <c r="D218" s="1655" t="s">
        <v>2843</v>
      </c>
      <c r="E218" s="1557" t="str">
        <f aca="false">'Saisie et Calculateur'!E1051</f>
        <v>non</v>
      </c>
      <c r="F218" s="1535" t="n">
        <f aca="false">IF(E218=M212,Q212,Q213)</f>
        <v>0</v>
      </c>
      <c r="G218" s="1539"/>
      <c r="H218" s="1454"/>
      <c r="I218" s="1628"/>
      <c r="J218" s="646"/>
      <c r="K218" s="1665"/>
    </row>
    <row r="219" ht="12.75" customHeight="1">
      <c r="A219" s="1664"/>
      <c r="B219" s="1449"/>
      <c r="C219" s="646"/>
      <c r="D219" s="646"/>
      <c r="E219" s="646"/>
      <c r="F219" s="646"/>
      <c r="G219" s="1529"/>
      <c r="H219" s="646"/>
      <c r="I219" s="646"/>
      <c r="J219" s="646"/>
      <c r="K219" s="1665"/>
    </row>
    <row r="220" ht="12.75" customHeight="1">
      <c r="A220" s="1664"/>
      <c r="B220" s="1449"/>
      <c r="C220" s="646"/>
      <c r="D220" s="646"/>
      <c r="E220" s="646"/>
      <c r="F220" s="646"/>
      <c r="G220" s="1529"/>
      <c r="H220" s="646"/>
      <c r="I220" s="646"/>
      <c r="J220" s="646"/>
      <c r="K220" s="1665"/>
    </row>
    <row r="221" ht="12.75" customHeight="1">
      <c r="A221" s="1664"/>
      <c r="B221" s="1449" t="s">
        <v>751</v>
      </c>
      <c r="C221" s="1634" t="s">
        <v>3177</v>
      </c>
      <c r="D221" s="1634"/>
      <c r="E221" s="1634"/>
      <c r="F221" s="1634"/>
      <c r="G221" s="1634"/>
      <c r="H221" s="1634"/>
      <c r="I221" s="1635" t="s">
        <v>2821</v>
      </c>
      <c r="J221" s="646"/>
      <c r="K221" s="1665"/>
    </row>
    <row r="222" ht="12.75" customHeight="1">
      <c r="A222" s="1664"/>
      <c r="B222" s="1449"/>
      <c r="C222" s="646"/>
      <c r="D222" s="646"/>
      <c r="E222" s="646"/>
      <c r="F222" s="646"/>
      <c r="G222" s="1529"/>
      <c r="H222" s="646"/>
      <c r="I222" s="646"/>
      <c r="J222" s="646"/>
      <c r="K222" s="1665"/>
    </row>
    <row r="223" ht="25.5" customHeight="1">
      <c r="A223" s="1664"/>
      <c r="B223" s="1449"/>
      <c r="C223" s="1165" t="s">
        <v>2822</v>
      </c>
      <c r="D223" s="1165"/>
      <c r="E223" s="1165"/>
      <c r="F223" s="1165"/>
      <c r="G223" s="1165"/>
      <c r="H223" s="1171" t="s">
        <v>2823</v>
      </c>
      <c r="I223" s="1171" t="s">
        <v>2824</v>
      </c>
      <c r="J223" s="646"/>
      <c r="K223" s="1665"/>
    </row>
    <row r="224" ht="12.75" customHeight="1">
      <c r="A224" s="1664"/>
      <c r="B224" s="1449"/>
      <c r="C224" s="1460" t="s">
        <v>3178</v>
      </c>
      <c r="D224" s="1460"/>
      <c r="E224" s="1460"/>
      <c r="F224" s="1460"/>
      <c r="G224" s="1529" t="n">
        <f aca="false">MIN(3,(E225))</f>
        <v>0</v>
      </c>
      <c r="H224" s="1454" t="n">
        <f aca="false">G224+G227+G230</f>
        <v>2</v>
      </c>
      <c r="I224" s="1628" t="n">
        <f aca="false">MIN(5,H224)</f>
        <v>2</v>
      </c>
      <c r="J224" s="646"/>
      <c r="K224" s="1665"/>
      <c r="N224" s="1192" t="s">
        <v>2861</v>
      </c>
    </row>
    <row r="225" ht="12.75" customHeight="1">
      <c r="A225" s="1664"/>
      <c r="B225" s="1449"/>
      <c r="C225" s="1250"/>
      <c r="D225" s="646" t="s">
        <v>3179</v>
      </c>
      <c r="E225" s="1485" t="n">
        <f aca="false">'Saisie et Calculateur'!D1056</f>
        <v>0</v>
      </c>
      <c r="F225" s="646"/>
      <c r="G225" s="1529"/>
      <c r="H225" s="1454"/>
      <c r="I225" s="1628"/>
      <c r="J225" s="646"/>
      <c r="K225" s="1665"/>
      <c r="M225" s="646" t="s">
        <v>253</v>
      </c>
      <c r="N225" s="1165" t="n">
        <v>2</v>
      </c>
    </row>
    <row r="226" ht="12.75" customHeight="1">
      <c r="A226" s="1664"/>
      <c r="B226" s="1449"/>
      <c r="C226" s="1250"/>
      <c r="D226" s="646"/>
      <c r="E226" s="646"/>
      <c r="F226" s="646"/>
      <c r="G226" s="1529"/>
      <c r="H226" s="1454"/>
      <c r="I226" s="1628"/>
      <c r="J226" s="646"/>
      <c r="K226" s="1665"/>
      <c r="M226" s="646" t="s">
        <v>254</v>
      </c>
      <c r="N226" s="1165" t="n">
        <v>0</v>
      </c>
    </row>
    <row r="227" ht="12.75" customHeight="1">
      <c r="A227" s="1664"/>
      <c r="B227" s="1449"/>
      <c r="C227" s="1538" t="s">
        <v>3180</v>
      </c>
      <c r="D227" s="1538"/>
      <c r="E227" s="1538"/>
      <c r="F227" s="1538"/>
      <c r="G227" s="1631" t="n">
        <f aca="false">IF(E228=M225,N225,N226)</f>
        <v>0</v>
      </c>
      <c r="H227" s="1454"/>
      <c r="I227" s="1628"/>
      <c r="J227" s="646"/>
      <c r="K227" s="1665"/>
    </row>
    <row r="228" ht="12.75" customHeight="1">
      <c r="A228" s="1664"/>
      <c r="B228" s="1449"/>
      <c r="C228" s="1531"/>
      <c r="D228" s="634" t="s">
        <v>2843</v>
      </c>
      <c r="E228" s="1460" t="str">
        <f aca="false">'Saisie et Calculateur'!D1058</f>
        <v>non</v>
      </c>
      <c r="F228" s="646"/>
      <c r="G228" s="1631"/>
      <c r="H228" s="1454"/>
      <c r="I228" s="1628"/>
      <c r="J228" s="646"/>
      <c r="K228" s="1665"/>
    </row>
    <row r="229" ht="12.75" customHeight="1">
      <c r="A229" s="1664"/>
      <c r="B229" s="1449"/>
      <c r="C229" s="1531"/>
      <c r="D229" s="646"/>
      <c r="E229" s="1486"/>
      <c r="F229" s="646"/>
      <c r="G229" s="1631"/>
      <c r="H229" s="1454"/>
      <c r="I229" s="1628"/>
      <c r="J229" s="646"/>
      <c r="K229" s="1665"/>
    </row>
    <row r="230" ht="12.75" customHeight="1">
      <c r="A230" s="1664"/>
      <c r="B230" s="1449"/>
      <c r="C230" s="1531" t="s">
        <v>3181</v>
      </c>
      <c r="D230" s="1531"/>
      <c r="E230" s="1531"/>
      <c r="F230" s="1531"/>
      <c r="G230" s="1539" t="n">
        <f aca="false">MIN(2,E231)</f>
        <v>2</v>
      </c>
      <c r="H230" s="1454"/>
      <c r="I230" s="1628"/>
      <c r="J230" s="646"/>
      <c r="K230" s="1665"/>
    </row>
    <row r="231" ht="12.75" customHeight="1">
      <c r="A231" s="1664"/>
      <c r="B231" s="1449"/>
      <c r="C231" s="1550"/>
      <c r="D231" s="1535" t="s">
        <v>3182</v>
      </c>
      <c r="E231" s="1557" t="n">
        <f aca="false">'Saisie et Calculateur'!D1060</f>
        <v>4</v>
      </c>
      <c r="F231" s="1557"/>
      <c r="G231" s="1539"/>
      <c r="H231" s="1454"/>
      <c r="I231" s="1628"/>
      <c r="J231" s="646"/>
      <c r="K231" s="1665"/>
    </row>
    <row r="232" ht="12.75" customHeight="1">
      <c r="A232" s="1664"/>
      <c r="B232" s="1369"/>
      <c r="C232" s="646"/>
      <c r="D232" s="646"/>
      <c r="E232" s="646"/>
      <c r="F232" s="646"/>
      <c r="G232" s="1513"/>
      <c r="H232" s="646"/>
      <c r="I232" s="646"/>
      <c r="J232" s="646"/>
      <c r="K232" s="1665"/>
    </row>
    <row r="233" ht="12.75" customHeight="1">
      <c r="G233"/>
    </row>
    <row r="235" ht="12.75" customHeight="1">
      <c r="A235" s="1668" t="s">
        <v>3183</v>
      </c>
      <c r="B235" s="646" t="s">
        <v>791</v>
      </c>
      <c r="C235" s="1623" t="s">
        <v>3184</v>
      </c>
      <c r="D235" s="1623"/>
      <c r="E235" s="1623"/>
      <c r="F235" s="1623"/>
      <c r="G235" s="1623"/>
      <c r="H235" s="1623"/>
      <c r="I235" s="1624" t="s">
        <v>2989</v>
      </c>
      <c r="J235" s="646"/>
      <c r="K235" s="1669" t="n">
        <f aca="false">MIN(25,SUM(I238,I259,I269,I276,I284))</f>
        <v>19</v>
      </c>
    </row>
    <row r="236" ht="12.75" customHeight="1">
      <c r="A236" s="1668"/>
      <c r="B236" s="1449"/>
      <c r="C236" s="646"/>
      <c r="D236" s="646"/>
      <c r="E236" s="646"/>
      <c r="F236" s="646"/>
      <c r="G236" s="1529"/>
      <c r="H236" s="646"/>
      <c r="I236" s="646"/>
      <c r="J236" s="646"/>
      <c r="K236" s="1669"/>
      <c r="N236" s="1165"/>
      <c r="O236" s="1165"/>
    </row>
    <row r="237" ht="25.5" customHeight="1">
      <c r="A237" s="1668"/>
      <c r="B237" s="1449"/>
      <c r="C237" s="1165" t="s">
        <v>2822</v>
      </c>
      <c r="D237" s="1165"/>
      <c r="E237" s="1165"/>
      <c r="F237" s="1165"/>
      <c r="G237" s="1165"/>
      <c r="H237" s="1171" t="s">
        <v>2823</v>
      </c>
      <c r="I237" s="1171" t="s">
        <v>2824</v>
      </c>
      <c r="J237" s="646"/>
      <c r="K237" s="1669"/>
      <c r="N237" s="1356"/>
      <c r="O237" s="1165"/>
    </row>
    <row r="238" ht="12.75" customHeight="1">
      <c r="A238" s="1668"/>
      <c r="B238" s="1449"/>
      <c r="C238" s="1460" t="s">
        <v>3185</v>
      </c>
      <c r="D238" s="1460"/>
      <c r="E238" s="1460"/>
      <c r="F238" s="1460"/>
      <c r="G238" s="1529" t="n">
        <f aca="false">IF(D239=O238,O240,IF(D239=Q238,Q240,N240))</f>
        <v>2</v>
      </c>
      <c r="H238" s="1454" t="n">
        <f aca="false">G238+G241+G244+G247+G250+G253</f>
        <v>4</v>
      </c>
      <c r="I238" s="1628" t="n">
        <f aca="false">IF(H238&lt;0,0,MIN(6,H238))</f>
        <v>4</v>
      </c>
      <c r="J238" s="646"/>
      <c r="K238" s="1669"/>
      <c r="M238" s="1165" t="s">
        <v>3186</v>
      </c>
      <c r="N238" s="1483" t="s">
        <v>254</v>
      </c>
      <c r="O238" s="1670" t="s">
        <v>3187</v>
      </c>
      <c r="P238" s="1670"/>
      <c r="Q238" s="1670" t="s">
        <v>1706</v>
      </c>
      <c r="R238" s="1670"/>
    </row>
    <row r="239" ht="12.75" customHeight="1">
      <c r="A239" s="1668"/>
      <c r="B239" s="1449"/>
      <c r="C239" s="1250"/>
      <c r="D239" s="1485" t="str">
        <f aca="false">'Saisie et Calculateur'!G1065</f>
        <v>Oui, en tant que responsable</v>
      </c>
      <c r="E239" s="1485"/>
      <c r="F239" s="584"/>
      <c r="G239" s="1529"/>
      <c r="H239" s="1454"/>
      <c r="I239" s="1628"/>
      <c r="J239" s="646"/>
      <c r="K239" s="1669"/>
      <c r="M239" s="1165"/>
      <c r="N239" s="1483"/>
      <c r="O239" s="1670"/>
      <c r="P239" s="1670"/>
      <c r="Q239" s="1670"/>
      <c r="R239" s="1670"/>
    </row>
    <row r="240" ht="12.75" customHeight="1">
      <c r="A240" s="1668"/>
      <c r="B240" s="1449"/>
      <c r="C240" s="1250"/>
      <c r="D240" s="634"/>
      <c r="E240" s="1485"/>
      <c r="F240" s="646"/>
      <c r="G240" s="1529"/>
      <c r="H240" s="1454"/>
      <c r="I240" s="1628"/>
      <c r="J240" s="646"/>
      <c r="K240" s="1669"/>
      <c r="M240" s="1165"/>
      <c r="N240" s="1483" t="n">
        <v>0</v>
      </c>
      <c r="O240" s="1483" t="n">
        <v>1</v>
      </c>
      <c r="P240" s="1483"/>
      <c r="Q240" s="1456" t="n">
        <v>2</v>
      </c>
      <c r="R240" s="1456"/>
    </row>
    <row r="241" ht="12.75" customHeight="1">
      <c r="A241" s="1668"/>
      <c r="B241" s="1449"/>
      <c r="C241" s="1530" t="s">
        <v>3188</v>
      </c>
      <c r="D241" s="1530"/>
      <c r="E241" s="1530"/>
      <c r="F241" s="1530"/>
      <c r="G241" s="1532" t="n">
        <f aca="false">IF(D242=O238,O240,IF(D242=Q238,Q240,N240))</f>
        <v>2</v>
      </c>
      <c r="H241" s="1454"/>
      <c r="I241" s="1628"/>
      <c r="J241" s="646"/>
      <c r="K241" s="1669"/>
    </row>
    <row r="242" ht="12.75" customHeight="1">
      <c r="A242" s="1668"/>
      <c r="B242" s="1449"/>
      <c r="C242" s="1250"/>
      <c r="D242" s="1503" t="str">
        <f aca="false">'Saisie et Calculateur'!G1068</f>
        <v>Oui, en tant que responsable</v>
      </c>
      <c r="E242" s="1503"/>
      <c r="F242" s="584"/>
      <c r="G242" s="1532"/>
      <c r="H242" s="1454"/>
      <c r="I242" s="1628"/>
      <c r="J242" s="646"/>
      <c r="K242" s="1669"/>
    </row>
    <row r="243" ht="12.75" customHeight="1">
      <c r="A243" s="1668"/>
      <c r="B243" s="1449"/>
      <c r="C243" s="1250"/>
      <c r="D243" s="634"/>
      <c r="E243" s="1460"/>
      <c r="F243" s="1486"/>
      <c r="G243" s="1532"/>
      <c r="H243" s="1454"/>
      <c r="I243" s="1628"/>
      <c r="J243" s="646"/>
      <c r="K243" s="1669"/>
    </row>
    <row r="244" ht="12.75" customHeight="1">
      <c r="A244" s="1668"/>
      <c r="B244" s="1449"/>
      <c r="C244" s="1250" t="s">
        <v>3189</v>
      </c>
      <c r="D244" s="584"/>
      <c r="E244" s="584"/>
      <c r="F244" s="584"/>
      <c r="G244" s="1631" t="n">
        <f aca="false">IF(E245=M246,N246,N247)</f>
        <v>0</v>
      </c>
      <c r="H244" s="1454"/>
      <c r="I244" s="1628"/>
      <c r="J244" s="646"/>
      <c r="K244" s="1669"/>
      <c r="N244" s="1165"/>
    </row>
    <row r="245" ht="12.75" customHeight="1">
      <c r="A245" s="1668"/>
      <c r="B245" s="1449"/>
      <c r="C245" s="1558"/>
      <c r="D245" s="1486" t="s">
        <v>2843</v>
      </c>
      <c r="E245" s="1460" t="str">
        <f aca="false">'Saisie et Calculateur'!G1071</f>
        <v>non</v>
      </c>
      <c r="F245" s="584"/>
      <c r="G245" s="1631"/>
      <c r="H245" s="1454"/>
      <c r="I245" s="1628"/>
      <c r="J245" s="646"/>
      <c r="K245" s="1669"/>
      <c r="M245" s="1192"/>
      <c r="N245" s="1165" t="s">
        <v>3076</v>
      </c>
      <c r="O245" s="1165" t="s">
        <v>3190</v>
      </c>
      <c r="P245" s="1165" t="s">
        <v>3191</v>
      </c>
    </row>
    <row r="246" ht="12.75" customHeight="1">
      <c r="A246" s="1668"/>
      <c r="B246" s="1449"/>
      <c r="C246" s="1558"/>
      <c r="D246" s="1460"/>
      <c r="E246" s="584"/>
      <c r="F246" s="584"/>
      <c r="G246" s="1631"/>
      <c r="H246" s="1454"/>
      <c r="I246" s="1628"/>
      <c r="J246" s="646"/>
      <c r="K246" s="1669"/>
      <c r="M246" s="1301" t="s">
        <v>253</v>
      </c>
      <c r="N246" s="1165" t="n">
        <v>2</v>
      </c>
      <c r="O246" s="1165" t="n">
        <v>2</v>
      </c>
      <c r="P246" s="1165" t="n">
        <v>2</v>
      </c>
    </row>
    <row r="247" ht="12.75" customHeight="1">
      <c r="A247" s="1668"/>
      <c r="B247" s="1449"/>
      <c r="C247" s="1531" t="s">
        <v>3192</v>
      </c>
      <c r="D247" s="748"/>
      <c r="E247" s="748"/>
      <c r="F247" s="748"/>
      <c r="G247" s="1631" t="n">
        <f aca="false">IF(E248=M246,O246,O247)</f>
        <v>0</v>
      </c>
      <c r="H247" s="1454"/>
      <c r="I247" s="1628"/>
      <c r="J247" s="646"/>
      <c r="K247" s="1669"/>
      <c r="M247" s="1165" t="s">
        <v>254</v>
      </c>
      <c r="N247" s="1165" t="n">
        <v>0</v>
      </c>
      <c r="O247" s="1165" t="n">
        <v>0</v>
      </c>
      <c r="P247" s="1165" t="n">
        <v>0</v>
      </c>
    </row>
    <row r="248" ht="12.75" customHeight="1">
      <c r="A248" s="1668"/>
      <c r="B248" s="1449"/>
      <c r="C248" s="1530"/>
      <c r="D248" s="1486" t="s">
        <v>2843</v>
      </c>
      <c r="E248" s="1460" t="str">
        <f aca="false">'Saisie et Calculateur'!D1073</f>
        <v>non</v>
      </c>
      <c r="F248" s="1486"/>
      <c r="G248" s="1631"/>
      <c r="H248" s="1454"/>
      <c r="I248" s="1628"/>
      <c r="J248" s="646"/>
      <c r="K248" s="1669"/>
    </row>
    <row r="249" ht="12.75" customHeight="1">
      <c r="A249" s="1668"/>
      <c r="B249" s="1449"/>
      <c r="C249" s="1530"/>
      <c r="D249" s="1460"/>
      <c r="E249" s="1460"/>
      <c r="F249" s="1486"/>
      <c r="G249" s="1631"/>
      <c r="H249" s="1454"/>
      <c r="I249" s="1628"/>
      <c r="J249" s="646"/>
      <c r="K249" s="1669"/>
    </row>
    <row r="250" ht="12.75" customHeight="1">
      <c r="A250" s="1668"/>
      <c r="B250" s="1449"/>
      <c r="C250" s="1250" t="s">
        <v>3193</v>
      </c>
      <c r="D250" s="1460"/>
      <c r="E250" s="1460"/>
      <c r="F250" s="1486"/>
      <c r="G250" s="1532" t="n">
        <f aca="false">IF(E251=M246,P246,P247)</f>
        <v>0</v>
      </c>
      <c r="H250" s="1454"/>
      <c r="I250" s="1628"/>
      <c r="J250" s="646"/>
      <c r="K250" s="1669"/>
    </row>
    <row r="251" ht="15.75" customHeight="1">
      <c r="A251" s="1668"/>
      <c r="B251" s="1449"/>
      <c r="C251" s="1250"/>
      <c r="D251" s="634" t="s">
        <v>2843</v>
      </c>
      <c r="E251" s="1485" t="str">
        <f aca="false">'Saisie et Calculateur'!C1075</f>
        <v>non</v>
      </c>
      <c r="F251" s="646"/>
      <c r="G251" s="1532"/>
      <c r="H251" s="1454"/>
      <c r="I251" s="1628"/>
      <c r="J251" s="646"/>
      <c r="K251" s="1669"/>
    </row>
    <row r="252" ht="15.75" customHeight="1">
      <c r="A252" s="1668"/>
      <c r="B252" s="1449"/>
      <c r="C252" s="1250"/>
      <c r="D252" s="634"/>
      <c r="E252" s="1485"/>
      <c r="F252" s="646"/>
      <c r="G252" s="1532"/>
      <c r="H252" s="1454"/>
      <c r="I252" s="1628"/>
      <c r="J252" s="646"/>
      <c r="K252" s="1669"/>
    </row>
    <row r="253" ht="15.75" customHeight="1">
      <c r="A253" s="1668"/>
      <c r="B253" s="1449"/>
      <c r="C253" s="1534" t="s">
        <v>3194</v>
      </c>
      <c r="D253" s="1655"/>
      <c r="E253" s="1557" t="str">
        <f aca="false">'Saisie et Calculateur'!C1077</f>
        <v>non</v>
      </c>
      <c r="F253" s="1535" t="s">
        <v>3133</v>
      </c>
      <c r="G253" s="1533" t="n">
        <f aca="false">IF(E253="oui",-2,0)</f>
        <v>0</v>
      </c>
      <c r="H253" s="1454"/>
      <c r="I253" s="1628"/>
      <c r="J253" s="646"/>
      <c r="K253" s="1669"/>
    </row>
    <row r="254" ht="12.75" customHeight="1">
      <c r="A254" s="1668"/>
      <c r="B254" s="1449"/>
      <c r="C254" s="646"/>
      <c r="D254" s="646"/>
      <c r="E254" s="646"/>
      <c r="F254" s="646"/>
      <c r="G254" s="1529"/>
      <c r="H254" s="646"/>
      <c r="I254" s="646"/>
      <c r="J254" s="646"/>
      <c r="K254" s="1669"/>
    </row>
    <row r="255" ht="12.75" customHeight="1">
      <c r="A255" s="1668"/>
      <c r="B255" s="1449"/>
      <c r="C255" s="646"/>
      <c r="D255" s="646"/>
      <c r="E255" s="646"/>
      <c r="F255" s="646"/>
      <c r="G255" s="1529"/>
      <c r="H255" s="646"/>
      <c r="I255" s="646"/>
      <c r="J255" s="646"/>
      <c r="K255" s="1669"/>
    </row>
    <row r="256" ht="12.75" customHeight="1">
      <c r="A256" s="1668"/>
      <c r="B256" s="1449" t="s">
        <v>800</v>
      </c>
      <c r="C256" s="1634" t="s">
        <v>3195</v>
      </c>
      <c r="D256" s="1634"/>
      <c r="E256" s="1634"/>
      <c r="F256" s="1634"/>
      <c r="G256" s="1634"/>
      <c r="H256" s="1634"/>
      <c r="I256" s="1635" t="s">
        <v>2989</v>
      </c>
      <c r="J256" s="646"/>
      <c r="K256" s="1669"/>
      <c r="N256" s="646"/>
      <c r="O256" s="646"/>
    </row>
    <row r="257" ht="12.75" customHeight="1">
      <c r="A257" s="1668"/>
      <c r="B257" s="1449"/>
      <c r="C257" s="646"/>
      <c r="D257" s="646"/>
      <c r="E257" s="646"/>
      <c r="F257" s="646"/>
      <c r="G257" s="1529"/>
      <c r="H257" s="646"/>
      <c r="I257" s="646"/>
      <c r="J257" s="646"/>
      <c r="K257" s="1669"/>
      <c r="N257" s="646"/>
      <c r="O257" s="1165"/>
    </row>
    <row r="258" ht="25.5" customHeight="1">
      <c r="A258" s="1668"/>
      <c r="B258" s="1449"/>
      <c r="C258" s="1165" t="s">
        <v>2822</v>
      </c>
      <c r="D258" s="1165"/>
      <c r="E258" s="1165"/>
      <c r="F258" s="1165"/>
      <c r="G258" s="1165"/>
      <c r="H258" s="1171" t="s">
        <v>2823</v>
      </c>
      <c r="I258" s="1171" t="s">
        <v>2824</v>
      </c>
      <c r="J258" s="646"/>
      <c r="K258" s="1669"/>
      <c r="M258" s="1192" t="s">
        <v>3075</v>
      </c>
      <c r="Q258" s="1192" t="s">
        <v>2861</v>
      </c>
      <c r="S258" s="646"/>
    </row>
    <row r="259" ht="12.75" customHeight="1">
      <c r="A259" s="1668"/>
      <c r="B259" s="1449"/>
      <c r="C259" s="1460" t="s">
        <v>3196</v>
      </c>
      <c r="D259" s="1460"/>
      <c r="E259" s="1460"/>
      <c r="F259" s="1460"/>
      <c r="G259" s="1529" t="n">
        <f aca="false">IF(E260=M259,O259,IF(E260=M260,O260,O261))</f>
        <v>2</v>
      </c>
      <c r="H259" s="1454" t="n">
        <f aca="false">G259+G262</f>
        <v>2</v>
      </c>
      <c r="I259" s="1628" t="n">
        <f aca="false">MIN(6,H259)</f>
        <v>2</v>
      </c>
      <c r="J259" s="646"/>
      <c r="K259" s="1669"/>
      <c r="M259" s="1671" t="s">
        <v>3197</v>
      </c>
      <c r="N259" s="1671"/>
      <c r="O259" s="1165" t="n">
        <v>4</v>
      </c>
      <c r="Q259" s="646" t="s">
        <v>253</v>
      </c>
      <c r="R259" s="1192" t="n">
        <v>6</v>
      </c>
    </row>
    <row r="260" ht="12.75" customHeight="1">
      <c r="A260" s="1668"/>
      <c r="B260" s="1449"/>
      <c r="C260" s="1250"/>
      <c r="D260" s="646" t="s">
        <v>2843</v>
      </c>
      <c r="E260" s="646" t="str">
        <f aca="false">'Saisie et Calculateur'!C1082</f>
        <v>oui démarche non certifiée</v>
      </c>
      <c r="F260" s="646"/>
      <c r="G260" s="1529"/>
      <c r="H260" s="1454"/>
      <c r="I260" s="1628"/>
      <c r="J260" s="646"/>
      <c r="K260" s="1669"/>
      <c r="M260" s="1671" t="s">
        <v>1714</v>
      </c>
      <c r="N260" s="1671"/>
      <c r="O260" s="1165" t="n">
        <v>2</v>
      </c>
      <c r="Q260" s="646" t="s">
        <v>254</v>
      </c>
      <c r="R260" s="1192" t="n">
        <v>0</v>
      </c>
    </row>
    <row r="261" ht="12.75" customHeight="1">
      <c r="A261" s="1668"/>
      <c r="B261" s="1449"/>
      <c r="C261" s="1250"/>
      <c r="D261" s="646"/>
      <c r="E261" s="646"/>
      <c r="F261" s="646"/>
      <c r="G261" s="1529"/>
      <c r="H261" s="1454"/>
      <c r="I261" s="1628"/>
      <c r="J261" s="646"/>
      <c r="K261" s="1669"/>
      <c r="M261" s="1671" t="s">
        <v>254</v>
      </c>
      <c r="N261" s="1671"/>
      <c r="O261" s="1165" t="n">
        <v>0</v>
      </c>
    </row>
    <row r="262" ht="12.75" customHeight="1">
      <c r="A262" s="1668"/>
      <c r="B262" s="1449"/>
      <c r="C262" s="1538" t="s">
        <v>3198</v>
      </c>
      <c r="D262" s="1538"/>
      <c r="E262" s="1538"/>
      <c r="F262" s="1538"/>
      <c r="G262" s="1533" t="n">
        <f aca="false">IF(E263=Q259,R259,R260)</f>
        <v>0</v>
      </c>
      <c r="H262" s="1454"/>
      <c r="I262" s="1628"/>
      <c r="J262" s="646"/>
      <c r="K262" s="1669"/>
    </row>
    <row r="263" ht="12.75" customHeight="1">
      <c r="A263" s="1668"/>
      <c r="B263" s="1449"/>
      <c r="C263" s="1550"/>
      <c r="D263" s="1535" t="s">
        <v>2843</v>
      </c>
      <c r="E263" s="1643" t="str">
        <f aca="false">'Saisie et Calculateur'!C1085</f>
        <v>non</v>
      </c>
      <c r="F263" s="1535"/>
      <c r="G263" s="1533"/>
      <c r="H263" s="1454"/>
      <c r="I263" s="1628"/>
      <c r="J263" s="646"/>
      <c r="K263" s="1669"/>
    </row>
    <row r="264" ht="12.75" customHeight="1">
      <c r="A264" s="1668"/>
      <c r="B264" s="1449"/>
      <c r="C264" s="646"/>
      <c r="D264" s="646"/>
      <c r="E264" s="646"/>
      <c r="F264" s="646"/>
      <c r="G264" s="1529"/>
      <c r="H264" s="646"/>
      <c r="I264" s="646"/>
      <c r="J264" s="646"/>
      <c r="K264" s="1669"/>
    </row>
    <row r="265" ht="12.75" customHeight="1">
      <c r="A265" s="1668"/>
      <c r="B265" s="1449"/>
      <c r="C265" s="646"/>
      <c r="D265" s="646"/>
      <c r="E265" s="646"/>
      <c r="F265" s="646"/>
      <c r="G265" s="1529"/>
      <c r="H265" s="646"/>
      <c r="I265" s="646"/>
      <c r="J265" s="646"/>
      <c r="K265" s="1669"/>
    </row>
    <row r="266" ht="12.75" customHeight="1">
      <c r="A266" s="1668"/>
      <c r="B266" s="1449" t="s">
        <v>808</v>
      </c>
      <c r="C266" s="1634" t="s">
        <v>3199</v>
      </c>
      <c r="D266" s="1634"/>
      <c r="E266" s="1634"/>
      <c r="F266" s="1634"/>
      <c r="G266" s="1634"/>
      <c r="H266" s="1634"/>
      <c r="I266" s="1635" t="s">
        <v>2989</v>
      </c>
      <c r="J266" s="646"/>
      <c r="K266" s="1669"/>
    </row>
    <row r="267" ht="15.75" customHeight="1">
      <c r="A267" s="1668"/>
      <c r="B267" s="1449"/>
      <c r="C267" s="646"/>
      <c r="D267" s="646"/>
      <c r="E267" s="646"/>
      <c r="F267" s="646"/>
      <c r="G267" s="1529"/>
      <c r="H267" s="646"/>
      <c r="I267" s="646"/>
      <c r="J267" s="646"/>
      <c r="K267" s="1669"/>
    </row>
    <row r="268" ht="25.5" customHeight="1">
      <c r="A268" s="1668"/>
      <c r="B268" s="1449"/>
      <c r="C268" s="1165" t="s">
        <v>2822</v>
      </c>
      <c r="D268" s="1165"/>
      <c r="E268" s="1165"/>
      <c r="F268" s="1165"/>
      <c r="G268" s="1165"/>
      <c r="H268" s="1171" t="s">
        <v>2823</v>
      </c>
      <c r="I268" s="1171" t="s">
        <v>2824</v>
      </c>
      <c r="J268" s="646"/>
      <c r="K268" s="1669"/>
    </row>
    <row r="269" ht="12.75" customHeight="1">
      <c r="A269" s="1668"/>
      <c r="B269" s="1449"/>
      <c r="C269" s="1460" t="s">
        <v>3200</v>
      </c>
      <c r="D269" s="1460"/>
      <c r="E269" s="1460"/>
      <c r="F269" s="1460"/>
      <c r="G269" s="1672" t="n">
        <f aca="false">'Saisie et Calculateur'!C1091</f>
        <v>5</v>
      </c>
      <c r="H269" s="1165" t="n">
        <f aca="false">G269</f>
        <v>5</v>
      </c>
      <c r="I269" s="1628" t="n">
        <f aca="false">MIN(6,H269)</f>
        <v>5</v>
      </c>
      <c r="J269" s="646"/>
      <c r="K269" s="1669"/>
    </row>
    <row r="270" ht="12.75" customHeight="1">
      <c r="A270" s="1668"/>
      <c r="B270" s="1449"/>
      <c r="C270" s="1545"/>
      <c r="D270" s="1535"/>
      <c r="E270" s="1535"/>
      <c r="F270" s="1643"/>
      <c r="G270" s="1672"/>
      <c r="H270" s="1165"/>
      <c r="I270" s="1628"/>
      <c r="J270" s="646"/>
      <c r="K270" s="1669"/>
    </row>
    <row r="271" ht="12.75" customHeight="1">
      <c r="A271" s="1668"/>
      <c r="B271" s="1449"/>
      <c r="C271" s="646"/>
      <c r="D271" s="646"/>
      <c r="E271" s="646"/>
      <c r="F271" s="646"/>
      <c r="G271" s="1529"/>
      <c r="H271" s="646"/>
      <c r="I271" s="646"/>
      <c r="J271" s="646"/>
      <c r="K271" s="1669"/>
    </row>
    <row r="272" ht="12.75" customHeight="1">
      <c r="A272" s="1668"/>
      <c r="B272" s="1449"/>
      <c r="C272" s="646"/>
      <c r="D272" s="646"/>
      <c r="E272" s="646"/>
      <c r="F272" s="646"/>
      <c r="G272" s="1529"/>
      <c r="H272" s="646"/>
      <c r="I272" s="646"/>
      <c r="J272" s="646"/>
      <c r="K272" s="1669"/>
    </row>
    <row r="273" ht="12.75" customHeight="1">
      <c r="A273" s="1668"/>
      <c r="B273" s="1449" t="s">
        <v>811</v>
      </c>
      <c r="C273" s="1634" t="s">
        <v>3201</v>
      </c>
      <c r="D273" s="1634"/>
      <c r="E273" s="1634"/>
      <c r="F273" s="1634"/>
      <c r="G273" s="1634"/>
      <c r="H273" s="1634"/>
      <c r="I273" s="1635" t="s">
        <v>2989</v>
      </c>
      <c r="J273" s="646"/>
      <c r="K273" s="1669"/>
    </row>
    <row r="274" ht="12.75" customHeight="1">
      <c r="A274" s="1668"/>
      <c r="B274" s="1449"/>
      <c r="C274" s="646"/>
      <c r="D274" s="646"/>
      <c r="E274" s="646"/>
      <c r="F274" s="646"/>
      <c r="G274" s="1529"/>
      <c r="H274" s="646"/>
      <c r="I274" s="646"/>
      <c r="J274" s="646"/>
      <c r="K274" s="1669"/>
    </row>
    <row r="275" ht="25.5" customHeight="1">
      <c r="A275" s="1668"/>
      <c r="B275" s="1449"/>
      <c r="C275" s="1165" t="s">
        <v>2822</v>
      </c>
      <c r="D275" s="1165"/>
      <c r="E275" s="1165"/>
      <c r="F275" s="1165"/>
      <c r="G275" s="1165"/>
      <c r="H275" s="1171" t="s">
        <v>2823</v>
      </c>
      <c r="I275" s="1171" t="s">
        <v>2824</v>
      </c>
      <c r="J275" s="646"/>
      <c r="K275" s="1669"/>
    </row>
    <row r="276" ht="12.75" customHeight="1">
      <c r="A276" s="1668"/>
      <c r="B276" s="1449"/>
      <c r="C276" s="1460" t="s">
        <v>3202</v>
      </c>
      <c r="D276" s="1460"/>
      <c r="E276" s="1460"/>
      <c r="F276" s="1460"/>
      <c r="G276" s="1529" t="n">
        <f aca="false">E277+E278</f>
        <v>3</v>
      </c>
      <c r="H276" s="1454" t="n">
        <f aca="false">G276</f>
        <v>3</v>
      </c>
      <c r="I276" s="1628" t="n">
        <f aca="false">MIN(6,H276)</f>
        <v>3</v>
      </c>
      <c r="J276" s="646"/>
      <c r="K276" s="1669"/>
    </row>
    <row r="277" ht="12.75" customHeight="1">
      <c r="A277" s="1668"/>
      <c r="B277" s="1449"/>
      <c r="C277" s="1530" t="s">
        <v>3203</v>
      </c>
      <c r="D277" s="1530"/>
      <c r="E277" s="1460" t="n">
        <f aca="false">'Saisie et Calculateur'!E1096</f>
        <v>2</v>
      </c>
      <c r="F277" s="1460"/>
      <c r="G277" s="1529"/>
      <c r="H277" s="1454"/>
      <c r="I277" s="1628"/>
      <c r="J277" s="646"/>
      <c r="K277" s="1669"/>
    </row>
    <row r="278" ht="12.75" customHeight="1">
      <c r="A278" s="1668"/>
      <c r="B278" s="1449"/>
      <c r="C278" s="1545" t="s">
        <v>3204</v>
      </c>
      <c r="D278" s="1545"/>
      <c r="E278" s="1557" t="n">
        <f aca="false">'Saisie et Calculateur'!E1097</f>
        <v>1</v>
      </c>
      <c r="F278" s="1535"/>
      <c r="G278" s="1529"/>
      <c r="H278" s="1454"/>
      <c r="I278" s="1628"/>
      <c r="J278" s="646"/>
      <c r="K278" s="1669"/>
    </row>
    <row r="279" ht="12.75" customHeight="1">
      <c r="A279" s="1668"/>
      <c r="B279" s="1449"/>
      <c r="C279" s="646"/>
      <c r="D279" s="646"/>
      <c r="E279" s="646"/>
      <c r="F279" s="646"/>
      <c r="G279" s="1529"/>
      <c r="H279" s="646"/>
      <c r="I279" s="646"/>
      <c r="J279" s="646"/>
      <c r="K279" s="1669"/>
    </row>
    <row r="280" ht="12.75" customHeight="1">
      <c r="A280" s="1668"/>
      <c r="B280" s="1449"/>
      <c r="C280" s="646"/>
      <c r="D280" s="646"/>
      <c r="E280" s="646"/>
      <c r="F280" s="646"/>
      <c r="G280" s="1529"/>
      <c r="H280" s="646"/>
      <c r="I280" s="646"/>
      <c r="J280" s="646"/>
      <c r="K280" s="1669"/>
    </row>
    <row r="281" ht="15" customHeight="1">
      <c r="A281" s="1668"/>
      <c r="B281" s="1449" t="s">
        <v>3205</v>
      </c>
      <c r="C281" s="1634" t="s">
        <v>3206</v>
      </c>
      <c r="D281" s="1634"/>
      <c r="E281" s="1634"/>
      <c r="F281" s="1634"/>
      <c r="G281" s="1634"/>
      <c r="H281" s="1634"/>
      <c r="I281" s="1635" t="s">
        <v>2989</v>
      </c>
      <c r="J281" s="646"/>
      <c r="K281" s="1669"/>
    </row>
    <row r="282" ht="12.75" customHeight="1">
      <c r="A282" s="1668"/>
      <c r="B282" s="1449"/>
      <c r="C282" s="646"/>
      <c r="D282" s="646"/>
      <c r="E282" s="646"/>
      <c r="F282" s="646"/>
      <c r="G282" s="1529"/>
      <c r="H282" s="646"/>
      <c r="I282" s="646"/>
      <c r="J282" s="646"/>
      <c r="K282" s="1669"/>
    </row>
    <row r="283" ht="39" customHeight="1">
      <c r="A283" s="1668"/>
      <c r="B283" s="1449"/>
      <c r="C283" s="1165" t="s">
        <v>2822</v>
      </c>
      <c r="D283" s="1165"/>
      <c r="E283" s="1165"/>
      <c r="F283" s="1165"/>
      <c r="G283" s="1165"/>
      <c r="H283" s="1171" t="s">
        <v>2823</v>
      </c>
      <c r="I283" s="1171" t="s">
        <v>2824</v>
      </c>
      <c r="J283" s="646"/>
      <c r="K283" s="1669"/>
      <c r="M283" s="1673" t="s">
        <v>3207</v>
      </c>
      <c r="N283" s="646" t="s">
        <v>2905</v>
      </c>
    </row>
    <row r="284" ht="13.5" customHeight="1">
      <c r="A284" s="1668"/>
      <c r="B284" s="1449"/>
      <c r="C284" s="1674" t="s">
        <v>3208</v>
      </c>
      <c r="D284" s="1674"/>
      <c r="E284" s="1674"/>
      <c r="F284" s="1675" t="str">
        <f aca="false">'Saisie et Calculateur'!B1103</f>
        <v>1 - monogastrique</v>
      </c>
      <c r="G284" s="1498"/>
      <c r="H284" s="1585" t="n">
        <f aca="false">IF(OR(F284="1 - monogastrique",F284="2 - herbivore")=TRUE(),ROUND(AVERAGE(G286,G299),0),G299)</f>
        <v>5</v>
      </c>
      <c r="I284" s="1676" t="n">
        <f aca="false">MIN(6,H284)</f>
        <v>5</v>
      </c>
      <c r="J284" s="646"/>
      <c r="K284" s="1669"/>
      <c r="M284" s="584" t="n">
        <v>4</v>
      </c>
      <c r="N284" s="646" t="n">
        <v>3</v>
      </c>
    </row>
    <row r="285" ht="13.5" customHeight="1">
      <c r="A285" s="1668"/>
      <c r="B285" s="1449"/>
      <c r="C285" s="1677"/>
      <c r="D285" s="1165"/>
      <c r="E285" s="1165"/>
      <c r="F285" s="1165"/>
      <c r="G285" s="1165"/>
      <c r="H285" s="1585"/>
      <c r="I285" s="1676"/>
      <c r="J285" s="646"/>
      <c r="K285" s="1669"/>
      <c r="M285" s="1511"/>
      <c r="N285" s="1511" t="n">
        <v>0</v>
      </c>
    </row>
    <row r="286" ht="13.5" customHeight="1">
      <c r="A286" s="1668"/>
      <c r="B286" s="1449"/>
      <c r="C286" s="1678" t="s">
        <v>3209</v>
      </c>
      <c r="D286" s="1292"/>
      <c r="E286" s="1292"/>
      <c r="F286" s="1292"/>
      <c r="G286" s="1679" t="n">
        <f aca="false">IF(F288+F291+F293&lt;0,0,F288+F291+F293)</f>
        <v>4</v>
      </c>
      <c r="H286" s="1585"/>
      <c r="I286" s="1676"/>
      <c r="J286" s="646"/>
      <c r="K286" s="1669"/>
    </row>
    <row r="287" ht="12.75" customHeight="1">
      <c r="A287" s="1668"/>
      <c r="B287" s="1449"/>
      <c r="C287" s="1459" t="s">
        <v>3210</v>
      </c>
      <c r="D287" s="1459"/>
      <c r="E287" s="1459"/>
      <c r="F287" s="1459"/>
      <c r="G287" s="1679"/>
      <c r="H287" s="1585"/>
      <c r="I287" s="1676"/>
      <c r="J287" s="646"/>
      <c r="K287" s="1669"/>
    </row>
    <row r="288" ht="12.75" customHeight="1">
      <c r="A288" s="1668"/>
      <c r="B288" s="1449"/>
      <c r="C288" s="1471" t="s">
        <v>3211</v>
      </c>
      <c r="D288" s="1471"/>
      <c r="E288" s="1485" t="n">
        <f aca="false">'Saisie et Calculateur'!D1107</f>
        <v>4</v>
      </c>
      <c r="F288" s="646" t="n">
        <f aca="false">IF(E288=M284,N284,N285)</f>
        <v>3</v>
      </c>
      <c r="G288" s="1679"/>
      <c r="H288" s="1585"/>
      <c r="I288" s="1676"/>
      <c r="J288" s="646"/>
      <c r="K288" s="1669"/>
      <c r="M288" s="646"/>
      <c r="N288" s="646"/>
    </row>
    <row r="289" ht="12.75" customHeight="1">
      <c r="A289" s="1668"/>
      <c r="B289" s="1449"/>
      <c r="C289" s="1457"/>
      <c r="D289" s="646"/>
      <c r="E289" s="646"/>
      <c r="F289" s="646"/>
      <c r="G289" s="1679"/>
      <c r="H289" s="1585"/>
      <c r="I289" s="1676"/>
      <c r="J289" s="646"/>
      <c r="K289" s="1669"/>
      <c r="M289" s="646"/>
      <c r="N289" s="646"/>
    </row>
    <row r="290" ht="12.75" customHeight="1">
      <c r="A290" s="1668"/>
      <c r="B290" s="1449"/>
      <c r="C290" s="1510" t="s">
        <v>3212</v>
      </c>
      <c r="D290" s="1510"/>
      <c r="E290" s="1510"/>
      <c r="F290" s="1510"/>
      <c r="G290" s="1679"/>
      <c r="H290" s="1585"/>
      <c r="I290" s="1676"/>
      <c r="J290" s="646"/>
      <c r="K290" s="1669"/>
      <c r="M290" s="646"/>
      <c r="N290" s="646"/>
    </row>
    <row r="291" ht="12.75" customHeight="1">
      <c r="A291" s="1668"/>
      <c r="B291" s="1449"/>
      <c r="C291" s="1471" t="s">
        <v>3213</v>
      </c>
      <c r="D291" s="1471"/>
      <c r="E291" s="1460" t="n">
        <f aca="false">'Saisie et Calculateur'!I1107</f>
        <v>3</v>
      </c>
      <c r="F291" s="646" t="n">
        <f aca="false">MIN(3,E291)</f>
        <v>3</v>
      </c>
      <c r="G291" s="1679"/>
      <c r="H291" s="1585"/>
      <c r="I291" s="1676"/>
      <c r="J291" s="646"/>
      <c r="K291" s="1669"/>
    </row>
    <row r="292" ht="12.75" customHeight="1">
      <c r="A292" s="1668"/>
      <c r="B292" s="1449"/>
      <c r="C292" s="1473"/>
      <c r="D292" s="646"/>
      <c r="E292" s="1486"/>
      <c r="F292" s="646"/>
      <c r="G292" s="1679"/>
      <c r="H292" s="1585"/>
      <c r="I292" s="1676"/>
      <c r="J292" s="646"/>
      <c r="K292" s="1669"/>
    </row>
    <row r="293" ht="12.75" customHeight="1">
      <c r="A293" s="1668"/>
      <c r="B293" s="1449"/>
      <c r="C293" s="1457" t="s">
        <v>3214</v>
      </c>
      <c r="D293" s="646"/>
      <c r="E293" s="646"/>
      <c r="F293" s="1541" t="n">
        <f aca="false">E294+E295+E296+E297</f>
        <v>-2</v>
      </c>
      <c r="G293" s="1679"/>
      <c r="H293" s="1585"/>
      <c r="I293" s="1676"/>
      <c r="J293" s="646"/>
      <c r="K293" s="1669"/>
    </row>
    <row r="294" ht="12.75" customHeight="1">
      <c r="A294" s="1668"/>
      <c r="B294" s="1449"/>
      <c r="C294" s="1457" t="s">
        <v>3215</v>
      </c>
      <c r="D294" s="1485" t="str">
        <f aca="false">'Saisie et Calculateur'!B1120</f>
        <v>oui</v>
      </c>
      <c r="E294" s="1460" t="n">
        <f aca="false">IF(D294="oui",-1,0)</f>
        <v>-1</v>
      </c>
      <c r="F294" s="1541"/>
      <c r="G294" s="1679"/>
      <c r="H294" s="1585"/>
      <c r="I294" s="1676"/>
      <c r="J294" s="646"/>
      <c r="K294" s="1669"/>
    </row>
    <row r="295" ht="12.75" customHeight="1">
      <c r="A295" s="1668"/>
      <c r="B295" s="1449"/>
      <c r="C295" s="1457" t="s">
        <v>292</v>
      </c>
      <c r="D295" s="1485" t="str">
        <f aca="false">'Saisie et Calculateur'!D1120</f>
        <v>oui</v>
      </c>
      <c r="E295" s="1460" t="n">
        <f aca="false">IF(D295="oui",-1,0)</f>
        <v>-1</v>
      </c>
      <c r="F295" s="1541"/>
      <c r="G295" s="1679"/>
      <c r="H295" s="1585"/>
      <c r="I295" s="1676"/>
      <c r="J295" s="646"/>
      <c r="K295" s="1669"/>
    </row>
    <row r="296" ht="12.75" customHeight="1">
      <c r="A296" s="1668"/>
      <c r="B296" s="1449"/>
      <c r="C296" s="1457" t="s">
        <v>3216</v>
      </c>
      <c r="D296" s="748" t="str">
        <f aca="false">'Saisie et Calculateur'!F1120</f>
        <v>non</v>
      </c>
      <c r="E296" s="1460" t="n">
        <f aca="false">IF(D296="oui",-1,0)</f>
        <v>0</v>
      </c>
      <c r="F296" s="1541"/>
      <c r="G296" s="1679"/>
      <c r="H296" s="1585"/>
      <c r="I296" s="1676"/>
      <c r="J296" s="646"/>
      <c r="K296" s="1669"/>
    </row>
    <row r="297" ht="12.75" customHeight="1">
      <c r="A297" s="1668"/>
      <c r="B297" s="1449"/>
      <c r="C297" s="1457" t="s">
        <v>3217</v>
      </c>
      <c r="D297" s="748" t="str">
        <f aca="false">'Saisie et Calculateur'!H1120</f>
        <v>non</v>
      </c>
      <c r="E297" s="1460" t="n">
        <f aca="false">IF(D297="oui",-1,0)</f>
        <v>0</v>
      </c>
      <c r="F297" s="1541"/>
      <c r="G297" s="1679"/>
      <c r="H297" s="1585"/>
      <c r="I297" s="1676"/>
      <c r="J297" s="646"/>
      <c r="K297" s="1669"/>
    </row>
    <row r="298" ht="12.75" customHeight="1">
      <c r="A298" s="1668"/>
      <c r="B298" s="1449"/>
      <c r="C298" s="1457"/>
      <c r="D298" s="634"/>
      <c r="E298" s="748"/>
      <c r="F298" s="1460"/>
      <c r="G298" s="1663"/>
      <c r="H298" s="1585"/>
      <c r="I298" s="1676"/>
      <c r="J298" s="646"/>
      <c r="K298" s="1669"/>
    </row>
    <row r="299" ht="12.75" customHeight="1">
      <c r="A299" s="1668"/>
      <c r="B299" s="1449"/>
      <c r="C299" s="1678" t="s">
        <v>3218</v>
      </c>
      <c r="D299" s="634"/>
      <c r="E299" s="748"/>
      <c r="F299" s="1460"/>
      <c r="G299" s="1680" t="n">
        <f aca="false">F301+F304</f>
        <v>5</v>
      </c>
      <c r="H299" s="1585"/>
      <c r="I299" s="1676"/>
      <c r="J299" s="646"/>
      <c r="K299" s="1669"/>
    </row>
    <row r="300" ht="12.75" customHeight="1">
      <c r="A300" s="1668"/>
      <c r="B300" s="1449"/>
      <c r="C300" s="1459" t="s">
        <v>3219</v>
      </c>
      <c r="D300" s="1459"/>
      <c r="E300" s="1459"/>
      <c r="F300" s="1459"/>
      <c r="G300" s="1680"/>
      <c r="H300" s="1585"/>
      <c r="I300" s="1676"/>
      <c r="J300" s="646"/>
      <c r="K300" s="1669"/>
    </row>
    <row r="301" ht="12.75" customHeight="1">
      <c r="A301" s="1668"/>
      <c r="B301" s="1449"/>
      <c r="C301" s="1471" t="s">
        <v>3211</v>
      </c>
      <c r="D301" s="1471"/>
      <c r="E301" s="1485" t="n">
        <f aca="false">'Saisie et Calculateur'!D1126</f>
        <v>5</v>
      </c>
      <c r="F301" s="1615" t="n">
        <f aca="false">MIN(3,E301)</f>
        <v>3</v>
      </c>
      <c r="G301" s="1680"/>
      <c r="H301" s="1585"/>
      <c r="I301" s="1676"/>
      <c r="J301" s="646"/>
      <c r="K301" s="1669"/>
    </row>
    <row r="302" ht="12.75" customHeight="1">
      <c r="A302" s="1668"/>
      <c r="B302" s="1449"/>
      <c r="C302" s="1457"/>
      <c r="D302" s="646"/>
      <c r="E302" s="646"/>
      <c r="F302" s="646"/>
      <c r="G302" s="1680"/>
      <c r="H302" s="1585"/>
      <c r="I302" s="1676"/>
      <c r="J302" s="646"/>
      <c r="K302" s="1669"/>
    </row>
    <row r="303" ht="12.75" customHeight="1">
      <c r="A303" s="1668"/>
      <c r="B303" s="1449"/>
      <c r="C303" s="1459" t="s">
        <v>3220</v>
      </c>
      <c r="D303" s="1459"/>
      <c r="E303" s="1459"/>
      <c r="F303" s="1459"/>
      <c r="G303" s="1680"/>
      <c r="H303" s="1585"/>
      <c r="I303" s="1676"/>
      <c r="J303" s="646"/>
      <c r="K303" s="1669"/>
    </row>
    <row r="304" ht="12.75" customHeight="1">
      <c r="A304" s="1668"/>
      <c r="B304" s="1449"/>
      <c r="C304" s="1471" t="s">
        <v>3211</v>
      </c>
      <c r="D304" s="1471"/>
      <c r="E304" s="1485" t="n">
        <f aca="false">'Saisie et Calculateur'!I1126</f>
        <v>2</v>
      </c>
      <c r="F304" s="1681" t="n">
        <f aca="false">IF(E304+E305&lt;0,0,MIN(3,E304+E305))</f>
        <v>2</v>
      </c>
      <c r="G304" s="1680"/>
      <c r="H304" s="1585"/>
      <c r="I304" s="1676"/>
      <c r="J304" s="646"/>
      <c r="K304" s="1669"/>
    </row>
    <row r="305" ht="12.75" customHeight="1">
      <c r="A305" s="1668"/>
      <c r="B305" s="1449"/>
      <c r="C305" s="1682" t="s">
        <v>3221</v>
      </c>
      <c r="D305" s="1592" t="str">
        <f aca="false">'Saisie et Calculateur'!I1137</f>
        <v>non</v>
      </c>
      <c r="E305" s="1476" t="n">
        <f aca="false">IF(D305="oui",-1,0)</f>
        <v>0</v>
      </c>
      <c r="F305" s="1681"/>
      <c r="G305" s="1680"/>
      <c r="H305" s="1585"/>
      <c r="I305" s="1676"/>
      <c r="J305" s="646"/>
      <c r="K305" s="1669"/>
    </row>
    <row r="306" ht="13.5" customHeight="1">
      <c r="A306" s="1668"/>
      <c r="B306" s="1369"/>
      <c r="C306" s="646"/>
      <c r="D306" s="646"/>
      <c r="E306" s="646"/>
      <c r="F306" s="646"/>
      <c r="G306" s="1513"/>
      <c r="H306" s="646"/>
      <c r="I306" s="646"/>
      <c r="J306" s="646"/>
      <c r="K306" s="1669"/>
    </row>
    <row r="307" ht="13.5" customHeight="1">
      <c r="G307"/>
    </row>
    <row r="308" ht="25.5" customHeight="1">
      <c r="A308" s="1683" t="s">
        <v>3040</v>
      </c>
      <c r="B308" s="1683"/>
      <c r="C308" s="1683"/>
      <c r="D308" s="1683"/>
      <c r="E308" s="1683"/>
      <c r="F308" s="1683"/>
      <c r="G308" s="1683"/>
      <c r="H308" s="1683"/>
      <c r="I308" s="1683"/>
      <c r="J308" s="1683"/>
      <c r="K308" s="1684" t="n">
        <f aca="false">SUM(K6,K65,K169,K235)</f>
        <v>72</v>
      </c>
    </row>
  </sheetData>
  <mergeCells count="255">
    <mergeCell ref="A1:K1"/>
    <mergeCell ref="A4:A63"/>
    <mergeCell ref="C4:H4"/>
    <mergeCell ref="K4:K5"/>
    <mergeCell ref="C6:G6"/>
    <mergeCell ref="K6:K63"/>
    <mergeCell ref="M6:N6"/>
    <mergeCell ref="C7:F7"/>
    <mergeCell ref="G7:G9"/>
    <mergeCell ref="H7:H13"/>
    <mergeCell ref="I7:I13"/>
    <mergeCell ref="M7:N7"/>
    <mergeCell ref="M8:N8"/>
    <mergeCell ref="M9:N9"/>
    <mergeCell ref="C10:F10"/>
    <mergeCell ref="G10:G11"/>
    <mergeCell ref="M10:N10"/>
    <mergeCell ref="C12:F12"/>
    <mergeCell ref="G12:G13"/>
    <mergeCell ref="C16:H16"/>
    <mergeCell ref="C18:G18"/>
    <mergeCell ref="C19:F19"/>
    <mergeCell ref="G19:G21"/>
    <mergeCell ref="H19:H24"/>
    <mergeCell ref="I19:I24"/>
    <mergeCell ref="C22:F22"/>
    <mergeCell ref="G22:G24"/>
    <mergeCell ref="C27:H27"/>
    <mergeCell ref="C29:G29"/>
    <mergeCell ref="C30:F30"/>
    <mergeCell ref="G30:G34"/>
    <mergeCell ref="H30:H39"/>
    <mergeCell ref="I30:I39"/>
    <mergeCell ref="C35:F35"/>
    <mergeCell ref="G35:G37"/>
    <mergeCell ref="G38:G39"/>
    <mergeCell ref="C42:H42"/>
    <mergeCell ref="C44:G44"/>
    <mergeCell ref="C45:G45"/>
    <mergeCell ref="H45:H46"/>
    <mergeCell ref="I45:I46"/>
    <mergeCell ref="C49:H49"/>
    <mergeCell ref="C51:G51"/>
    <mergeCell ref="C52:F53"/>
    <mergeCell ref="G52:G55"/>
    <mergeCell ref="H52:H62"/>
    <mergeCell ref="I52:I62"/>
    <mergeCell ref="C56:F57"/>
    <mergeCell ref="G56:G59"/>
    <mergeCell ref="C60:F61"/>
    <mergeCell ref="G60:G62"/>
    <mergeCell ref="A65:A167"/>
    <mergeCell ref="C65:H65"/>
    <mergeCell ref="K65:K167"/>
    <mergeCell ref="C67:G67"/>
    <mergeCell ref="Q67:R68"/>
    <mergeCell ref="C68:F68"/>
    <mergeCell ref="G68:G70"/>
    <mergeCell ref="H68:H72"/>
    <mergeCell ref="I68:I72"/>
    <mergeCell ref="M68:N68"/>
    <mergeCell ref="M69:N69"/>
    <mergeCell ref="M70:N70"/>
    <mergeCell ref="C71:F71"/>
    <mergeCell ref="G71:G72"/>
    <mergeCell ref="C75:H75"/>
    <mergeCell ref="C77:G77"/>
    <mergeCell ref="C78:F78"/>
    <mergeCell ref="G78:G79"/>
    <mergeCell ref="H78:H83"/>
    <mergeCell ref="I78:I83"/>
    <mergeCell ref="C80:F80"/>
    <mergeCell ref="G80:G81"/>
    <mergeCell ref="C82:F82"/>
    <mergeCell ref="G82:G83"/>
    <mergeCell ref="C86:H86"/>
    <mergeCell ref="C88:G88"/>
    <mergeCell ref="C89:F89"/>
    <mergeCell ref="G89:G91"/>
    <mergeCell ref="H89:H96"/>
    <mergeCell ref="I89:I96"/>
    <mergeCell ref="C92:F92"/>
    <mergeCell ref="G92:G94"/>
    <mergeCell ref="M92:M93"/>
    <mergeCell ref="N92:N93"/>
    <mergeCell ref="O92:O93"/>
    <mergeCell ref="C95:F95"/>
    <mergeCell ref="G95:G96"/>
    <mergeCell ref="C99:H99"/>
    <mergeCell ref="C101:G101"/>
    <mergeCell ref="C102:F102"/>
    <mergeCell ref="G102:G108"/>
    <mergeCell ref="H102:H119"/>
    <mergeCell ref="I102:I119"/>
    <mergeCell ref="M103:N103"/>
    <mergeCell ref="P103:Q103"/>
    <mergeCell ref="S103:T103"/>
    <mergeCell ref="V103:W103"/>
    <mergeCell ref="M108:N108"/>
    <mergeCell ref="P108:Q108"/>
    <mergeCell ref="S108:T108"/>
    <mergeCell ref="V108:W108"/>
    <mergeCell ref="C110:F110"/>
    <mergeCell ref="G110:G114"/>
    <mergeCell ref="M114:N114"/>
    <mergeCell ref="P114:Q114"/>
    <mergeCell ref="S114:T114"/>
    <mergeCell ref="C116:F116"/>
    <mergeCell ref="G116:G119"/>
    <mergeCell ref="C122:H122"/>
    <mergeCell ref="C124:G124"/>
    <mergeCell ref="C125:F125"/>
    <mergeCell ref="G125:G127"/>
    <mergeCell ref="H125:H135"/>
    <mergeCell ref="I125:I135"/>
    <mergeCell ref="C128:F128"/>
    <mergeCell ref="G128:G130"/>
    <mergeCell ref="C131:F131"/>
    <mergeCell ref="G131:G133"/>
    <mergeCell ref="C134:F134"/>
    <mergeCell ref="G134:G135"/>
    <mergeCell ref="C138:H138"/>
    <mergeCell ref="C140:G140"/>
    <mergeCell ref="C141:F141"/>
    <mergeCell ref="G141:G143"/>
    <mergeCell ref="H141:H148"/>
    <mergeCell ref="I141:I148"/>
    <mergeCell ref="C144:F144"/>
    <mergeCell ref="G144:G146"/>
    <mergeCell ref="G147:G148"/>
    <mergeCell ref="C151:H151"/>
    <mergeCell ref="C153:G153"/>
    <mergeCell ref="C154:F154"/>
    <mergeCell ref="H154:H156"/>
    <mergeCell ref="I154:I156"/>
    <mergeCell ref="C159:H159"/>
    <mergeCell ref="C161:G161"/>
    <mergeCell ref="C162:F162"/>
    <mergeCell ref="G162:G164"/>
    <mergeCell ref="H162:H166"/>
    <mergeCell ref="I162:I166"/>
    <mergeCell ref="C165:F165"/>
    <mergeCell ref="G165:G166"/>
    <mergeCell ref="A169:A232"/>
    <mergeCell ref="C169:H169"/>
    <mergeCell ref="K169:K232"/>
    <mergeCell ref="C171:G171"/>
    <mergeCell ref="C172:F172"/>
    <mergeCell ref="G172:G173"/>
    <mergeCell ref="H172:H180"/>
    <mergeCell ref="I172:I180"/>
    <mergeCell ref="C174:F174"/>
    <mergeCell ref="G174:G177"/>
    <mergeCell ref="C178:F178"/>
    <mergeCell ref="G178:G180"/>
    <mergeCell ref="C183:H183"/>
    <mergeCell ref="C185:G185"/>
    <mergeCell ref="G186:G187"/>
    <mergeCell ref="H186:H189"/>
    <mergeCell ref="I186:I189"/>
    <mergeCell ref="C188:F188"/>
    <mergeCell ref="G188:G189"/>
    <mergeCell ref="C192:H192"/>
    <mergeCell ref="C194:G194"/>
    <mergeCell ref="G195:G196"/>
    <mergeCell ref="H195:H204"/>
    <mergeCell ref="I195:I204"/>
    <mergeCell ref="G197:G199"/>
    <mergeCell ref="G200:G202"/>
    <mergeCell ref="C201:D201"/>
    <mergeCell ref="G203:G204"/>
    <mergeCell ref="C207:H207"/>
    <mergeCell ref="C209:G209"/>
    <mergeCell ref="C210:F210"/>
    <mergeCell ref="G210:G211"/>
    <mergeCell ref="H210:H218"/>
    <mergeCell ref="I210:I218"/>
    <mergeCell ref="C212:F212"/>
    <mergeCell ref="G212:G214"/>
    <mergeCell ref="C215:F215"/>
    <mergeCell ref="G215:G218"/>
    <mergeCell ref="C221:H221"/>
    <mergeCell ref="C223:G223"/>
    <mergeCell ref="C224:F224"/>
    <mergeCell ref="G224:G226"/>
    <mergeCell ref="H224:H231"/>
    <mergeCell ref="I224:I231"/>
    <mergeCell ref="C227:F227"/>
    <mergeCell ref="G227:G229"/>
    <mergeCell ref="C230:F230"/>
    <mergeCell ref="G230:G231"/>
    <mergeCell ref="A235:A306"/>
    <mergeCell ref="C235:H235"/>
    <mergeCell ref="K235:K306"/>
    <mergeCell ref="C237:G237"/>
    <mergeCell ref="C238:F238"/>
    <mergeCell ref="G238:G240"/>
    <mergeCell ref="H238:H253"/>
    <mergeCell ref="I238:I253"/>
    <mergeCell ref="M238:M239"/>
    <mergeCell ref="N238:N239"/>
    <mergeCell ref="O238:P239"/>
    <mergeCell ref="Q238:R239"/>
    <mergeCell ref="D239:E239"/>
    <mergeCell ref="O240:P240"/>
    <mergeCell ref="Q240:R240"/>
    <mergeCell ref="C241:F241"/>
    <mergeCell ref="G241:G243"/>
    <mergeCell ref="D242:E242"/>
    <mergeCell ref="G244:G246"/>
    <mergeCell ref="G247:G249"/>
    <mergeCell ref="G250:G252"/>
    <mergeCell ref="C256:H256"/>
    <mergeCell ref="C258:G258"/>
    <mergeCell ref="C259:F259"/>
    <mergeCell ref="G259:G261"/>
    <mergeCell ref="H259:H263"/>
    <mergeCell ref="I259:I263"/>
    <mergeCell ref="M259:N259"/>
    <mergeCell ref="M260:N260"/>
    <mergeCell ref="M261:N261"/>
    <mergeCell ref="C262:F262"/>
    <mergeCell ref="G262:G263"/>
    <mergeCell ref="C266:H266"/>
    <mergeCell ref="C268:G268"/>
    <mergeCell ref="C269:F269"/>
    <mergeCell ref="G269:G270"/>
    <mergeCell ref="H269:H270"/>
    <mergeCell ref="I269:I270"/>
    <mergeCell ref="C273:H273"/>
    <mergeCell ref="C275:G275"/>
    <mergeCell ref="C276:F276"/>
    <mergeCell ref="G276:G278"/>
    <mergeCell ref="H276:H278"/>
    <mergeCell ref="I276:I278"/>
    <mergeCell ref="C277:D277"/>
    <mergeCell ref="C278:D278"/>
    <mergeCell ref="C281:H281"/>
    <mergeCell ref="C283:G283"/>
    <mergeCell ref="C284:E284"/>
    <mergeCell ref="H284:H305"/>
    <mergeCell ref="I284:I305"/>
    <mergeCell ref="G286:G297"/>
    <mergeCell ref="C287:F287"/>
    <mergeCell ref="C288:D288"/>
    <mergeCell ref="C290:F290"/>
    <mergeCell ref="C291:D291"/>
    <mergeCell ref="F293:F297"/>
    <mergeCell ref="G299:G305"/>
    <mergeCell ref="C300:F300"/>
    <mergeCell ref="C301:D301"/>
    <mergeCell ref="C303:F303"/>
    <mergeCell ref="C304:D304"/>
    <mergeCell ref="F304:F305"/>
    <mergeCell ref="A308:J308"/>
  </mergeCells>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tabColor rgb="FFFFCC00"/>
      <pageSetUpPr fitToPage="false"/>
    </sheetPr>
  </sheetPr>
  <dimension ref="A1"/>
  <sheetViews>
    <sheetView showFormulas="false" showGridLines="true" showRowColHeaders="true" showZeros="true" rightToLeft="false" tabSelected="0" showOutlineSymbols="true" defaultGridColor="true" view="normal" topLeftCell="A73" colorId="64" zoomScale="100" zoomScaleNormal="100" zoomScalePageLayoutView="100" workbookViewId="0">
      <selection pane="topLeft" activeCell="E16" activeCellId="0" sqref="E16"/>
    </sheetView>
  </sheetViews>
  <sheetFormatPr defaultRowHeight="15.0" baseColWidth="10" outlineLevelCol="1"/>
  <cols>
    <col min="1" max="1" width="11.56" hidden="false" outlineLevel="1" customWidth="1"/>
    <col min="2" max="2" width="4.56" hidden="false" outlineLevel="1" customWidth="1"/>
    <col min="3" max="3" width="10.55" hidden="false" outlineLevel="1" customWidth="1"/>
    <col min="4" max="4" width="10.55" hidden="false" outlineLevel="1" customWidth="1"/>
    <col min="5" max="5" width="24.11" hidden="false" outlineLevel="1" customWidth="1"/>
    <col min="6" max="6" width="7.55" hidden="false" outlineLevel="1" customWidth="1"/>
    <col min="7" max="7" width="10.55" hidden="false" outlineLevel="1" customWidth="1"/>
    <col min="8" max="8" width="10.69" hidden="false" outlineLevel="1" customWidth="1"/>
    <col min="9" max="9" width="5.13" hidden="false" outlineLevel="1" customWidth="1"/>
    <col min="10" max="10" width="17.13" hidden="false" outlineLevel="1" customWidth="1"/>
    <col min="11" max="11" width="10.55" hidden="false" outlineLevel="1" customWidth="1"/>
    <col min="12" max="12" width="16.54" hidden="false" outlineLevel="1" customWidth="1"/>
    <col min="13" max="13" width="10.98" hidden="false" outlineLevel="1" customWidth="1"/>
    <col min="14" max="14" width="10.55" hidden="false" outlineLevel="1" customWidth="1"/>
    <col min="15" max="15" width="18.39" hidden="false" outlineLevel="1" customWidth="1"/>
    <col min="16" max="16" width="13.69" hidden="false" outlineLevel="1" customWidth="1"/>
    <col min="17" max="17" width="10.55" hidden="false" outlineLevel="1" customWidth="1"/>
    <col min="18" max="18" width="10.55" hidden="false" outlineLevel="1" customWidth="1"/>
    <col min="19" max="19" width="10.55" hidden="false" outlineLevel="1" customWidth="1"/>
    <col min="20" max="20" width="10.55" hidden="false" outlineLevel="1" customWidth="1"/>
    <col min="21" max="21" width="10.98" hidden="false" outlineLevel="1" customWidth="1"/>
    <col min="22" max="22" width="10.55" hidden="false" outlineLevel="1" customWidth="1"/>
    <col min="23" max="23" width="10.55" hidden="false" outlineLevel="1" customWidth="1"/>
    <col min="24" max="24" width="10.55" hidden="false" outlineLevel="1" customWidth="1"/>
    <col min="25" max="25" width="10.55" hidden="false" outlineLevel="1" customWidth="1"/>
    <col min="26" max="26" width="10.55" hidden="false" outlineLevel="1" customWidth="1"/>
    <col min="27" max="27" width="10.55" hidden="false" outlineLevel="1" customWidth="1"/>
    <col min="28" max="28" width="10.55" hidden="false" outlineLevel="1" customWidth="1"/>
    <col min="29" max="29" width="10.55" hidden="false" outlineLevel="1" customWidth="1"/>
    <col min="30" max="30" width="10.55" hidden="false" outlineLevel="1" customWidth="1"/>
    <col min="31" max="31" width="10.55" hidden="false" outlineLevel="1" customWidth="1"/>
    <col min="32" max="32" width="10.55" hidden="false" outlineLevel="1" customWidth="1"/>
    <col min="33" max="33" width="10.55" hidden="false" outlineLevel="1" customWidth="1"/>
    <col min="34" max="34" width="10.55" hidden="false" outlineLevel="1" customWidth="1"/>
    <col min="35" max="35" width="10.55" hidden="false" outlineLevel="1" customWidth="1"/>
    <col min="36" max="36" width="10.55" hidden="false" outlineLevel="1" customWidth="1"/>
    <col min="37" max="37" width="10.55" hidden="false" outlineLevel="1" customWidth="1"/>
    <col min="38" max="38" width="10.55" hidden="false" outlineLevel="1" customWidth="1"/>
    <col min="39" max="39" width="10.55" hidden="false" outlineLevel="1" customWidth="1"/>
    <col min="40" max="40" width="10.55" hidden="false" outlineLevel="1" customWidth="1"/>
    <col min="41" max="41" width="10.55" hidden="false" outlineLevel="1" customWidth="1"/>
    <col min="42" max="42" width="10.55" hidden="false" outlineLevel="1" customWidth="1"/>
    <col min="43" max="43" width="10.55" hidden="false" outlineLevel="1" customWidth="1"/>
    <col min="44" max="44" width="10.55" hidden="false" outlineLevel="1" customWidth="1"/>
    <col min="45" max="45" width="10.55" hidden="false" outlineLevel="1" customWidth="1"/>
    <col min="46" max="46" width="10.55" hidden="false" outlineLevel="1" customWidth="1"/>
    <col min="47" max="47" width="10.55" hidden="false" outlineLevel="1" customWidth="1"/>
    <col min="48" max="48" width="10.55" hidden="false" outlineLevel="1" customWidth="1"/>
    <col min="49" max="49" width="10.55" hidden="false" outlineLevel="1" customWidth="1"/>
    <col min="50" max="50" width="10.55" hidden="false" outlineLevel="1" customWidth="1"/>
    <col min="51" max="51" width="10.55" hidden="false" outlineLevel="1" customWidth="1"/>
    <col min="52" max="52" width="10.55" hidden="false" outlineLevel="1" customWidth="1"/>
    <col min="53" max="53" width="10.55" hidden="false" outlineLevel="1" customWidth="1"/>
    <col min="54" max="54" width="10.55" hidden="false" outlineLevel="1" customWidth="1"/>
    <col min="55" max="55" width="10.55" hidden="false" outlineLevel="1" customWidth="1"/>
    <col min="56" max="56" width="10.55" hidden="false" outlineLevel="1" customWidth="1"/>
    <col min="57" max="57" width="10.55" hidden="false" outlineLevel="1" customWidth="1"/>
    <col min="58" max="58" width="10.55" hidden="false" outlineLevel="1" customWidth="1"/>
    <col min="59" max="59" width="10.55" hidden="false" outlineLevel="1" customWidth="1"/>
    <col min="60" max="60" width="10.55" hidden="false" outlineLevel="1" customWidth="1"/>
    <col min="61" max="61" width="10.55" hidden="false" outlineLevel="1" customWidth="1"/>
    <col min="62" max="62" width="10.55" hidden="false" outlineLevel="1" customWidth="1"/>
    <col min="63" max="63" width="10.55" hidden="false" outlineLevel="1" customWidth="1"/>
    <col min="64" max="64" width="10.55" hidden="false" outlineLevel="1" customWidth="1"/>
    <col min="65" max="65" width="10.55" hidden="false" outlineLevel="1" customWidth="1"/>
    <col min="66" max="66" width="10.55" hidden="false" outlineLevel="1" customWidth="1"/>
    <col min="67" max="67" width="10.55" hidden="false" outlineLevel="1" customWidth="1"/>
    <col min="68" max="68" width="10.55" hidden="false" outlineLevel="1" customWidth="1"/>
    <col min="69" max="69" width="10.55" hidden="false" outlineLevel="1" customWidth="1"/>
    <col min="70" max="70" width="10.55" hidden="false" outlineLevel="1" customWidth="1"/>
    <col min="71" max="71" width="10.55" hidden="false" outlineLevel="1" customWidth="1"/>
    <col min="72" max="72" width="10.55" hidden="false" outlineLevel="1" customWidth="1"/>
    <col min="73" max="73" width="10.55" hidden="false" outlineLevel="1" customWidth="1"/>
    <col min="74" max="74" width="10.55" hidden="false" outlineLevel="1" customWidth="1"/>
    <col min="75" max="75" width="10.55" hidden="false" outlineLevel="1" customWidth="1"/>
    <col min="76" max="76" width="10.55" hidden="false" outlineLevel="1" customWidth="1"/>
    <col min="77" max="77" width="10.55" hidden="false" outlineLevel="1" customWidth="1"/>
    <col min="78" max="78" width="10.55" hidden="false" outlineLevel="1" customWidth="1"/>
    <col min="79" max="79" width="10.55" hidden="false" outlineLevel="1" customWidth="1"/>
    <col min="80" max="80" width="10.55" hidden="false" outlineLevel="1" customWidth="1"/>
    <col min="81" max="81" width="10.55" hidden="false" outlineLevel="1" customWidth="1"/>
    <col min="82" max="82" width="10.55" hidden="false" outlineLevel="1" customWidth="1"/>
    <col min="83" max="83" width="10.55" hidden="false" outlineLevel="1" customWidth="1"/>
    <col min="84" max="84" width="10.55" hidden="false" outlineLevel="1" customWidth="1"/>
    <col min="85" max="85" width="10.55" hidden="false" outlineLevel="1" customWidth="1"/>
    <col min="86" max="86" width="10.55" hidden="false" outlineLevel="1" customWidth="1"/>
    <col min="87" max="87" width="10.55" hidden="false" outlineLevel="1" customWidth="1"/>
    <col min="88" max="88" width="10.55" hidden="false" outlineLevel="1" customWidth="1"/>
    <col min="89" max="89" width="10.55" hidden="false" outlineLevel="1" customWidth="1"/>
    <col min="90" max="90" width="10.55" hidden="false" outlineLevel="1" customWidth="1"/>
    <col min="91" max="91" width="10.55" hidden="false" outlineLevel="1" customWidth="1"/>
    <col min="92" max="92" width="10.55" hidden="false" outlineLevel="1" customWidth="1"/>
    <col min="93" max="93" width="10.55" hidden="false" outlineLevel="1" customWidth="1"/>
    <col min="94" max="94" width="10.55" hidden="false" outlineLevel="1" customWidth="1"/>
    <col min="95" max="95" width="10.55" hidden="false" outlineLevel="1" customWidth="1"/>
    <col min="96" max="96" width="10.55" hidden="false" outlineLevel="1" customWidth="1"/>
    <col min="97" max="97" width="10.55" hidden="false" outlineLevel="1" customWidth="1"/>
    <col min="98" max="98" width="10.55" hidden="false" outlineLevel="1" customWidth="1"/>
    <col min="99" max="99" width="10.55" hidden="false" outlineLevel="1" customWidth="1"/>
    <col min="100" max="100" width="10.55" hidden="false" outlineLevel="1" customWidth="1"/>
    <col min="101" max="101" width="10.55" hidden="false" outlineLevel="1" customWidth="1"/>
    <col min="102" max="102" width="10.55" hidden="false" outlineLevel="1" customWidth="1"/>
    <col min="103" max="103" width="10.55" hidden="false" outlineLevel="1" customWidth="1"/>
    <col min="104" max="104" width="10.55" hidden="false" outlineLevel="1" customWidth="1"/>
    <col min="105" max="105" width="10.55" hidden="false" outlineLevel="1" customWidth="1"/>
    <col min="106" max="106" width="10.55" hidden="false" outlineLevel="1" customWidth="1"/>
    <col min="107" max="107" width="10.55" hidden="false" outlineLevel="1" customWidth="1"/>
    <col min="108" max="108" width="10.55" hidden="false" outlineLevel="1" customWidth="1"/>
    <col min="109" max="109" width="10.55" hidden="false" outlineLevel="1" customWidth="1"/>
    <col min="110" max="110" width="10.55" hidden="false" outlineLevel="1" customWidth="1"/>
    <col min="111" max="111" width="10.55" hidden="false" outlineLevel="1" customWidth="1"/>
    <col min="112" max="112" width="10.55" hidden="false" outlineLevel="1" customWidth="1"/>
    <col min="113" max="113" width="10.55" hidden="false" outlineLevel="1" customWidth="1"/>
    <col min="114" max="114" width="10.55" hidden="false" outlineLevel="1" customWidth="1"/>
    <col min="115" max="115" width="10.55" hidden="false" outlineLevel="1" customWidth="1"/>
    <col min="116" max="116" width="10.55" hidden="false" outlineLevel="1" customWidth="1"/>
    <col min="117" max="117" width="10.55" hidden="false" outlineLevel="1" customWidth="1"/>
    <col min="118" max="118" width="10.55" hidden="false" outlineLevel="1" customWidth="1"/>
    <col min="119" max="119" width="10.55" hidden="false" outlineLevel="1" customWidth="1"/>
    <col min="120" max="120" width="10.55" hidden="false" outlineLevel="1" customWidth="1"/>
    <col min="121" max="121" width="10.55" hidden="false" outlineLevel="1" customWidth="1"/>
    <col min="122" max="122" width="10.55" hidden="false" outlineLevel="1" customWidth="1"/>
    <col min="123" max="123" width="10.55" hidden="false" outlineLevel="1" customWidth="1"/>
    <col min="124" max="124" width="10.55" hidden="false" outlineLevel="1" customWidth="1"/>
    <col min="125" max="125" width="10.55" hidden="false" outlineLevel="1" customWidth="1"/>
    <col min="126" max="126" width="10.55" hidden="false" outlineLevel="1" customWidth="1"/>
    <col min="127" max="127" width="10.55" hidden="false" outlineLevel="1" customWidth="1"/>
    <col min="128" max="128" width="10.55" hidden="false" outlineLevel="1" customWidth="1"/>
    <col min="129" max="129" width="10.55" hidden="false" outlineLevel="1" customWidth="1"/>
    <col min="130" max="130" width="10.55" hidden="false" outlineLevel="1" customWidth="1"/>
    <col min="131" max="131" width="10.55" hidden="false" outlineLevel="1" customWidth="1"/>
    <col min="132" max="132" width="10.55" hidden="false" outlineLevel="1" customWidth="1"/>
    <col min="133" max="133" width="10.55" hidden="false" outlineLevel="1" customWidth="1"/>
    <col min="134" max="134" width="10.55" hidden="false" outlineLevel="1" customWidth="1"/>
    <col min="135" max="135" width="10.55" hidden="false" outlineLevel="1" customWidth="1"/>
    <col min="136" max="136" width="10.55" hidden="false" outlineLevel="1" customWidth="1"/>
    <col min="137" max="137" width="10.55" hidden="false" outlineLevel="1" customWidth="1"/>
    <col min="138" max="138" width="10.55" hidden="false" outlineLevel="1" customWidth="1"/>
    <col min="139" max="139" width="10.55" hidden="false" outlineLevel="1" customWidth="1"/>
    <col min="140" max="140" width="10.55" hidden="false" outlineLevel="1" customWidth="1"/>
    <col min="141" max="141" width="10.55" hidden="false" outlineLevel="1" customWidth="1"/>
    <col min="142" max="142" width="10.55" hidden="false" outlineLevel="1" customWidth="1"/>
    <col min="143" max="143" width="10.55" hidden="false" outlineLevel="1" customWidth="1"/>
    <col min="144" max="144" width="10.55" hidden="false" outlineLevel="1" customWidth="1"/>
    <col min="145" max="145" width="10.55" hidden="false" outlineLevel="1" customWidth="1"/>
    <col min="146" max="146" width="10.55" hidden="false" outlineLevel="1" customWidth="1"/>
    <col min="147" max="147" width="10.55" hidden="false" outlineLevel="1" customWidth="1"/>
    <col min="148" max="148" width="10.55" hidden="false" outlineLevel="1" customWidth="1"/>
    <col min="149" max="149" width="10.55" hidden="false" outlineLevel="1" customWidth="1"/>
    <col min="150" max="150" width="10.55" hidden="false" outlineLevel="1" customWidth="1"/>
    <col min="151" max="151" width="10.55" hidden="false" outlineLevel="1" customWidth="1"/>
    <col min="152" max="152" width="10.55" hidden="false" outlineLevel="1" customWidth="1"/>
    <col min="153" max="153" width="10.55" hidden="false" outlineLevel="1" customWidth="1"/>
    <col min="154" max="154" width="10.55" hidden="false" outlineLevel="1" customWidth="1"/>
    <col min="155" max="155" width="10.55" hidden="false" outlineLevel="1" customWidth="1"/>
    <col min="156" max="156" width="10.55" hidden="false" outlineLevel="1" customWidth="1"/>
    <col min="157" max="157" width="10.55" hidden="false" outlineLevel="1" customWidth="1"/>
    <col min="158" max="158" width="10.55" hidden="false" outlineLevel="1" customWidth="1"/>
    <col min="159" max="159" width="10.55" hidden="false" outlineLevel="1" customWidth="1"/>
    <col min="160" max="160" width="10.55" hidden="false" outlineLevel="1" customWidth="1"/>
    <col min="161" max="161" width="10.55" hidden="false" outlineLevel="1" customWidth="1"/>
    <col min="162" max="162" width="10.55" hidden="false" outlineLevel="1" customWidth="1"/>
    <col min="163" max="163" width="10.55" hidden="false" outlineLevel="1" customWidth="1"/>
    <col min="164" max="164" width="10.55" hidden="false" outlineLevel="1" customWidth="1"/>
    <col min="165" max="165" width="10.55" hidden="false" outlineLevel="1" customWidth="1"/>
    <col min="166" max="166" width="10.55" hidden="false" outlineLevel="1" customWidth="1"/>
    <col min="167" max="167" width="10.55" hidden="false" outlineLevel="1" customWidth="1"/>
    <col min="168" max="168" width="10.55" hidden="false" outlineLevel="1" customWidth="1"/>
    <col min="169" max="169" width="10.55" hidden="false" outlineLevel="1" customWidth="1"/>
    <col min="170" max="170" width="10.55" hidden="false" outlineLevel="1" customWidth="1"/>
    <col min="171" max="171" width="10.55" hidden="false" outlineLevel="1" customWidth="1"/>
    <col min="172" max="172" width="10.55" hidden="false" outlineLevel="1" customWidth="1"/>
    <col min="173" max="173" width="10.55" hidden="false" outlineLevel="1" customWidth="1"/>
    <col min="174" max="174" width="10.55" hidden="false" outlineLevel="1" customWidth="1"/>
    <col min="175" max="175" width="10.55" hidden="false" outlineLevel="1" customWidth="1"/>
    <col min="176" max="176" width="10.55" hidden="false" outlineLevel="1" customWidth="1"/>
    <col min="177" max="177" width="10.55" hidden="false" outlineLevel="1" customWidth="1"/>
    <col min="178" max="178" width="10.55" hidden="false" outlineLevel="1" customWidth="1"/>
    <col min="179" max="179" width="10.55" hidden="false" outlineLevel="1" customWidth="1"/>
    <col min="180" max="180" width="10.55" hidden="false" outlineLevel="1" customWidth="1"/>
    <col min="181" max="181" width="10.55" hidden="false" outlineLevel="1" customWidth="1"/>
    <col min="182" max="182" width="10.55" hidden="false" outlineLevel="1" customWidth="1"/>
    <col min="183" max="183" width="10.55" hidden="false" outlineLevel="1" customWidth="1"/>
    <col min="184" max="184" width="10.55" hidden="false" outlineLevel="1" customWidth="1"/>
    <col min="185" max="185" width="10.55" hidden="false" outlineLevel="1" customWidth="1"/>
    <col min="186" max="186" width="10.55" hidden="false" outlineLevel="1" customWidth="1"/>
    <col min="187" max="187" width="10.55" hidden="false" outlineLevel="1" customWidth="1"/>
    <col min="188" max="188" width="10.55" hidden="false" outlineLevel="1" customWidth="1"/>
    <col min="189" max="189" width="10.55" hidden="false" outlineLevel="1" customWidth="1"/>
    <col min="190" max="190" width="10.55" hidden="false" outlineLevel="1" customWidth="1"/>
    <col min="191" max="191" width="10.55" hidden="false" outlineLevel="1" customWidth="1"/>
    <col min="192" max="192" width="10.55" hidden="false" outlineLevel="1" customWidth="1"/>
    <col min="193" max="193" width="10.55" hidden="false" outlineLevel="1" customWidth="1"/>
    <col min="194" max="194" width="10.55" hidden="false" outlineLevel="1" customWidth="1"/>
    <col min="195" max="195" width="10.55" hidden="false" outlineLevel="1" customWidth="1"/>
    <col min="196" max="196" width="10.55" hidden="false" outlineLevel="1" customWidth="1"/>
    <col min="197" max="197" width="10.55" hidden="false" outlineLevel="1" customWidth="1"/>
    <col min="198" max="198" width="10.55" hidden="false" outlineLevel="1" customWidth="1"/>
    <col min="199" max="199" width="10.55" hidden="false" outlineLevel="1" customWidth="1"/>
    <col min="200" max="200" width="10.55" hidden="false" outlineLevel="1" customWidth="1"/>
    <col min="201" max="201" width="10.55" hidden="false" outlineLevel="1" customWidth="1"/>
    <col min="202" max="202" width="10.55" hidden="false" outlineLevel="1" customWidth="1"/>
    <col min="203" max="203" width="10.55" hidden="false" outlineLevel="1" customWidth="1"/>
    <col min="204" max="204" width="10.55" hidden="false" outlineLevel="1" customWidth="1"/>
    <col min="205" max="205" width="10.55" hidden="false" outlineLevel="1" customWidth="1"/>
    <col min="206" max="206" width="10.55" hidden="false" outlineLevel="1" customWidth="1"/>
    <col min="207" max="207" width="10.55" hidden="false" outlineLevel="1" customWidth="1"/>
    <col min="208" max="208" width="10.55" hidden="false" outlineLevel="1" customWidth="1"/>
    <col min="209" max="209" width="10.55" hidden="false" outlineLevel="1" customWidth="1"/>
    <col min="210" max="210" width="10.55" hidden="false" outlineLevel="1" customWidth="1"/>
    <col min="211" max="211" width="10.55" hidden="false" outlineLevel="1" customWidth="1"/>
    <col min="212" max="212" width="10.55" hidden="false" outlineLevel="1" customWidth="1"/>
    <col min="213" max="213" width="10.55" hidden="false" outlineLevel="1" customWidth="1"/>
    <col min="214" max="214" width="10.55" hidden="false" outlineLevel="1" customWidth="1"/>
    <col min="215" max="215" width="10.55" hidden="false" outlineLevel="1" customWidth="1"/>
    <col min="216" max="216" width="10.55" hidden="false" outlineLevel="1" customWidth="1"/>
    <col min="217" max="217" width="10.55" hidden="false" outlineLevel="1" customWidth="1"/>
    <col min="218" max="218" width="10.55" hidden="false" outlineLevel="1" customWidth="1"/>
    <col min="219" max="219" width="10.55" hidden="false" outlineLevel="1" customWidth="1"/>
    <col min="220" max="220" width="10.55" hidden="false" outlineLevel="1" customWidth="1"/>
    <col min="221" max="221" width="10.55" hidden="false" outlineLevel="1" customWidth="1"/>
    <col min="222" max="222" width="10.55" hidden="false" outlineLevel="1" customWidth="1"/>
    <col min="223" max="223" width="10.55" hidden="false" outlineLevel="1" customWidth="1"/>
    <col min="224" max="224" width="10.55" hidden="false" outlineLevel="1" customWidth="1"/>
    <col min="225" max="225" width="10.55" hidden="false" outlineLevel="1" customWidth="1"/>
    <col min="226" max="226" width="10.55" hidden="false" outlineLevel="1" customWidth="1"/>
    <col min="227" max="227" width="10.55" hidden="false" outlineLevel="1" customWidth="1"/>
    <col min="228" max="228" width="10.55" hidden="false" outlineLevel="1" customWidth="1"/>
    <col min="229" max="229" width="10.55" hidden="false" outlineLevel="1" customWidth="1"/>
    <col min="230" max="230" width="10.55" hidden="false" outlineLevel="1" customWidth="1"/>
    <col min="231" max="231" width="10.55" hidden="false" outlineLevel="1" customWidth="1"/>
    <col min="232" max="232" width="10.55" hidden="false" outlineLevel="1" customWidth="1"/>
    <col min="233" max="233" width="10.55" hidden="false" outlineLevel="1" customWidth="1"/>
    <col min="234" max="234" width="10.55" hidden="false" outlineLevel="1" customWidth="1"/>
    <col min="235" max="235" width="10.55" hidden="false" outlineLevel="1" customWidth="1"/>
    <col min="236" max="236" width="10.55" hidden="false" outlineLevel="1" customWidth="1"/>
    <col min="237" max="237" width="10.55" hidden="false" outlineLevel="1" customWidth="1"/>
    <col min="238" max="238" width="10.55" hidden="false" outlineLevel="1" customWidth="1"/>
    <col min="239" max="239" width="10.55" hidden="false" outlineLevel="1" customWidth="1"/>
    <col min="240" max="240" width="10.55" hidden="false" outlineLevel="1" customWidth="1"/>
    <col min="241" max="241" width="10.55" hidden="false" outlineLevel="1" customWidth="1"/>
    <col min="242" max="242" width="10.55" hidden="false" outlineLevel="1" customWidth="1"/>
    <col min="243" max="243" width="10.55" hidden="false" outlineLevel="1" customWidth="1"/>
    <col min="244" max="244" width="10.55" hidden="false" outlineLevel="1" customWidth="1"/>
    <col min="245" max="245" width="10.55" hidden="false" outlineLevel="1" customWidth="1"/>
    <col min="246" max="246" width="10.55" hidden="false" outlineLevel="1" customWidth="1"/>
    <col min="247" max="247" width="10.55" hidden="false" outlineLevel="1" customWidth="1"/>
    <col min="248" max="248" width="10.55" hidden="false" outlineLevel="1" customWidth="1"/>
    <col min="249" max="249" width="10.55" hidden="false" outlineLevel="1" customWidth="1"/>
    <col min="250" max="250" width="10.55" hidden="false" outlineLevel="1" customWidth="1"/>
    <col min="251" max="251" width="10.55" hidden="false" outlineLevel="1" customWidth="1"/>
    <col min="252" max="252" width="10.55" hidden="false" outlineLevel="1" customWidth="1"/>
    <col min="253" max="253" width="10.55" hidden="false" outlineLevel="1" customWidth="1"/>
    <col min="254" max="254" width="10.55" hidden="false" outlineLevel="1" customWidth="1"/>
    <col min="255" max="255" width="10.55" hidden="false" outlineLevel="1" customWidth="1"/>
    <col min="256" max="256" width="10.55" hidden="false" outlineLevel="1" customWidth="1"/>
    <col min="257" max="257" width="10.55" hidden="false" outlineLevel="1" customWidth="1"/>
    <col min="258" max="258" width="10.55" hidden="false" outlineLevel="1" customWidth="1"/>
    <col min="259" max="259" width="10.55" hidden="false" outlineLevel="1" customWidth="1"/>
    <col min="260" max="260" width="10.55" hidden="false" outlineLevel="1" customWidth="1"/>
    <col min="261" max="261" width="10.55" hidden="false" outlineLevel="1" customWidth="1"/>
    <col min="262" max="262" width="10.55" hidden="false" outlineLevel="1" customWidth="1"/>
    <col min="263" max="263" width="10.55" hidden="false" outlineLevel="1" customWidth="1"/>
    <col min="264" max="264" width="10.55" hidden="false" outlineLevel="1" customWidth="1"/>
    <col min="265" max="265" width="10.55" hidden="false" outlineLevel="1" customWidth="1"/>
    <col min="266" max="266" width="10.55" hidden="false" outlineLevel="1" customWidth="1"/>
    <col min="267" max="267" width="10.55" hidden="false" outlineLevel="1" customWidth="1"/>
    <col min="268" max="268" width="10.55" hidden="false" outlineLevel="1" customWidth="1"/>
    <col min="269" max="269" width="10.55" hidden="false" outlineLevel="1" customWidth="1"/>
    <col min="270" max="270" width="10.55" hidden="false" outlineLevel="1" customWidth="1"/>
    <col min="271" max="271" width="10.55" hidden="false" outlineLevel="1" customWidth="1"/>
    <col min="272" max="272" width="10.55" hidden="false" outlineLevel="1" customWidth="1"/>
    <col min="273" max="273" width="10.55" hidden="false" outlineLevel="1" customWidth="1"/>
    <col min="274" max="274" width="10.55" hidden="false" outlineLevel="1" customWidth="1"/>
    <col min="275" max="275" width="10.55" hidden="false" outlineLevel="1" customWidth="1"/>
    <col min="276" max="276" width="10.55" hidden="false" outlineLevel="1" customWidth="1"/>
    <col min="277" max="277" width="10.55" hidden="false" outlineLevel="1" customWidth="1"/>
    <col min="278" max="278" width="10.55" hidden="false" outlineLevel="1" customWidth="1"/>
    <col min="279" max="279" width="10.55" hidden="false" outlineLevel="1" customWidth="1"/>
    <col min="280" max="280" width="10.55" hidden="false" outlineLevel="1" customWidth="1"/>
    <col min="281" max="281" width="10.55" hidden="false" outlineLevel="1" customWidth="1"/>
    <col min="282" max="282" width="10.55" hidden="false" outlineLevel="1" customWidth="1"/>
    <col min="283" max="283" width="10.55" hidden="false" outlineLevel="1" customWidth="1"/>
    <col min="284" max="284" width="10.55" hidden="false" outlineLevel="1" customWidth="1"/>
    <col min="285" max="285" width="10.55" hidden="false" outlineLevel="1" customWidth="1"/>
    <col min="286" max="286" width="10.55" hidden="false" outlineLevel="1" customWidth="1"/>
    <col min="287" max="287" width="10.55" hidden="false" outlineLevel="1" customWidth="1"/>
    <col min="288" max="288" width="10.55" hidden="false" outlineLevel="1" customWidth="1"/>
    <col min="289" max="289" width="10.55" hidden="false" outlineLevel="1" customWidth="1"/>
    <col min="290" max="290" width="10.55" hidden="false" outlineLevel="1" customWidth="1"/>
    <col min="291" max="291" width="10.55" hidden="false" outlineLevel="1" customWidth="1"/>
    <col min="292" max="292" width="10.55" hidden="false" outlineLevel="1" customWidth="1"/>
    <col min="293" max="293" width="10.55" hidden="false" outlineLevel="1" customWidth="1"/>
    <col min="294" max="294" width="10.55" hidden="false" outlineLevel="1" customWidth="1"/>
    <col min="295" max="295" width="10.55" hidden="false" outlineLevel="1" customWidth="1"/>
    <col min="296" max="296" width="10.55" hidden="false" outlineLevel="1" customWidth="1"/>
    <col min="297" max="297" width="10.55" hidden="false" outlineLevel="1" customWidth="1"/>
    <col min="298" max="298" width="10.55" hidden="false" outlineLevel="1" customWidth="1"/>
    <col min="299" max="299" width="10.55" hidden="false" outlineLevel="1" customWidth="1"/>
    <col min="300" max="300" width="10.55" hidden="false" outlineLevel="1" customWidth="1"/>
    <col min="301" max="301" width="10.55" hidden="false" outlineLevel="1" customWidth="1"/>
    <col min="302" max="302" width="10.55" hidden="false" outlineLevel="1" customWidth="1"/>
    <col min="303" max="303" width="10.55" hidden="false" outlineLevel="1" customWidth="1"/>
    <col min="304" max="304" width="10.55" hidden="false" outlineLevel="1" customWidth="1"/>
    <col min="305" max="305" width="10.55" hidden="false" outlineLevel="1" customWidth="1"/>
    <col min="306" max="306" width="10.55" hidden="false" outlineLevel="1" customWidth="1"/>
    <col min="307" max="307" width="10.55" hidden="false" outlineLevel="1" customWidth="1"/>
    <col min="308" max="308" width="10.55" hidden="false" outlineLevel="1" customWidth="1"/>
    <col min="309" max="309" width="10.55" hidden="false" outlineLevel="1" customWidth="1"/>
    <col min="310" max="310" width="10.55" hidden="false" outlineLevel="1" customWidth="1"/>
    <col min="311" max="311" width="10.55" hidden="false" outlineLevel="1" customWidth="1"/>
    <col min="312" max="312" width="10.55" hidden="false" outlineLevel="1" customWidth="1"/>
    <col min="313" max="313" width="10.55" hidden="false" outlineLevel="1" customWidth="1"/>
    <col min="314" max="314" width="10.55" hidden="false" outlineLevel="1" customWidth="1"/>
    <col min="315" max="315" width="10.55" hidden="false" outlineLevel="1" customWidth="1"/>
    <col min="316" max="316" width="10.55" hidden="false" outlineLevel="1" customWidth="1"/>
    <col min="317" max="317" width="10.55" hidden="false" outlineLevel="1" customWidth="1"/>
    <col min="318" max="318" width="10.55" hidden="false" outlineLevel="1" customWidth="1"/>
    <col min="319" max="319" width="10.55" hidden="false" outlineLevel="1" customWidth="1"/>
    <col min="320" max="320" width="10.55" hidden="false" outlineLevel="1" customWidth="1"/>
    <col min="321" max="321" width="10.55" hidden="false" outlineLevel="1" customWidth="1"/>
    <col min="322" max="322" width="10.55" hidden="false" outlineLevel="1" customWidth="1"/>
    <col min="323" max="323" width="10.55" hidden="false" outlineLevel="1" customWidth="1"/>
    <col min="324" max="324" width="10.55" hidden="false" outlineLevel="1" customWidth="1"/>
    <col min="325" max="325" width="10.55" hidden="false" outlineLevel="1" customWidth="1"/>
    <col min="326" max="326" width="10.55" hidden="false" outlineLevel="1" customWidth="1"/>
    <col min="327" max="327" width="10.55" hidden="false" outlineLevel="1" customWidth="1"/>
    <col min="328" max="328" width="10.55" hidden="false" outlineLevel="1" customWidth="1"/>
    <col min="329" max="329" width="10.55" hidden="false" outlineLevel="1" customWidth="1"/>
    <col min="330" max="330" width="10.55" hidden="false" outlineLevel="1" customWidth="1"/>
    <col min="331" max="331" width="10.55" hidden="false" outlineLevel="1" customWidth="1"/>
    <col min="332" max="332" width="10.55" hidden="false" outlineLevel="1" customWidth="1"/>
    <col min="333" max="333" width="10.55" hidden="false" outlineLevel="1" customWidth="1"/>
    <col min="334" max="334" width="10.55" hidden="false" outlineLevel="1" customWidth="1"/>
    <col min="335" max="335" width="10.55" hidden="false" outlineLevel="1" customWidth="1"/>
    <col min="336" max="336" width="10.55" hidden="false" outlineLevel="1" customWidth="1"/>
    <col min="337" max="337" width="10.55" hidden="false" outlineLevel="1" customWidth="1"/>
    <col min="338" max="338" width="10.55" hidden="false" outlineLevel="1" customWidth="1"/>
    <col min="339" max="339" width="10.55" hidden="false" outlineLevel="1" customWidth="1"/>
    <col min="340" max="340" width="10.55" hidden="false" outlineLevel="1" customWidth="1"/>
    <col min="341" max="341" width="10.55" hidden="false" outlineLevel="1" customWidth="1"/>
    <col min="342" max="342" width="10.55" hidden="false" outlineLevel="1" customWidth="1"/>
    <col min="343" max="343" width="10.55" hidden="false" outlineLevel="1" customWidth="1"/>
    <col min="344" max="344" width="10.55" hidden="false" outlineLevel="1" customWidth="1"/>
    <col min="345" max="345" width="10.55" hidden="false" outlineLevel="1" customWidth="1"/>
    <col min="346" max="346" width="10.55" hidden="false" outlineLevel="1" customWidth="1"/>
    <col min="347" max="347" width="10.55" hidden="false" outlineLevel="1" customWidth="1"/>
    <col min="348" max="348" width="10.55" hidden="false" outlineLevel="1" customWidth="1"/>
    <col min="349" max="349" width="10.55" hidden="false" outlineLevel="1" customWidth="1"/>
    <col min="350" max="350" width="10.55" hidden="false" outlineLevel="1" customWidth="1"/>
    <col min="351" max="351" width="10.55" hidden="false" outlineLevel="1" customWidth="1"/>
    <col min="352" max="352" width="10.55" hidden="false" outlineLevel="1" customWidth="1"/>
    <col min="353" max="353" width="10.55" hidden="false" outlineLevel="1" customWidth="1"/>
    <col min="354" max="354" width="10.55" hidden="false" outlineLevel="1" customWidth="1"/>
    <col min="355" max="355" width="10.55" hidden="false" outlineLevel="1" customWidth="1"/>
    <col min="356" max="356" width="10.55" hidden="false" outlineLevel="1" customWidth="1"/>
    <col min="357" max="357" width="10.55" hidden="false" outlineLevel="1" customWidth="1"/>
    <col min="358" max="358" width="10.55" hidden="false" outlineLevel="1" customWidth="1"/>
    <col min="359" max="359" width="10.55" hidden="false" outlineLevel="1" customWidth="1"/>
    <col min="360" max="360" width="10.55" hidden="false" outlineLevel="1" customWidth="1"/>
    <col min="361" max="361" width="10.55" hidden="false" outlineLevel="1" customWidth="1"/>
    <col min="362" max="362" width="10.55" hidden="false" outlineLevel="1" customWidth="1"/>
    <col min="363" max="363" width="10.55" hidden="false" outlineLevel="1" customWidth="1"/>
    <col min="364" max="364" width="10.55" hidden="false" outlineLevel="1" customWidth="1"/>
    <col min="365" max="365" width="10.55" hidden="false" outlineLevel="1" customWidth="1"/>
    <col min="366" max="366" width="10.55" hidden="false" outlineLevel="1" customWidth="1"/>
    <col min="367" max="367" width="10.55" hidden="false" outlineLevel="1" customWidth="1"/>
    <col min="368" max="368" width="10.55" hidden="false" outlineLevel="1" customWidth="1"/>
    <col min="369" max="369" width="10.55" hidden="false" outlineLevel="1" customWidth="1"/>
    <col min="370" max="370" width="10.55" hidden="false" outlineLevel="1" customWidth="1"/>
    <col min="371" max="371" width="10.55" hidden="false" outlineLevel="1" customWidth="1"/>
    <col min="372" max="372" width="10.55" hidden="false" outlineLevel="1" customWidth="1"/>
    <col min="373" max="373" width="10.55" hidden="false" outlineLevel="1" customWidth="1"/>
    <col min="374" max="374" width="10.55" hidden="false" outlineLevel="1" customWidth="1"/>
    <col min="375" max="375" width="10.55" hidden="false" outlineLevel="1" customWidth="1"/>
    <col min="376" max="376" width="10.55" hidden="false" outlineLevel="1" customWidth="1"/>
    <col min="377" max="377" width="10.55" hidden="false" outlineLevel="1" customWidth="1"/>
    <col min="378" max="378" width="10.55" hidden="false" outlineLevel="1" customWidth="1"/>
    <col min="379" max="379" width="10.55" hidden="false" outlineLevel="1" customWidth="1"/>
    <col min="380" max="380" width="10.55" hidden="false" outlineLevel="1" customWidth="1"/>
    <col min="381" max="381" width="10.55" hidden="false" outlineLevel="1" customWidth="1"/>
    <col min="382" max="382" width="10.55" hidden="false" outlineLevel="1" customWidth="1"/>
    <col min="383" max="383" width="10.55" hidden="false" outlineLevel="1" customWidth="1"/>
    <col min="384" max="384" width="10.55" hidden="false" outlineLevel="1" customWidth="1"/>
    <col min="385" max="385" width="10.55" hidden="false" outlineLevel="1" customWidth="1"/>
    <col min="386" max="386" width="10.55" hidden="false" outlineLevel="1" customWidth="1"/>
    <col min="387" max="387" width="10.55" hidden="false" outlineLevel="1" customWidth="1"/>
    <col min="388" max="388" width="10.55" hidden="false" outlineLevel="1" customWidth="1"/>
    <col min="389" max="389" width="10.55" hidden="false" outlineLevel="1" customWidth="1"/>
    <col min="390" max="390" width="10.55" hidden="false" outlineLevel="1" customWidth="1"/>
    <col min="391" max="391" width="10.55" hidden="false" outlineLevel="1" customWidth="1"/>
    <col min="392" max="392" width="10.55" hidden="false" outlineLevel="1" customWidth="1"/>
    <col min="393" max="393" width="10.55" hidden="false" outlineLevel="1" customWidth="1"/>
    <col min="394" max="394" width="10.55" hidden="false" outlineLevel="1" customWidth="1"/>
    <col min="395" max="395" width="10.55" hidden="false" outlineLevel="1" customWidth="1"/>
    <col min="396" max="396" width="10.55" hidden="false" outlineLevel="1" customWidth="1"/>
    <col min="397" max="397" width="10.55" hidden="false" outlineLevel="1" customWidth="1"/>
    <col min="398" max="398" width="10.55" hidden="false" outlineLevel="1" customWidth="1"/>
    <col min="399" max="399" width="10.55" hidden="false" outlineLevel="1" customWidth="1"/>
    <col min="400" max="400" width="10.55" hidden="false" outlineLevel="1" customWidth="1"/>
    <col min="401" max="401" width="10.55" hidden="false" outlineLevel="1" customWidth="1"/>
    <col min="402" max="402" width="10.55" hidden="false" outlineLevel="1" customWidth="1"/>
    <col min="403" max="403" width="10.55" hidden="false" outlineLevel="1" customWidth="1"/>
    <col min="404" max="404" width="10.55" hidden="false" outlineLevel="1" customWidth="1"/>
    <col min="405" max="405" width="10.55" hidden="false" outlineLevel="1" customWidth="1"/>
    <col min="406" max="406" width="10.55" hidden="false" outlineLevel="1" customWidth="1"/>
    <col min="407" max="407" width="10.55" hidden="false" outlineLevel="1" customWidth="1"/>
    <col min="408" max="408" width="10.55" hidden="false" outlineLevel="1" customWidth="1"/>
    <col min="409" max="409" width="10.55" hidden="false" outlineLevel="1" customWidth="1"/>
    <col min="410" max="410" width="10.55" hidden="false" outlineLevel="1" customWidth="1"/>
    <col min="411" max="411" width="10.55" hidden="false" outlineLevel="1" customWidth="1"/>
    <col min="412" max="412" width="10.55" hidden="false" outlineLevel="1" customWidth="1"/>
    <col min="413" max="413" width="10.55" hidden="false" outlineLevel="1" customWidth="1"/>
    <col min="414" max="414" width="10.55" hidden="false" outlineLevel="1" customWidth="1"/>
    <col min="415" max="415" width="10.55" hidden="false" outlineLevel="1" customWidth="1"/>
    <col min="416" max="416" width="10.55" hidden="false" outlineLevel="1" customWidth="1"/>
    <col min="417" max="417" width="10.55" hidden="false" outlineLevel="1" customWidth="1"/>
    <col min="418" max="418" width="10.55" hidden="false" outlineLevel="1" customWidth="1"/>
    <col min="419" max="419" width="10.55" hidden="false" outlineLevel="1" customWidth="1"/>
    <col min="420" max="420" width="10.55" hidden="false" outlineLevel="1" customWidth="1"/>
    <col min="421" max="421" width="10.55" hidden="false" outlineLevel="1" customWidth="1"/>
    <col min="422" max="422" width="10.55" hidden="false" outlineLevel="1" customWidth="1"/>
    <col min="423" max="423" width="10.55" hidden="false" outlineLevel="1" customWidth="1"/>
    <col min="424" max="424" width="10.55" hidden="false" outlineLevel="1" customWidth="1"/>
    <col min="425" max="425" width="10.55" hidden="false" outlineLevel="1" customWidth="1"/>
    <col min="426" max="426" width="10.55" hidden="false" outlineLevel="1" customWidth="1"/>
    <col min="427" max="427" width="10.55" hidden="false" outlineLevel="1" customWidth="1"/>
    <col min="428" max="428" width="10.55" hidden="false" outlineLevel="1" customWidth="1"/>
    <col min="429" max="429" width="10.55" hidden="false" outlineLevel="1" customWidth="1"/>
    <col min="430" max="430" width="10.55" hidden="false" outlineLevel="1" customWidth="1"/>
    <col min="431" max="431" width="10.55" hidden="false" outlineLevel="1" customWidth="1"/>
    <col min="432" max="432" width="10.55" hidden="false" outlineLevel="1" customWidth="1"/>
    <col min="433" max="433" width="10.55" hidden="false" outlineLevel="1" customWidth="1"/>
    <col min="434" max="434" width="10.55" hidden="false" outlineLevel="1" customWidth="1"/>
    <col min="435" max="435" width="10.55" hidden="false" outlineLevel="1" customWidth="1"/>
    <col min="436" max="436" width="10.55" hidden="false" outlineLevel="1" customWidth="1"/>
    <col min="437" max="437" width="10.55" hidden="false" outlineLevel="1" customWidth="1"/>
    <col min="438" max="438" width="10.55" hidden="false" outlineLevel="1" customWidth="1"/>
    <col min="439" max="439" width="10.55" hidden="false" outlineLevel="1" customWidth="1"/>
    <col min="440" max="440" width="10.55" hidden="false" outlineLevel="1" customWidth="1"/>
    <col min="441" max="441" width="10.55" hidden="false" outlineLevel="1" customWidth="1"/>
    <col min="442" max="442" width="10.55" hidden="false" outlineLevel="1" customWidth="1"/>
    <col min="443" max="443" width="10.55" hidden="false" outlineLevel="1" customWidth="1"/>
    <col min="444" max="444" width="10.55" hidden="false" outlineLevel="1" customWidth="1"/>
    <col min="445" max="445" width="10.55" hidden="false" outlineLevel="1" customWidth="1"/>
    <col min="446" max="446" width="10.55" hidden="false" outlineLevel="1" customWidth="1"/>
    <col min="447" max="447" width="10.55" hidden="false" outlineLevel="1" customWidth="1"/>
    <col min="448" max="448" width="10.55" hidden="false" outlineLevel="1" customWidth="1"/>
    <col min="449" max="449" width="10.55" hidden="false" outlineLevel="1" customWidth="1"/>
    <col min="450" max="450" width="10.55" hidden="false" outlineLevel="1" customWidth="1"/>
    <col min="451" max="451" width="10.55" hidden="false" outlineLevel="1" customWidth="1"/>
    <col min="452" max="452" width="10.55" hidden="false" outlineLevel="1" customWidth="1"/>
    <col min="453" max="453" width="10.55" hidden="false" outlineLevel="1" customWidth="1"/>
    <col min="454" max="454" width="10.55" hidden="false" outlineLevel="1" customWidth="1"/>
    <col min="455" max="455" width="10.55" hidden="false" outlineLevel="1" customWidth="1"/>
    <col min="456" max="456" width="10.55" hidden="false" outlineLevel="1" customWidth="1"/>
    <col min="457" max="457" width="10.55" hidden="false" outlineLevel="1" customWidth="1"/>
    <col min="458" max="458" width="10.55" hidden="false" outlineLevel="1" customWidth="1"/>
    <col min="459" max="459" width="10.55" hidden="false" outlineLevel="1" customWidth="1"/>
    <col min="460" max="460" width="10.55" hidden="false" outlineLevel="1" customWidth="1"/>
    <col min="461" max="461" width="10.55" hidden="false" outlineLevel="1" customWidth="1"/>
    <col min="462" max="462" width="10.55" hidden="false" outlineLevel="1" customWidth="1"/>
    <col min="463" max="463" width="10.55" hidden="false" outlineLevel="1" customWidth="1"/>
    <col min="464" max="464" width="10.55" hidden="false" outlineLevel="1" customWidth="1"/>
    <col min="465" max="465" width="10.55" hidden="false" outlineLevel="1" customWidth="1"/>
    <col min="466" max="466" width="10.55" hidden="false" outlineLevel="1" customWidth="1"/>
    <col min="467" max="467" width="10.55" hidden="false" outlineLevel="1" customWidth="1"/>
    <col min="468" max="468" width="10.55" hidden="false" outlineLevel="1" customWidth="1"/>
    <col min="469" max="469" width="10.55" hidden="false" outlineLevel="1" customWidth="1"/>
    <col min="470" max="470" width="10.55" hidden="false" outlineLevel="1" customWidth="1"/>
    <col min="471" max="471" width="10.55" hidden="false" outlineLevel="1" customWidth="1"/>
    <col min="472" max="472" width="10.55" hidden="false" outlineLevel="1" customWidth="1"/>
    <col min="473" max="473" width="10.55" hidden="false" outlineLevel="1" customWidth="1"/>
    <col min="474" max="474" width="10.55" hidden="false" outlineLevel="1" customWidth="1"/>
    <col min="475" max="475" width="10.55" hidden="false" outlineLevel="1" customWidth="1"/>
    <col min="476" max="476" width="10.55" hidden="false" outlineLevel="1" customWidth="1"/>
    <col min="477" max="477" width="10.55" hidden="false" outlineLevel="1" customWidth="1"/>
    <col min="478" max="478" width="10.55" hidden="false" outlineLevel="1" customWidth="1"/>
    <col min="479" max="479" width="10.55" hidden="false" outlineLevel="1" customWidth="1"/>
    <col min="480" max="480" width="10.55" hidden="false" outlineLevel="1" customWidth="1"/>
    <col min="481" max="481" width="10.55" hidden="false" outlineLevel="1" customWidth="1"/>
    <col min="482" max="482" width="10.55" hidden="false" outlineLevel="1" customWidth="1"/>
    <col min="483" max="483" width="10.55" hidden="false" outlineLevel="1" customWidth="1"/>
    <col min="484" max="484" width="10.55" hidden="false" outlineLevel="1" customWidth="1"/>
    <col min="485" max="485" width="10.55" hidden="false" outlineLevel="1" customWidth="1"/>
    <col min="486" max="486" width="10.55" hidden="false" outlineLevel="1" customWidth="1"/>
    <col min="487" max="487" width="10.55" hidden="false" outlineLevel="1" customWidth="1"/>
    <col min="488" max="488" width="10.55" hidden="false" outlineLevel="1" customWidth="1"/>
    <col min="489" max="489" width="10.55" hidden="false" outlineLevel="1" customWidth="1"/>
    <col min="490" max="490" width="10.55" hidden="false" outlineLevel="1" customWidth="1"/>
    <col min="491" max="491" width="10.55" hidden="false" outlineLevel="1" customWidth="1"/>
    <col min="492" max="492" width="10.55" hidden="false" outlineLevel="1" customWidth="1"/>
    <col min="493" max="493" width="10.55" hidden="false" outlineLevel="1" customWidth="1"/>
    <col min="494" max="494" width="10.55" hidden="false" outlineLevel="1" customWidth="1"/>
    <col min="495" max="495" width="10.55" hidden="false" outlineLevel="1" customWidth="1"/>
    <col min="496" max="496" width="10.55" hidden="false" outlineLevel="1" customWidth="1"/>
    <col min="497" max="497" width="10.55" hidden="false" outlineLevel="1" customWidth="1"/>
    <col min="498" max="498" width="10.55" hidden="false" outlineLevel="1" customWidth="1"/>
    <col min="499" max="499" width="10.55" hidden="false" outlineLevel="1" customWidth="1"/>
    <col min="500" max="500" width="10.55" hidden="false" outlineLevel="1" customWidth="1"/>
    <col min="501" max="501" width="10.55" hidden="false" outlineLevel="1" customWidth="1"/>
    <col min="502" max="502" width="10.55" hidden="false" outlineLevel="1" customWidth="1"/>
    <col min="503" max="503" width="10.55" hidden="false" outlineLevel="1" customWidth="1"/>
    <col min="504" max="504" width="10.55" hidden="false" outlineLevel="1" customWidth="1"/>
    <col min="505" max="505" width="10.55" hidden="false" outlineLevel="1" customWidth="1"/>
    <col min="506" max="506" width="10.55" hidden="false" outlineLevel="1" customWidth="1"/>
    <col min="507" max="507" width="10.55" hidden="false" outlineLevel="1" customWidth="1"/>
    <col min="508" max="508" width="10.55" hidden="false" outlineLevel="1" customWidth="1"/>
    <col min="509" max="509" width="10.55" hidden="false" outlineLevel="1" customWidth="1"/>
    <col min="510" max="510" width="10.55" hidden="false" outlineLevel="1" customWidth="1"/>
    <col min="511" max="511" width="10.55" hidden="false" outlineLevel="1" customWidth="1"/>
    <col min="512" max="512" width="10.55" hidden="false" outlineLevel="1" customWidth="1"/>
    <col min="513" max="513" width="10.55" hidden="false" outlineLevel="1" customWidth="1"/>
    <col min="514" max="514" width="10.55" hidden="false" outlineLevel="1" customWidth="1"/>
    <col min="515" max="515" width="10.55" hidden="false" outlineLevel="1" customWidth="1"/>
    <col min="516" max="516" width="10.55" hidden="false" outlineLevel="1" customWidth="1"/>
    <col min="517" max="517" width="10.55" hidden="false" outlineLevel="1" customWidth="1"/>
    <col min="518" max="518" width="10.55" hidden="false" outlineLevel="1" customWidth="1"/>
    <col min="519" max="519" width="10.55" hidden="false" outlineLevel="1" customWidth="1"/>
    <col min="520" max="520" width="10.55" hidden="false" outlineLevel="1" customWidth="1"/>
    <col min="521" max="521" width="10.55" hidden="false" outlineLevel="1" customWidth="1"/>
    <col min="522" max="522" width="10.55" hidden="false" outlineLevel="1" customWidth="1"/>
    <col min="523" max="523" width="10.55" hidden="false" outlineLevel="1" customWidth="1"/>
    <col min="524" max="524" width="10.55" hidden="false" outlineLevel="1" customWidth="1"/>
    <col min="525" max="525" width="10.55" hidden="false" outlineLevel="1" customWidth="1"/>
    <col min="526" max="526" width="10.55" hidden="false" outlineLevel="1" customWidth="1"/>
    <col min="527" max="527" width="10.55" hidden="false" outlineLevel="1" customWidth="1"/>
    <col min="528" max="528" width="10.55" hidden="false" outlineLevel="1" customWidth="1"/>
    <col min="529" max="529" width="10.55" hidden="false" outlineLevel="1" customWidth="1"/>
    <col min="530" max="530" width="10.55" hidden="false" outlineLevel="1" customWidth="1"/>
    <col min="531" max="531" width="10.55" hidden="false" outlineLevel="1" customWidth="1"/>
    <col min="532" max="532" width="10.55" hidden="false" outlineLevel="1" customWidth="1"/>
    <col min="533" max="533" width="10.55" hidden="false" outlineLevel="1" customWidth="1"/>
    <col min="534" max="534" width="10.55" hidden="false" outlineLevel="1" customWidth="1"/>
    <col min="535" max="535" width="10.55" hidden="false" outlineLevel="1" customWidth="1"/>
    <col min="536" max="536" width="10.55" hidden="false" outlineLevel="1" customWidth="1"/>
    <col min="537" max="537" width="10.55" hidden="false" outlineLevel="1" customWidth="1"/>
    <col min="538" max="538" width="10.55" hidden="false" outlineLevel="1" customWidth="1"/>
    <col min="539" max="539" width="10.55" hidden="false" outlineLevel="1" customWidth="1"/>
    <col min="540" max="540" width="10.55" hidden="false" outlineLevel="1" customWidth="1"/>
    <col min="541" max="541" width="10.55" hidden="false" outlineLevel="1" customWidth="1"/>
    <col min="542" max="542" width="10.55" hidden="false" outlineLevel="1" customWidth="1"/>
    <col min="543" max="543" width="10.55" hidden="false" outlineLevel="1" customWidth="1"/>
    <col min="544" max="544" width="10.55" hidden="false" outlineLevel="1" customWidth="1"/>
    <col min="545" max="545" width="10.55" hidden="false" outlineLevel="1" customWidth="1"/>
    <col min="546" max="546" width="10.55" hidden="false" outlineLevel="1" customWidth="1"/>
    <col min="547" max="547" width="10.55" hidden="false" outlineLevel="1" customWidth="1"/>
    <col min="548" max="548" width="10.55" hidden="false" outlineLevel="1" customWidth="1"/>
    <col min="549" max="549" width="10.55" hidden="false" outlineLevel="1" customWidth="1"/>
    <col min="550" max="550" width="10.55" hidden="false" outlineLevel="1" customWidth="1"/>
    <col min="551" max="551" width="10.55" hidden="false" outlineLevel="1" customWidth="1"/>
    <col min="552" max="552" width="10.55" hidden="false" outlineLevel="1" customWidth="1"/>
    <col min="553" max="553" width="10.55" hidden="false" outlineLevel="1" customWidth="1"/>
    <col min="554" max="554" width="10.55" hidden="false" outlineLevel="1" customWidth="1"/>
    <col min="555" max="555" width="10.55" hidden="false" outlineLevel="1" customWidth="1"/>
    <col min="556" max="556" width="10.55" hidden="false" outlineLevel="1" customWidth="1"/>
    <col min="557" max="557" width="10.55" hidden="false" outlineLevel="1" customWidth="1"/>
    <col min="558" max="558" width="10.55" hidden="false" outlineLevel="1" customWidth="1"/>
    <col min="559" max="559" width="10.55" hidden="false" outlineLevel="1" customWidth="1"/>
    <col min="560" max="560" width="10.55" hidden="false" outlineLevel="1" customWidth="1"/>
    <col min="561" max="561" width="10.55" hidden="false" outlineLevel="1" customWidth="1"/>
    <col min="562" max="562" width="10.55" hidden="false" outlineLevel="1" customWidth="1"/>
    <col min="563" max="563" width="10.55" hidden="false" outlineLevel="1" customWidth="1"/>
    <col min="564" max="564" width="10.55" hidden="false" outlineLevel="1" customWidth="1"/>
    <col min="565" max="565" width="10.55" hidden="false" outlineLevel="1" customWidth="1"/>
    <col min="566" max="566" width="10.55" hidden="false" outlineLevel="1" customWidth="1"/>
    <col min="567" max="567" width="10.55" hidden="false" outlineLevel="1" customWidth="1"/>
    <col min="568" max="568" width="10.55" hidden="false" outlineLevel="1" customWidth="1"/>
    <col min="569" max="569" width="10.55" hidden="false" outlineLevel="1" customWidth="1"/>
    <col min="570" max="570" width="10.55" hidden="false" outlineLevel="1" customWidth="1"/>
    <col min="571" max="571" width="10.55" hidden="false" outlineLevel="1" customWidth="1"/>
    <col min="572" max="572" width="10.55" hidden="false" outlineLevel="1" customWidth="1"/>
    <col min="573" max="573" width="10.55" hidden="false" outlineLevel="1" customWidth="1"/>
    <col min="574" max="574" width="10.55" hidden="false" outlineLevel="1" customWidth="1"/>
    <col min="575" max="575" width="10.55" hidden="false" outlineLevel="1" customWidth="1"/>
    <col min="576" max="576" width="10.55" hidden="false" outlineLevel="1" customWidth="1"/>
    <col min="577" max="577" width="10.55" hidden="false" outlineLevel="1" customWidth="1"/>
    <col min="578" max="578" width="10.55" hidden="false" outlineLevel="1" customWidth="1"/>
    <col min="579" max="579" width="10.55" hidden="false" outlineLevel="1" customWidth="1"/>
    <col min="580" max="580" width="10.55" hidden="false" outlineLevel="1" customWidth="1"/>
    <col min="581" max="581" width="10.55" hidden="false" outlineLevel="1" customWidth="1"/>
    <col min="582" max="582" width="10.55" hidden="false" outlineLevel="1" customWidth="1"/>
    <col min="583" max="583" width="10.55" hidden="false" outlineLevel="1" customWidth="1"/>
    <col min="584" max="584" width="10.55" hidden="false" outlineLevel="1" customWidth="1"/>
    <col min="585" max="585" width="10.55" hidden="false" outlineLevel="1" customWidth="1"/>
    <col min="586" max="586" width="10.55" hidden="false" outlineLevel="1" customWidth="1"/>
    <col min="587" max="587" width="10.55" hidden="false" outlineLevel="1" customWidth="1"/>
    <col min="588" max="588" width="10.55" hidden="false" outlineLevel="1" customWidth="1"/>
    <col min="589" max="589" width="10.55" hidden="false" outlineLevel="1" customWidth="1"/>
    <col min="590" max="590" width="10.55" hidden="false" outlineLevel="1" customWidth="1"/>
    <col min="591" max="591" width="10.55" hidden="false" outlineLevel="1" customWidth="1"/>
    <col min="592" max="592" width="10.55" hidden="false" outlineLevel="1" customWidth="1"/>
    <col min="593" max="593" width="10.55" hidden="false" outlineLevel="1" customWidth="1"/>
    <col min="594" max="594" width="10.55" hidden="false" outlineLevel="1" customWidth="1"/>
    <col min="595" max="595" width="10.55" hidden="false" outlineLevel="1" customWidth="1"/>
    <col min="596" max="596" width="10.55" hidden="false" outlineLevel="1" customWidth="1"/>
    <col min="597" max="597" width="10.55" hidden="false" outlineLevel="1" customWidth="1"/>
    <col min="598" max="598" width="10.55" hidden="false" outlineLevel="1" customWidth="1"/>
    <col min="599" max="599" width="10.55" hidden="false" outlineLevel="1" customWidth="1"/>
    <col min="600" max="600" width="10.55" hidden="false" outlineLevel="1" customWidth="1"/>
    <col min="601" max="601" width="10.55" hidden="false" outlineLevel="1" customWidth="1"/>
    <col min="602" max="602" width="10.55" hidden="false" outlineLevel="1" customWidth="1"/>
    <col min="603" max="603" width="10.55" hidden="false" outlineLevel="1" customWidth="1"/>
    <col min="604" max="604" width="10.55" hidden="false" outlineLevel="1" customWidth="1"/>
    <col min="605" max="605" width="10.55" hidden="false" outlineLevel="1" customWidth="1"/>
    <col min="606" max="606" width="10.55" hidden="false" outlineLevel="1" customWidth="1"/>
    <col min="607" max="607" width="10.55" hidden="false" outlineLevel="1" customWidth="1"/>
    <col min="608" max="608" width="10.55" hidden="false" outlineLevel="1" customWidth="1"/>
    <col min="609" max="609" width="10.55" hidden="false" outlineLevel="1" customWidth="1"/>
    <col min="610" max="610" width="10.55" hidden="false" outlineLevel="1" customWidth="1"/>
    <col min="611" max="611" width="10.55" hidden="false" outlineLevel="1" customWidth="1"/>
    <col min="612" max="612" width="10.55" hidden="false" outlineLevel="1" customWidth="1"/>
    <col min="613" max="613" width="10.55" hidden="false" outlineLevel="1" customWidth="1"/>
    <col min="614" max="614" width="10.55" hidden="false" outlineLevel="1" customWidth="1"/>
    <col min="615" max="615" width="10.55" hidden="false" outlineLevel="1" customWidth="1"/>
    <col min="616" max="616" width="10.55" hidden="false" outlineLevel="1" customWidth="1"/>
    <col min="617" max="617" width="10.55" hidden="false" outlineLevel="1" customWidth="1"/>
    <col min="618" max="618" width="10.55" hidden="false" outlineLevel="1" customWidth="1"/>
    <col min="619" max="619" width="10.55" hidden="false" outlineLevel="1" customWidth="1"/>
    <col min="620" max="620" width="10.55" hidden="false" outlineLevel="1" customWidth="1"/>
    <col min="621" max="621" width="10.55" hidden="false" outlineLevel="1" customWidth="1"/>
    <col min="622" max="622" width="10.55" hidden="false" outlineLevel="1" customWidth="1"/>
    <col min="623" max="623" width="10.55" hidden="false" outlineLevel="1" customWidth="1"/>
    <col min="624" max="624" width="10.55" hidden="false" outlineLevel="1" customWidth="1"/>
    <col min="625" max="625" width="10.55" hidden="false" outlineLevel="1" customWidth="1"/>
    <col min="626" max="626" width="10.55" hidden="false" outlineLevel="1" customWidth="1"/>
    <col min="627" max="627" width="10.55" hidden="false" outlineLevel="1" customWidth="1"/>
    <col min="628" max="628" width="10.55" hidden="false" outlineLevel="1" customWidth="1"/>
    <col min="629" max="629" width="10.55" hidden="false" outlineLevel="1" customWidth="1"/>
    <col min="630" max="630" width="10.55" hidden="false" outlineLevel="1" customWidth="1"/>
    <col min="631" max="631" width="10.55" hidden="false" outlineLevel="1" customWidth="1"/>
    <col min="632" max="632" width="10.55" hidden="false" outlineLevel="1" customWidth="1"/>
    <col min="633" max="633" width="10.55" hidden="false" outlineLevel="1" customWidth="1"/>
    <col min="634" max="634" width="10.55" hidden="false" outlineLevel="1" customWidth="1"/>
    <col min="635" max="635" width="10.55" hidden="false" outlineLevel="1" customWidth="1"/>
    <col min="636" max="636" width="10.55" hidden="false" outlineLevel="1" customWidth="1"/>
    <col min="637" max="637" width="10.55" hidden="false" outlineLevel="1" customWidth="1"/>
    <col min="638" max="638" width="10.55" hidden="false" outlineLevel="1" customWidth="1"/>
    <col min="639" max="639" width="10.55" hidden="false" outlineLevel="1" customWidth="1"/>
    <col min="640" max="640" width="10.55" hidden="false" outlineLevel="1" customWidth="1"/>
    <col min="641" max="641" width="10.55" hidden="false" outlineLevel="1" customWidth="1"/>
    <col min="642" max="642" width="10.55" hidden="false" outlineLevel="1" customWidth="1"/>
    <col min="643" max="643" width="10.55" hidden="false" outlineLevel="1" customWidth="1"/>
    <col min="644" max="644" width="10.55" hidden="false" outlineLevel="1" customWidth="1"/>
    <col min="645" max="645" width="10.55" hidden="false" outlineLevel="1" customWidth="1"/>
    <col min="646" max="646" width="10.55" hidden="false" outlineLevel="1" customWidth="1"/>
    <col min="647" max="647" width="10.55" hidden="false" outlineLevel="1" customWidth="1"/>
    <col min="648" max="648" width="10.55" hidden="false" outlineLevel="1" customWidth="1"/>
    <col min="649" max="649" width="10.55" hidden="false" outlineLevel="1" customWidth="1"/>
    <col min="650" max="650" width="10.55" hidden="false" outlineLevel="1" customWidth="1"/>
    <col min="651" max="651" width="10.55" hidden="false" outlineLevel="1" customWidth="1"/>
    <col min="652" max="652" width="10.55" hidden="false" outlineLevel="1" customWidth="1"/>
    <col min="653" max="653" width="10.55" hidden="false" outlineLevel="1" customWidth="1"/>
    <col min="654" max="654" width="10.55" hidden="false" outlineLevel="1" customWidth="1"/>
    <col min="655" max="655" width="10.55" hidden="false" outlineLevel="1" customWidth="1"/>
    <col min="656" max="656" width="10.55" hidden="false" outlineLevel="1" customWidth="1"/>
    <col min="657" max="657" width="10.55" hidden="false" outlineLevel="1" customWidth="1"/>
    <col min="658" max="658" width="10.55" hidden="false" outlineLevel="1" customWidth="1"/>
    <col min="659" max="659" width="10.55" hidden="false" outlineLevel="1" customWidth="1"/>
    <col min="660" max="660" width="10.55" hidden="false" outlineLevel="1" customWidth="1"/>
    <col min="661" max="661" width="10.55" hidden="false" outlineLevel="1" customWidth="1"/>
    <col min="662" max="662" width="10.55" hidden="false" outlineLevel="1" customWidth="1"/>
    <col min="663" max="663" width="10.55" hidden="false" outlineLevel="1" customWidth="1"/>
    <col min="664" max="664" width="10.55" hidden="false" outlineLevel="1" customWidth="1"/>
    <col min="665" max="665" width="10.55" hidden="false" outlineLevel="1" customWidth="1"/>
    <col min="666" max="666" width="10.55" hidden="false" outlineLevel="1" customWidth="1"/>
    <col min="667" max="667" width="10.55" hidden="false" outlineLevel="1" customWidth="1"/>
    <col min="668" max="668" width="10.55" hidden="false" outlineLevel="1" customWidth="1"/>
    <col min="669" max="669" width="10.55" hidden="false" outlineLevel="1" customWidth="1"/>
    <col min="670" max="670" width="10.55" hidden="false" outlineLevel="1" customWidth="1"/>
    <col min="671" max="671" width="10.55" hidden="false" outlineLevel="1" customWidth="1"/>
    <col min="672" max="672" width="10.55" hidden="false" outlineLevel="1" customWidth="1"/>
    <col min="673" max="673" width="10.55" hidden="false" outlineLevel="1" customWidth="1"/>
    <col min="674" max="674" width="10.55" hidden="false" outlineLevel="1" customWidth="1"/>
    <col min="675" max="675" width="10.55" hidden="false" outlineLevel="1" customWidth="1"/>
    <col min="676" max="676" width="10.55" hidden="false" outlineLevel="1" customWidth="1"/>
    <col min="677" max="677" width="10.55" hidden="false" outlineLevel="1" customWidth="1"/>
    <col min="678" max="678" width="10.55" hidden="false" outlineLevel="1" customWidth="1"/>
    <col min="679" max="679" width="10.55" hidden="false" outlineLevel="1" customWidth="1"/>
    <col min="680" max="680" width="10.55" hidden="false" outlineLevel="1" customWidth="1"/>
    <col min="681" max="681" width="10.55" hidden="false" outlineLevel="1" customWidth="1"/>
    <col min="682" max="682" width="10.55" hidden="false" outlineLevel="1" customWidth="1"/>
    <col min="683" max="683" width="10.55" hidden="false" outlineLevel="1" customWidth="1"/>
    <col min="684" max="684" width="10.55" hidden="false" outlineLevel="1" customWidth="1"/>
    <col min="685" max="685" width="10.55" hidden="false" outlineLevel="1" customWidth="1"/>
    <col min="686" max="686" width="10.55" hidden="false" outlineLevel="1" customWidth="1"/>
    <col min="687" max="687" width="10.55" hidden="false" outlineLevel="1" customWidth="1"/>
    <col min="688" max="688" width="10.55" hidden="false" outlineLevel="1" customWidth="1"/>
    <col min="689" max="689" width="10.55" hidden="false" outlineLevel="1" customWidth="1"/>
    <col min="690" max="690" width="10.55" hidden="false" outlineLevel="1" customWidth="1"/>
    <col min="691" max="691" width="10.55" hidden="false" outlineLevel="1" customWidth="1"/>
    <col min="692" max="692" width="10.55" hidden="false" outlineLevel="1" customWidth="1"/>
    <col min="693" max="693" width="10.55" hidden="false" outlineLevel="1" customWidth="1"/>
    <col min="694" max="694" width="10.55" hidden="false" outlineLevel="1" customWidth="1"/>
    <col min="695" max="695" width="10.55" hidden="false" outlineLevel="1" customWidth="1"/>
    <col min="696" max="696" width="10.55" hidden="false" outlineLevel="1" customWidth="1"/>
    <col min="697" max="697" width="10.55" hidden="false" outlineLevel="1" customWidth="1"/>
    <col min="698" max="698" width="10.55" hidden="false" outlineLevel="1" customWidth="1"/>
    <col min="699" max="699" width="10.55" hidden="false" outlineLevel="1" customWidth="1"/>
    <col min="700" max="700" width="10.55" hidden="false" outlineLevel="1" customWidth="1"/>
    <col min="701" max="701" width="10.55" hidden="false" outlineLevel="1" customWidth="1"/>
    <col min="702" max="702" width="10.55" hidden="false" outlineLevel="1" customWidth="1"/>
    <col min="703" max="703" width="10.55" hidden="false" outlineLevel="1" customWidth="1"/>
    <col min="704" max="704" width="10.55" hidden="false" outlineLevel="1" customWidth="1"/>
    <col min="705" max="705" width="10.55" hidden="false" outlineLevel="1" customWidth="1"/>
    <col min="706" max="706" width="10.55" hidden="false" outlineLevel="1" customWidth="1"/>
    <col min="707" max="707" width="10.55" hidden="false" outlineLevel="1" customWidth="1"/>
    <col min="708" max="708" width="10.55" hidden="false" outlineLevel="1" customWidth="1"/>
    <col min="709" max="709" width="10.55" hidden="false" outlineLevel="1" customWidth="1"/>
    <col min="710" max="710" width="10.55" hidden="false" outlineLevel="1" customWidth="1"/>
    <col min="711" max="711" width="10.55" hidden="false" outlineLevel="1" customWidth="1"/>
    <col min="712" max="712" width="10.55" hidden="false" outlineLevel="1" customWidth="1"/>
    <col min="713" max="713" width="10.55" hidden="false" outlineLevel="1" customWidth="1"/>
    <col min="714" max="714" width="10.55" hidden="false" outlineLevel="1" customWidth="1"/>
    <col min="715" max="715" width="10.55" hidden="false" outlineLevel="1" customWidth="1"/>
    <col min="716" max="716" width="10.55" hidden="false" outlineLevel="1" customWidth="1"/>
    <col min="717" max="717" width="10.55" hidden="false" outlineLevel="1" customWidth="1"/>
    <col min="718" max="718" width="10.55" hidden="false" outlineLevel="1" customWidth="1"/>
    <col min="719" max="719" width="10.55" hidden="false" outlineLevel="1" customWidth="1"/>
    <col min="720" max="720" width="10.55" hidden="false" outlineLevel="1" customWidth="1"/>
    <col min="721" max="721" width="10.55" hidden="false" outlineLevel="1" customWidth="1"/>
    <col min="722" max="722" width="10.55" hidden="false" outlineLevel="1" customWidth="1"/>
    <col min="723" max="723" width="10.55" hidden="false" outlineLevel="1" customWidth="1"/>
    <col min="724" max="724" width="10.55" hidden="false" outlineLevel="1" customWidth="1"/>
    <col min="725" max="725" width="10.55" hidden="false" outlineLevel="1" customWidth="1"/>
    <col min="726" max="726" width="10.55" hidden="false" outlineLevel="1" customWidth="1"/>
    <col min="727" max="727" width="10.55" hidden="false" outlineLevel="1" customWidth="1"/>
    <col min="728" max="728" width="10.55" hidden="false" outlineLevel="1" customWidth="1"/>
    <col min="729" max="729" width="10.55" hidden="false" outlineLevel="1" customWidth="1"/>
    <col min="730" max="730" width="10.55" hidden="false" outlineLevel="1" customWidth="1"/>
    <col min="731" max="731" width="10.55" hidden="false" outlineLevel="1" customWidth="1"/>
    <col min="732" max="732" width="10.55" hidden="false" outlineLevel="1" customWidth="1"/>
    <col min="733" max="733" width="10.55" hidden="false" outlineLevel="1" customWidth="1"/>
    <col min="734" max="734" width="10.55" hidden="false" outlineLevel="1" customWidth="1"/>
    <col min="735" max="735" width="10.55" hidden="false" outlineLevel="1" customWidth="1"/>
    <col min="736" max="736" width="10.55" hidden="false" outlineLevel="1" customWidth="1"/>
    <col min="737" max="737" width="10.55" hidden="false" outlineLevel="1" customWidth="1"/>
    <col min="738" max="738" width="10.55" hidden="false" outlineLevel="1" customWidth="1"/>
    <col min="739" max="739" width="10.55" hidden="false" outlineLevel="1" customWidth="1"/>
    <col min="740" max="740" width="10.55" hidden="false" outlineLevel="1" customWidth="1"/>
    <col min="741" max="741" width="10.55" hidden="false" outlineLevel="1" customWidth="1"/>
    <col min="742" max="742" width="10.55" hidden="false" outlineLevel="1" customWidth="1"/>
    <col min="743" max="743" width="10.55" hidden="false" outlineLevel="1" customWidth="1"/>
    <col min="744" max="744" width="10.55" hidden="false" outlineLevel="1" customWidth="1"/>
    <col min="745" max="745" width="10.55" hidden="false" outlineLevel="1" customWidth="1"/>
    <col min="746" max="746" width="10.55" hidden="false" outlineLevel="1" customWidth="1"/>
    <col min="747" max="747" width="10.55" hidden="false" outlineLevel="1" customWidth="1"/>
    <col min="748" max="748" width="10.55" hidden="false" outlineLevel="1" customWidth="1"/>
    <col min="749" max="749" width="10.55" hidden="false" outlineLevel="1" customWidth="1"/>
    <col min="750" max="750" width="10.55" hidden="false" outlineLevel="1" customWidth="1"/>
    <col min="751" max="751" width="10.55" hidden="false" outlineLevel="1" customWidth="1"/>
    <col min="752" max="752" width="10.55" hidden="false" outlineLevel="1" customWidth="1"/>
    <col min="753" max="753" width="10.55" hidden="false" outlineLevel="1" customWidth="1"/>
    <col min="754" max="754" width="10.55" hidden="false" outlineLevel="1" customWidth="1"/>
    <col min="755" max="755" width="10.55" hidden="false" outlineLevel="1" customWidth="1"/>
    <col min="756" max="756" width="10.55" hidden="false" outlineLevel="1" customWidth="1"/>
    <col min="757" max="757" width="10.55" hidden="false" outlineLevel="1" customWidth="1"/>
    <col min="758" max="758" width="10.55" hidden="false" outlineLevel="1" customWidth="1"/>
    <col min="759" max="759" width="10.55" hidden="false" outlineLevel="1" customWidth="1"/>
    <col min="760" max="760" width="10.55" hidden="false" outlineLevel="1" customWidth="1"/>
    <col min="761" max="761" width="10.55" hidden="false" outlineLevel="1" customWidth="1"/>
    <col min="762" max="762" width="10.55" hidden="false" outlineLevel="1" customWidth="1"/>
    <col min="763" max="763" width="10.55" hidden="false" outlineLevel="1" customWidth="1"/>
    <col min="764" max="764" width="10.55" hidden="false" outlineLevel="1" customWidth="1"/>
    <col min="765" max="765" width="10.55" hidden="false" outlineLevel="1" customWidth="1"/>
    <col min="766" max="766" width="10.55" hidden="false" outlineLevel="1" customWidth="1"/>
    <col min="767" max="767" width="10.55" hidden="false" outlineLevel="1" customWidth="1"/>
    <col min="768" max="768" width="10.55" hidden="false" outlineLevel="1" customWidth="1"/>
    <col min="769" max="769" width="10.55" hidden="false" outlineLevel="1" customWidth="1"/>
    <col min="770" max="770" width="10.55" hidden="false" outlineLevel="1" customWidth="1"/>
    <col min="771" max="771" width="10.55" hidden="false" outlineLevel="1" customWidth="1"/>
    <col min="772" max="772" width="10.55" hidden="false" outlineLevel="1" customWidth="1"/>
    <col min="773" max="773" width="10.55" hidden="false" outlineLevel="1" customWidth="1"/>
    <col min="774" max="774" width="10.55" hidden="false" outlineLevel="1" customWidth="1"/>
    <col min="775" max="775" width="10.55" hidden="false" outlineLevel="1" customWidth="1"/>
    <col min="776" max="776" width="10.55" hidden="false" outlineLevel="1" customWidth="1"/>
    <col min="777" max="777" width="10.55" hidden="false" outlineLevel="1" customWidth="1"/>
    <col min="778" max="778" width="10.55" hidden="false" outlineLevel="1" customWidth="1"/>
    <col min="779" max="779" width="10.55" hidden="false" outlineLevel="1" customWidth="1"/>
    <col min="780" max="780" width="10.55" hidden="false" outlineLevel="1" customWidth="1"/>
    <col min="781" max="781" width="10.55" hidden="false" outlineLevel="1" customWidth="1"/>
    <col min="782" max="782" width="10.55" hidden="false" outlineLevel="1" customWidth="1"/>
    <col min="783" max="783" width="10.55" hidden="false" outlineLevel="1" customWidth="1"/>
    <col min="784" max="784" width="10.55" hidden="false" outlineLevel="1" customWidth="1"/>
    <col min="785" max="785" width="10.55" hidden="false" outlineLevel="1" customWidth="1"/>
    <col min="786" max="786" width="10.55" hidden="false" outlineLevel="1" customWidth="1"/>
    <col min="787" max="787" width="10.55" hidden="false" outlineLevel="1" customWidth="1"/>
    <col min="788" max="788" width="10.55" hidden="false" outlineLevel="1" customWidth="1"/>
    <col min="789" max="789" width="10.55" hidden="false" outlineLevel="1" customWidth="1"/>
    <col min="790" max="790" width="10.55" hidden="false" outlineLevel="1" customWidth="1"/>
    <col min="791" max="791" width="10.55" hidden="false" outlineLevel="1" customWidth="1"/>
    <col min="792" max="792" width="10.55" hidden="false" outlineLevel="1" customWidth="1"/>
    <col min="793" max="793" width="10.55" hidden="false" outlineLevel="1" customWidth="1"/>
    <col min="794" max="794" width="10.55" hidden="false" outlineLevel="1" customWidth="1"/>
    <col min="795" max="795" width="10.55" hidden="false" outlineLevel="1" customWidth="1"/>
    <col min="796" max="796" width="10.55" hidden="false" outlineLevel="1" customWidth="1"/>
    <col min="797" max="797" width="10.55" hidden="false" outlineLevel="1" customWidth="1"/>
    <col min="798" max="798" width="10.55" hidden="false" outlineLevel="1" customWidth="1"/>
    <col min="799" max="799" width="10.55" hidden="false" outlineLevel="1" customWidth="1"/>
    <col min="800" max="800" width="10.55" hidden="false" outlineLevel="1" customWidth="1"/>
    <col min="801" max="801" width="10.55" hidden="false" outlineLevel="1" customWidth="1"/>
    <col min="802" max="802" width="10.55" hidden="false" outlineLevel="1" customWidth="1"/>
    <col min="803" max="803" width="10.55" hidden="false" outlineLevel="1" customWidth="1"/>
    <col min="804" max="804" width="10.55" hidden="false" outlineLevel="1" customWidth="1"/>
    <col min="805" max="805" width="10.55" hidden="false" outlineLevel="1" customWidth="1"/>
    <col min="806" max="806" width="10.55" hidden="false" outlineLevel="1" customWidth="1"/>
    <col min="807" max="807" width="10.55" hidden="false" outlineLevel="1" customWidth="1"/>
    <col min="808" max="808" width="10.55" hidden="false" outlineLevel="1" customWidth="1"/>
    <col min="809" max="809" width="10.55" hidden="false" outlineLevel="1" customWidth="1"/>
    <col min="810" max="810" width="10.55" hidden="false" outlineLevel="1" customWidth="1"/>
    <col min="811" max="811" width="10.55" hidden="false" outlineLevel="1" customWidth="1"/>
    <col min="812" max="812" width="10.55" hidden="false" outlineLevel="1" customWidth="1"/>
    <col min="813" max="813" width="10.55" hidden="false" outlineLevel="1" customWidth="1"/>
    <col min="814" max="814" width="10.55" hidden="false" outlineLevel="1" customWidth="1"/>
    <col min="815" max="815" width="10.55" hidden="false" outlineLevel="1" customWidth="1"/>
    <col min="816" max="816" width="10.55" hidden="false" outlineLevel="1" customWidth="1"/>
    <col min="817" max="817" width="10.55" hidden="false" outlineLevel="1" customWidth="1"/>
    <col min="818" max="818" width="10.55" hidden="false" outlineLevel="1" customWidth="1"/>
    <col min="819" max="819" width="10.55" hidden="false" outlineLevel="1" customWidth="1"/>
    <col min="820" max="820" width="10.55" hidden="false" outlineLevel="1" customWidth="1"/>
    <col min="821" max="821" width="10.55" hidden="false" outlineLevel="1" customWidth="1"/>
    <col min="822" max="822" width="10.55" hidden="false" outlineLevel="1" customWidth="1"/>
    <col min="823" max="823" width="10.55" hidden="false" outlineLevel="1" customWidth="1"/>
    <col min="824" max="824" width="10.55" hidden="false" outlineLevel="1" customWidth="1"/>
    <col min="825" max="825" width="10.55" hidden="false" outlineLevel="1" customWidth="1"/>
    <col min="826" max="826" width="10.55" hidden="false" outlineLevel="1" customWidth="1"/>
    <col min="827" max="827" width="10.55" hidden="false" outlineLevel="1" customWidth="1"/>
    <col min="828" max="828" width="10.55" hidden="false" outlineLevel="1" customWidth="1"/>
    <col min="829" max="829" width="10.55" hidden="false" outlineLevel="1" customWidth="1"/>
    <col min="830" max="830" width="10.55" hidden="false" outlineLevel="1" customWidth="1"/>
    <col min="831" max="831" width="10.55" hidden="false" outlineLevel="1" customWidth="1"/>
    <col min="832" max="832" width="10.55" hidden="false" outlineLevel="1" customWidth="1"/>
    <col min="833" max="833" width="10.55" hidden="false" outlineLevel="1" customWidth="1"/>
    <col min="834" max="834" width="10.55" hidden="false" outlineLevel="1" customWidth="1"/>
    <col min="835" max="835" width="10.55" hidden="false" outlineLevel="1" customWidth="1"/>
    <col min="836" max="836" width="10.55" hidden="false" outlineLevel="1" customWidth="1"/>
    <col min="837" max="837" width="10.55" hidden="false" outlineLevel="1" customWidth="1"/>
    <col min="838" max="838" width="10.55" hidden="false" outlineLevel="1" customWidth="1"/>
    <col min="839" max="839" width="10.55" hidden="false" outlineLevel="1" customWidth="1"/>
    <col min="840" max="840" width="10.55" hidden="false" outlineLevel="1" customWidth="1"/>
    <col min="841" max="841" width="10.55" hidden="false" outlineLevel="1" customWidth="1"/>
    <col min="842" max="842" width="10.55" hidden="false" outlineLevel="1" customWidth="1"/>
    <col min="843" max="843" width="10.55" hidden="false" outlineLevel="1" customWidth="1"/>
    <col min="844" max="844" width="10.55" hidden="false" outlineLevel="1" customWidth="1"/>
    <col min="845" max="845" width="10.55" hidden="false" outlineLevel="1" customWidth="1"/>
    <col min="846" max="846" width="10.55" hidden="false" outlineLevel="1" customWidth="1"/>
    <col min="847" max="847" width="10.55" hidden="false" outlineLevel="1" customWidth="1"/>
    <col min="848" max="848" width="10.55" hidden="false" outlineLevel="1" customWidth="1"/>
    <col min="849" max="849" width="10.55" hidden="false" outlineLevel="1" customWidth="1"/>
    <col min="850" max="850" width="10.55" hidden="false" outlineLevel="1" customWidth="1"/>
    <col min="851" max="851" width="10.55" hidden="false" outlineLevel="1" customWidth="1"/>
    <col min="852" max="852" width="10.55" hidden="false" outlineLevel="1" customWidth="1"/>
    <col min="853" max="853" width="10.55" hidden="false" outlineLevel="1" customWidth="1"/>
    <col min="854" max="854" width="10.55" hidden="false" outlineLevel="1" customWidth="1"/>
    <col min="855" max="855" width="10.55" hidden="false" outlineLevel="1" customWidth="1"/>
    <col min="856" max="856" width="10.55" hidden="false" outlineLevel="1" customWidth="1"/>
    <col min="857" max="857" width="10.55" hidden="false" outlineLevel="1" customWidth="1"/>
    <col min="858" max="858" width="10.55" hidden="false" outlineLevel="1" customWidth="1"/>
    <col min="859" max="859" width="10.55" hidden="false" outlineLevel="1" customWidth="1"/>
    <col min="860" max="860" width="10.55" hidden="false" outlineLevel="1" customWidth="1"/>
    <col min="861" max="861" width="10.55" hidden="false" outlineLevel="1" customWidth="1"/>
    <col min="862" max="862" width="10.55" hidden="false" outlineLevel="1" customWidth="1"/>
    <col min="863" max="863" width="10.55" hidden="false" outlineLevel="1" customWidth="1"/>
    <col min="864" max="864" width="10.55" hidden="false" outlineLevel="1" customWidth="1"/>
    <col min="865" max="865" width="10.55" hidden="false" outlineLevel="1" customWidth="1"/>
    <col min="866" max="866" width="10.55" hidden="false" outlineLevel="1" customWidth="1"/>
    <col min="867" max="867" width="10.55" hidden="false" outlineLevel="1" customWidth="1"/>
    <col min="868" max="868" width="10.55" hidden="false" outlineLevel="1" customWidth="1"/>
    <col min="869" max="869" width="10.55" hidden="false" outlineLevel="1" customWidth="1"/>
    <col min="870" max="870" width="10.55" hidden="false" outlineLevel="1" customWidth="1"/>
    <col min="871" max="871" width="10.55" hidden="false" outlineLevel="1" customWidth="1"/>
    <col min="872" max="872" width="10.55" hidden="false" outlineLevel="1" customWidth="1"/>
    <col min="873" max="873" width="10.55" hidden="false" outlineLevel="1" customWidth="1"/>
    <col min="874" max="874" width="10.55" hidden="false" outlineLevel="1" customWidth="1"/>
    <col min="875" max="875" width="10.55" hidden="false" outlineLevel="1" customWidth="1"/>
    <col min="876" max="876" width="10.55" hidden="false" outlineLevel="1" customWidth="1"/>
    <col min="877" max="877" width="10.55" hidden="false" outlineLevel="1" customWidth="1"/>
    <col min="878" max="878" width="10.55" hidden="false" outlineLevel="1" customWidth="1"/>
    <col min="879" max="879" width="10.55" hidden="false" outlineLevel="1" customWidth="1"/>
    <col min="880" max="880" width="10.55" hidden="false" outlineLevel="1" customWidth="1"/>
    <col min="881" max="881" width="10.55" hidden="false" outlineLevel="1" customWidth="1"/>
    <col min="882" max="882" width="10.55" hidden="false" outlineLevel="1" customWidth="1"/>
    <col min="883" max="883" width="10.55" hidden="false" outlineLevel="1" customWidth="1"/>
    <col min="884" max="884" width="10.55" hidden="false" outlineLevel="1" customWidth="1"/>
    <col min="885" max="885" width="10.55" hidden="false" outlineLevel="1" customWidth="1"/>
    <col min="886" max="886" width="10.55" hidden="false" outlineLevel="1" customWidth="1"/>
    <col min="887" max="887" width="10.55" hidden="false" outlineLevel="1" customWidth="1"/>
    <col min="888" max="888" width="10.55" hidden="false" outlineLevel="1" customWidth="1"/>
    <col min="889" max="889" width="10.55" hidden="false" outlineLevel="1" customWidth="1"/>
    <col min="890" max="890" width="10.55" hidden="false" outlineLevel="1" customWidth="1"/>
    <col min="891" max="891" width="10.55" hidden="false" outlineLevel="1" customWidth="1"/>
    <col min="892" max="892" width="10.55" hidden="false" outlineLevel="1" customWidth="1"/>
    <col min="893" max="893" width="10.55" hidden="false" outlineLevel="1" customWidth="1"/>
    <col min="894" max="894" width="10.55" hidden="false" outlineLevel="1" customWidth="1"/>
    <col min="895" max="895" width="10.55" hidden="false" outlineLevel="1" customWidth="1"/>
    <col min="896" max="896" width="10.55" hidden="false" outlineLevel="1" customWidth="1"/>
    <col min="897" max="897" width="10.55" hidden="false" outlineLevel="1" customWidth="1"/>
    <col min="898" max="898" width="10.55" hidden="false" outlineLevel="1" customWidth="1"/>
    <col min="899" max="899" width="10.55" hidden="false" outlineLevel="1" customWidth="1"/>
    <col min="900" max="900" width="10.55" hidden="false" outlineLevel="1" customWidth="1"/>
    <col min="901" max="901" width="10.55" hidden="false" outlineLevel="1" customWidth="1"/>
    <col min="902" max="902" width="10.55" hidden="false" outlineLevel="1" customWidth="1"/>
    <col min="903" max="903" width="10.55" hidden="false" outlineLevel="1" customWidth="1"/>
    <col min="904" max="904" width="10.55" hidden="false" outlineLevel="1" customWidth="1"/>
    <col min="905" max="905" width="10.55" hidden="false" outlineLevel="1" customWidth="1"/>
    <col min="906" max="906" width="10.55" hidden="false" outlineLevel="1" customWidth="1"/>
    <col min="907" max="907" width="10.55" hidden="false" outlineLevel="1" customWidth="1"/>
    <col min="908" max="908" width="10.55" hidden="false" outlineLevel="1" customWidth="1"/>
    <col min="909" max="909" width="10.55" hidden="false" outlineLevel="1" customWidth="1"/>
    <col min="910" max="910" width="10.55" hidden="false" outlineLevel="1" customWidth="1"/>
    <col min="911" max="911" width="10.55" hidden="false" outlineLevel="1" customWidth="1"/>
    <col min="912" max="912" width="10.55" hidden="false" outlineLevel="1" customWidth="1"/>
    <col min="913" max="913" width="10.55" hidden="false" outlineLevel="1" customWidth="1"/>
    <col min="914" max="914" width="10.55" hidden="false" outlineLevel="1" customWidth="1"/>
    <col min="915" max="915" width="10.55" hidden="false" outlineLevel="1" customWidth="1"/>
    <col min="916" max="916" width="10.55" hidden="false" outlineLevel="1" customWidth="1"/>
    <col min="917" max="917" width="10.55" hidden="false" outlineLevel="1" customWidth="1"/>
    <col min="918" max="918" width="10.55" hidden="false" outlineLevel="1" customWidth="1"/>
    <col min="919" max="919" width="10.55" hidden="false" outlineLevel="1" customWidth="1"/>
    <col min="920" max="920" width="10.55" hidden="false" outlineLevel="1" customWidth="1"/>
    <col min="921" max="921" width="10.55" hidden="false" outlineLevel="1" customWidth="1"/>
    <col min="922" max="922" width="10.55" hidden="false" outlineLevel="1" customWidth="1"/>
    <col min="923" max="923" width="10.55" hidden="false" outlineLevel="1" customWidth="1"/>
    <col min="924" max="924" width="10.55" hidden="false" outlineLevel="1" customWidth="1"/>
    <col min="925" max="925" width="10.55" hidden="false" outlineLevel="1" customWidth="1"/>
    <col min="926" max="926" width="10.55" hidden="false" outlineLevel="1" customWidth="1"/>
    <col min="927" max="927" width="10.55" hidden="false" outlineLevel="1" customWidth="1"/>
    <col min="928" max="928" width="10.55" hidden="false" outlineLevel="1" customWidth="1"/>
    <col min="929" max="929" width="10.55" hidden="false" outlineLevel="1" customWidth="1"/>
    <col min="930" max="930" width="10.55" hidden="false" outlineLevel="1" customWidth="1"/>
    <col min="931" max="931" width="10.55" hidden="false" outlineLevel="1" customWidth="1"/>
    <col min="932" max="932" width="10.55" hidden="false" outlineLevel="1" customWidth="1"/>
    <col min="933" max="933" width="10.55" hidden="false" outlineLevel="1" customWidth="1"/>
    <col min="934" max="934" width="10.55" hidden="false" outlineLevel="1" customWidth="1"/>
    <col min="935" max="935" width="10.55" hidden="false" outlineLevel="1" customWidth="1"/>
    <col min="936" max="936" width="10.55" hidden="false" outlineLevel="1" customWidth="1"/>
    <col min="937" max="937" width="10.55" hidden="false" outlineLevel="1" customWidth="1"/>
    <col min="938" max="938" width="10.55" hidden="false" outlineLevel="1" customWidth="1"/>
    <col min="939" max="939" width="10.55" hidden="false" outlineLevel="1" customWidth="1"/>
    <col min="940" max="940" width="10.55" hidden="false" outlineLevel="1" customWidth="1"/>
    <col min="941" max="941" width="10.55" hidden="false" outlineLevel="1" customWidth="1"/>
    <col min="942" max="942" width="10.55" hidden="false" outlineLevel="1" customWidth="1"/>
    <col min="943" max="943" width="10.55" hidden="false" outlineLevel="1" customWidth="1"/>
    <col min="944" max="944" width="10.55" hidden="false" outlineLevel="1" customWidth="1"/>
    <col min="945" max="945" width="10.55" hidden="false" outlineLevel="1" customWidth="1"/>
    <col min="946" max="946" width="10.55" hidden="false" outlineLevel="1" customWidth="1"/>
    <col min="947" max="947" width="10.55" hidden="false" outlineLevel="1" customWidth="1"/>
    <col min="948" max="948" width="10.55" hidden="false" outlineLevel="1" customWidth="1"/>
    <col min="949" max="949" width="10.55" hidden="false" outlineLevel="1" customWidth="1"/>
    <col min="950" max="950" width="10.55" hidden="false" outlineLevel="1" customWidth="1"/>
    <col min="951" max="951" width="10.55" hidden="false" outlineLevel="1" customWidth="1"/>
    <col min="952" max="952" width="10.55" hidden="false" outlineLevel="1" customWidth="1"/>
    <col min="953" max="953" width="10.55" hidden="false" outlineLevel="1" customWidth="1"/>
    <col min="954" max="954" width="10.55" hidden="false" outlineLevel="1" customWidth="1"/>
    <col min="955" max="955" width="10.55" hidden="false" outlineLevel="1" customWidth="1"/>
    <col min="956" max="956" width="10.55" hidden="false" outlineLevel="1" customWidth="1"/>
    <col min="957" max="957" width="10.55" hidden="false" outlineLevel="1" customWidth="1"/>
    <col min="958" max="958" width="10.55" hidden="false" outlineLevel="1" customWidth="1"/>
    <col min="959" max="959" width="10.55" hidden="false" outlineLevel="1" customWidth="1"/>
    <col min="960" max="960" width="10.55" hidden="false" outlineLevel="1" customWidth="1"/>
    <col min="961" max="961" width="10.55" hidden="false" outlineLevel="1" customWidth="1"/>
    <col min="962" max="962" width="10.55" hidden="false" outlineLevel="1" customWidth="1"/>
    <col min="963" max="963" width="10.55" hidden="false" outlineLevel="1" customWidth="1"/>
    <col min="964" max="964" width="10.55" hidden="false" outlineLevel="1" customWidth="1"/>
    <col min="965" max="965" width="10.55" hidden="false" outlineLevel="1" customWidth="1"/>
    <col min="966" max="966" width="10.55" hidden="false" outlineLevel="1" customWidth="1"/>
    <col min="967" max="967" width="10.55" hidden="false" outlineLevel="1" customWidth="1"/>
    <col min="968" max="968" width="10.55" hidden="false" outlineLevel="1" customWidth="1"/>
    <col min="969" max="969" width="10.55" hidden="false" outlineLevel="1" customWidth="1"/>
    <col min="970" max="970" width="10.55" hidden="false" outlineLevel="1" customWidth="1"/>
    <col min="971" max="971" width="10.55" hidden="false" outlineLevel="1" customWidth="1"/>
    <col min="972" max="972" width="10.55" hidden="false" outlineLevel="1" customWidth="1"/>
    <col min="973" max="973" width="10.55" hidden="false" outlineLevel="1" customWidth="1"/>
    <col min="974" max="974" width="10.55" hidden="false" outlineLevel="1" customWidth="1"/>
    <col min="975" max="975" width="10.55" hidden="false" outlineLevel="1" customWidth="1"/>
    <col min="976" max="976" width="10.55" hidden="false" outlineLevel="1" customWidth="1"/>
    <col min="977" max="977" width="10.55" hidden="false" outlineLevel="1" customWidth="1"/>
    <col min="978" max="978" width="10.55" hidden="false" outlineLevel="1" customWidth="1"/>
    <col min="979" max="979" width="10.55" hidden="false" outlineLevel="1" customWidth="1"/>
    <col min="980" max="980" width="10.55" hidden="false" outlineLevel="1" customWidth="1"/>
    <col min="981" max="981" width="10.55" hidden="false" outlineLevel="1" customWidth="1"/>
    <col min="982" max="982" width="10.55" hidden="false" outlineLevel="1" customWidth="1"/>
    <col min="983" max="983" width="10.55" hidden="false" outlineLevel="1" customWidth="1"/>
    <col min="984" max="984" width="10.55" hidden="false" outlineLevel="1" customWidth="1"/>
    <col min="985" max="985" width="10.55" hidden="false" outlineLevel="1" customWidth="1"/>
    <col min="986" max="986" width="10.55" hidden="false" outlineLevel="1" customWidth="1"/>
    <col min="987" max="987" width="10.55" hidden="false" outlineLevel="1" customWidth="1"/>
    <col min="988" max="988" width="10.55" hidden="false" outlineLevel="1" customWidth="1"/>
    <col min="989" max="989" width="10.55" hidden="false" outlineLevel="1" customWidth="1"/>
    <col min="990" max="990" width="10.55" hidden="false" outlineLevel="1" customWidth="1"/>
    <col min="991" max="991" width="10.55" hidden="false" outlineLevel="1" customWidth="1"/>
    <col min="992" max="992" width="10.55" hidden="false" outlineLevel="1" customWidth="1"/>
    <col min="993" max="993" width="10.55" hidden="false" outlineLevel="1" customWidth="1"/>
    <col min="994" max="994" width="10.55" hidden="false" outlineLevel="1" customWidth="1"/>
    <col min="995" max="995" width="10.55" hidden="false" outlineLevel="1" customWidth="1"/>
    <col min="996" max="996" width="10.55" hidden="false" outlineLevel="1" customWidth="1"/>
    <col min="997" max="997" width="10.55" hidden="false" outlineLevel="1" customWidth="1"/>
    <col min="998" max="998" width="10.55" hidden="false" outlineLevel="1" customWidth="1"/>
    <col min="999" max="999" width="10.55" hidden="false" outlineLevel="1" customWidth="1"/>
    <col min="1000" max="1000" width="10.55" hidden="false" outlineLevel="1" customWidth="1"/>
    <col min="1001" max="1001" width="10.55" hidden="false" outlineLevel="1" customWidth="1"/>
    <col min="1002" max="1002" width="10.55" hidden="false" outlineLevel="1" customWidth="1"/>
    <col min="1003" max="1003" width="10.55" hidden="false" outlineLevel="1" customWidth="1"/>
    <col min="1004" max="1004" width="10.55" hidden="false" outlineLevel="1" customWidth="1"/>
    <col min="1005" max="1005" width="10.55" hidden="false" outlineLevel="1" customWidth="1"/>
    <col min="1006" max="1006" width="10.55" hidden="false" outlineLevel="1" customWidth="1"/>
    <col min="1007" max="1007" width="10.55" hidden="false" outlineLevel="1" customWidth="1"/>
    <col min="1008" max="1008" width="10.55" hidden="false" outlineLevel="1" customWidth="1"/>
    <col min="1009" max="1009" width="10.55" hidden="false" outlineLevel="1" customWidth="1"/>
    <col min="1010" max="1010" width="10.55" hidden="false" outlineLevel="1" customWidth="1"/>
    <col min="1011" max="1011" width="10.55" hidden="false" outlineLevel="1" customWidth="1"/>
    <col min="1012" max="1012" width="10.55" hidden="false" outlineLevel="1" customWidth="1"/>
    <col min="1013" max="1013" width="10.55" hidden="false" outlineLevel="1" customWidth="1"/>
    <col min="1014" max="1014" width="10.55" hidden="false" outlineLevel="1" customWidth="1"/>
    <col min="1015" max="1015" width="10.55" hidden="false" outlineLevel="1" customWidth="1"/>
    <col min="1016" max="1016" width="10.55" hidden="false" outlineLevel="1" customWidth="1"/>
    <col min="1017" max="1017" width="10.55" hidden="false" outlineLevel="1" customWidth="1"/>
    <col min="1018" max="1018" width="10.55" hidden="false" outlineLevel="1" customWidth="1"/>
    <col min="1019" max="1019" width="10.55" hidden="false" outlineLevel="1" customWidth="1"/>
    <col min="1020" max="1020" width="10.55" hidden="false" outlineLevel="1" customWidth="1"/>
    <col min="1021" max="1021" width="10.55" hidden="false" outlineLevel="1" customWidth="1"/>
    <col min="1022" max="1022" width="10.55" hidden="false" outlineLevel="1" customWidth="1"/>
    <col min="1023" max="1023" width="10.55" hidden="false" outlineLevel="1" customWidth="1"/>
    <col min="1024" max="1024" width="10.55" hidden="false" outlineLevel="1" customWidth="1"/>
    <col min="1025" max="1025" width="10.55" hidden="false" outlineLevel="1" customWidth="1"/>
  </cols>
  <sheetData>
    <row r="1" ht="60" customHeight="1">
      <c r="A1" s="1685" t="s">
        <v>3222</v>
      </c>
      <c r="B1" s="1685"/>
      <c r="C1" s="1685"/>
      <c r="D1" s="1685"/>
      <c r="E1" s="1685"/>
      <c r="F1" s="1685"/>
      <c r="G1" s="1685"/>
      <c r="H1" s="1685"/>
      <c r="I1" s="1685"/>
      <c r="J1" s="1685"/>
      <c r="K1" s="1685"/>
    </row>
    <row r="2" ht="29.25" customHeight="1">
      <c r="B2" s="1686"/>
      <c r="F2"/>
      <c r="J2"/>
    </row>
    <row r="3" ht="12.75" customHeight="1">
      <c r="A3" s="1687" t="s">
        <v>3223</v>
      </c>
      <c r="B3" s="646" t="s">
        <v>840</v>
      </c>
      <c r="C3" s="1688" t="s">
        <v>3224</v>
      </c>
      <c r="D3" s="1688"/>
      <c r="E3" s="1688"/>
      <c r="F3" s="1688"/>
      <c r="G3" s="1688"/>
      <c r="H3" s="1688" t="s">
        <v>3225</v>
      </c>
      <c r="I3" s="1171"/>
      <c r="J3" s="1625" t="s">
        <v>3045</v>
      </c>
      <c r="L3" s="1171" t="s">
        <v>3226</v>
      </c>
      <c r="M3" s="1171" t="s">
        <v>2905</v>
      </c>
    </row>
    <row r="4" ht="15.75" customHeight="1">
      <c r="A4" s="1687"/>
      <c r="B4" s="646"/>
      <c r="C4" s="646"/>
      <c r="D4" s="646"/>
      <c r="E4" s="646"/>
      <c r="F4" s="1523"/>
      <c r="G4" s="646"/>
      <c r="H4" s="646"/>
      <c r="I4" s="1171"/>
      <c r="J4" s="1625"/>
      <c r="L4" s="1171" t="n">
        <v>0</v>
      </c>
      <c r="M4" s="1171" t="n">
        <v>0</v>
      </c>
      <c r="O4" s="646"/>
    </row>
    <row r="5" ht="26.25" customHeight="1">
      <c r="A5" s="1687"/>
      <c r="B5" s="646"/>
      <c r="C5" s="1165" t="s">
        <v>2822</v>
      </c>
      <c r="D5" s="1165"/>
      <c r="E5" s="1165"/>
      <c r="F5" s="1165"/>
      <c r="G5" s="1171" t="s">
        <v>2823</v>
      </c>
      <c r="H5" s="1171" t="s">
        <v>2824</v>
      </c>
      <c r="I5" s="1165"/>
      <c r="J5" s="1689" t="n">
        <f aca="false">MIN(35,SUM(H6,H15,H22))</f>
        <v>22</v>
      </c>
      <c r="L5" s="1192" t="n">
        <v>0.5</v>
      </c>
      <c r="M5" s="1192" t="n">
        <v>4</v>
      </c>
      <c r="O5" s="646"/>
    </row>
    <row r="6" ht="12.75" customHeight="1">
      <c r="A6" s="1687"/>
      <c r="B6" s="646"/>
      <c r="C6" s="1460" t="s">
        <v>3227</v>
      </c>
      <c r="D6" s="1460"/>
      <c r="E6" s="1460"/>
      <c r="F6" s="1529" t="n">
        <f aca="false">IF(E7&lt;L4,M4,IF(E7&lt;L5,M5,IF(E7&lt;L6,M6,IF(E7&lt;L7,M7,IF(E7&lt;L8,M8,M9)))))</f>
        <v>12</v>
      </c>
      <c r="G6" s="1454" t="n">
        <f aca="false">F6+F9</f>
        <v>16</v>
      </c>
      <c r="H6" s="1690" t="n">
        <f aca="false">MIN(20,G6)</f>
        <v>16</v>
      </c>
      <c r="I6" s="1192"/>
      <c r="J6" s="1689"/>
      <c r="L6" s="1171" t="n">
        <v>1</v>
      </c>
      <c r="M6" s="1171" t="n">
        <v>8</v>
      </c>
      <c r="O6" s="646"/>
    </row>
    <row r="7" ht="12.75" customHeight="1">
      <c r="A7" s="1687"/>
      <c r="B7" s="646"/>
      <c r="C7" s="1250" t="s">
        <v>3228</v>
      </c>
      <c r="D7" s="646"/>
      <c r="E7" s="1691" t="n">
        <f aca="false">'Saisie et Calculateur'!D1224</f>
        <v>1.49177985405155</v>
      </c>
      <c r="F7" s="1529"/>
      <c r="G7" s="1454"/>
      <c r="H7" s="1690"/>
      <c r="I7" s="1192"/>
      <c r="J7" s="1689"/>
      <c r="L7" s="1171" t="n">
        <v>1.5</v>
      </c>
      <c r="M7" s="1171" t="n">
        <v>12</v>
      </c>
      <c r="O7" s="646"/>
    </row>
    <row r="8" ht="12.75" customHeight="1">
      <c r="A8" s="1687"/>
      <c r="B8" s="646"/>
      <c r="C8" s="1250"/>
      <c r="D8" s="646"/>
      <c r="E8" s="646"/>
      <c r="F8" s="1529"/>
      <c r="G8" s="1454"/>
      <c r="H8" s="1690"/>
      <c r="I8" s="1192"/>
      <c r="J8" s="1689"/>
      <c r="L8" s="1171" t="n">
        <v>2.5</v>
      </c>
      <c r="M8" s="1171" t="n">
        <v>16</v>
      </c>
      <c r="O8" s="646"/>
    </row>
    <row r="9" ht="12.75" customHeight="1">
      <c r="A9" s="1687"/>
      <c r="B9" s="646"/>
      <c r="C9" s="1545" t="s">
        <v>3229</v>
      </c>
      <c r="D9" s="1545"/>
      <c r="E9" s="1545"/>
      <c r="F9" s="1644" t="n">
        <f aca="false">'Saisie et Calculateur'!D1228</f>
        <v>4</v>
      </c>
      <c r="G9" s="1454"/>
      <c r="H9" s="1690"/>
      <c r="I9" s="1192"/>
      <c r="J9" s="1689"/>
      <c r="L9" s="1192"/>
      <c r="M9" s="1171" t="n">
        <v>20</v>
      </c>
      <c r="O9" s="646"/>
    </row>
    <row r="10" ht="15" customHeight="1">
      <c r="A10" s="1687"/>
      <c r="B10" s="1686"/>
      <c r="C10" s="646"/>
      <c r="D10" s="646"/>
      <c r="E10" s="646"/>
      <c r="F10" s="1523"/>
      <c r="G10" s="646"/>
      <c r="H10" s="646"/>
      <c r="I10" s="646"/>
      <c r="J10" s="1689"/>
      <c r="O10" s="646"/>
    </row>
    <row r="11" ht="15" customHeight="1">
      <c r="A11" s="1687"/>
      <c r="B11" s="1686"/>
      <c r="C11" s="646"/>
      <c r="D11" s="646"/>
      <c r="E11" s="646"/>
      <c r="F11" s="1523"/>
      <c r="G11" s="646"/>
      <c r="H11" s="646"/>
      <c r="I11" s="646"/>
      <c r="J11" s="1689"/>
      <c r="L11" s="646"/>
      <c r="M11" s="646"/>
      <c r="N11" s="646"/>
      <c r="O11" s="646"/>
    </row>
    <row r="12" ht="12.75" customHeight="1">
      <c r="A12" s="1687"/>
      <c r="B12" s="646" t="s">
        <v>865</v>
      </c>
      <c r="C12" s="1688" t="s">
        <v>3230</v>
      </c>
      <c r="D12" s="1688"/>
      <c r="E12" s="1688"/>
      <c r="F12" s="1688"/>
      <c r="G12" s="1688"/>
      <c r="H12" s="1692" t="s">
        <v>3231</v>
      </c>
      <c r="I12" s="1356"/>
      <c r="J12" s="1689"/>
      <c r="L12" s="1636"/>
      <c r="M12" s="1693"/>
      <c r="N12" s="646"/>
      <c r="O12" s="646"/>
    </row>
    <row r="13" ht="15" customHeight="1">
      <c r="A13" s="1687"/>
      <c r="B13" s="646"/>
      <c r="C13" s="1165"/>
      <c r="D13" s="1165"/>
      <c r="E13" s="1165"/>
      <c r="F13" s="1694"/>
      <c r="G13" s="1165"/>
      <c r="H13" s="1165"/>
      <c r="I13" s="1165"/>
      <c r="J13" s="1689"/>
      <c r="L13" s="1695" t="s">
        <v>3232</v>
      </c>
      <c r="M13" s="1696" t="s">
        <v>2855</v>
      </c>
      <c r="N13" s="646"/>
      <c r="O13" s="646"/>
      <c r="P13" s="193"/>
    </row>
    <row r="14" ht="25.5" customHeight="1">
      <c r="A14" s="1687"/>
      <c r="B14" s="646"/>
      <c r="C14" s="1165" t="s">
        <v>2822</v>
      </c>
      <c r="D14" s="1165"/>
      <c r="E14" s="1165"/>
      <c r="F14" s="1165"/>
      <c r="G14" s="1171" t="s">
        <v>2823</v>
      </c>
      <c r="H14" s="1171" t="s">
        <v>2824</v>
      </c>
      <c r="I14" s="1165"/>
      <c r="J14" s="1689"/>
      <c r="L14" s="1697" t="n">
        <v>0.3</v>
      </c>
      <c r="M14" s="1171" t="n">
        <v>12</v>
      </c>
      <c r="N14" s="646"/>
      <c r="O14" s="646"/>
    </row>
    <row r="15" ht="12.75" customHeight="1">
      <c r="A15" s="1687"/>
      <c r="B15" s="646"/>
      <c r="C15" s="646" t="s">
        <v>3233</v>
      </c>
      <c r="D15" s="1369"/>
      <c r="E15" s="1369"/>
      <c r="F15" s="1672" t="n">
        <f aca="false">IF(E16&lt;0,0,IF(E16&lt;L14,M14,IF(E16&lt;L15,M15,IF(E16&lt;L16,M16,M17))))</f>
        <v>0</v>
      </c>
      <c r="G15" s="1454" t="n">
        <f aca="false">F15</f>
        <v>0</v>
      </c>
      <c r="H15" s="1690" t="n">
        <f aca="false">MIN(12,G15)</f>
        <v>0</v>
      </c>
      <c r="I15" s="1192"/>
      <c r="J15" s="1689"/>
      <c r="L15" s="1450" t="n">
        <v>0.45</v>
      </c>
      <c r="M15" s="1171" t="n">
        <v>8</v>
      </c>
      <c r="N15" s="646"/>
      <c r="O15" s="646"/>
    </row>
    <row r="16" ht="12.75" customHeight="1">
      <c r="A16" s="1687"/>
      <c r="B16" s="646"/>
      <c r="C16" s="1534"/>
      <c r="D16" s="1655" t="s">
        <v>3234</v>
      </c>
      <c r="E16" s="1540" t="n">
        <f aca="false">'Saisie et Calculateur'!D1233</f>
        <v>0.661008831415309</v>
      </c>
      <c r="F16" s="1672"/>
      <c r="G16" s="1454"/>
      <c r="H16" s="1690"/>
      <c r="I16" s="1192"/>
      <c r="J16" s="1689"/>
      <c r="L16" s="1450" t="n">
        <v>0.6</v>
      </c>
      <c r="M16" s="1171" t="n">
        <v>4</v>
      </c>
      <c r="N16" s="646"/>
      <c r="O16" s="1698"/>
    </row>
    <row r="17" ht="15" customHeight="1">
      <c r="A17" s="1687"/>
      <c r="B17" s="646"/>
      <c r="C17" s="646"/>
      <c r="D17" s="646"/>
      <c r="E17" s="646"/>
      <c r="F17" s="1523"/>
      <c r="G17" s="646"/>
      <c r="H17" s="646"/>
      <c r="I17" s="646"/>
      <c r="J17" s="1689"/>
      <c r="L17" s="1380"/>
      <c r="M17" s="1463" t="n">
        <v>0</v>
      </c>
      <c r="N17" s="646"/>
      <c r="O17" s="646"/>
    </row>
    <row r="18" ht="15.75" customHeight="1">
      <c r="A18" s="1687"/>
      <c r="B18" s="646"/>
      <c r="C18" s="646"/>
      <c r="D18" s="646"/>
      <c r="E18" s="646"/>
      <c r="F18" s="1523"/>
      <c r="G18" s="646"/>
      <c r="H18" s="646"/>
      <c r="I18" s="646"/>
      <c r="J18" s="1689"/>
      <c r="L18" s="646"/>
      <c r="M18" s="646"/>
      <c r="N18" s="646"/>
      <c r="O18" s="646"/>
    </row>
    <row r="19" ht="12.75" customHeight="1">
      <c r="A19" s="1687"/>
      <c r="B19" s="646" t="s">
        <v>859</v>
      </c>
      <c r="C19" s="1688" t="s">
        <v>3235</v>
      </c>
      <c r="D19" s="1688"/>
      <c r="E19" s="1688"/>
      <c r="F19" s="1688"/>
      <c r="G19" s="1688"/>
      <c r="H19" s="1692" t="s">
        <v>2989</v>
      </c>
      <c r="I19" s="1356"/>
      <c r="J19" s="1689"/>
      <c r="L19" s="1636"/>
      <c r="M19" s="1693"/>
      <c r="N19" s="646"/>
      <c r="O19" s="646"/>
      <c r="R19" s="646"/>
    </row>
    <row r="20" ht="12.75" customHeight="1">
      <c r="A20" s="1687"/>
      <c r="B20" s="646"/>
      <c r="C20" s="1165"/>
      <c r="D20" s="1165"/>
      <c r="E20" s="1165"/>
      <c r="F20" s="1694"/>
      <c r="G20" s="1165"/>
      <c r="H20" s="1165"/>
      <c r="I20" s="1165"/>
      <c r="J20" s="1689"/>
      <c r="L20" s="1695" t="s">
        <v>3236</v>
      </c>
      <c r="M20" s="1696" t="s">
        <v>2895</v>
      </c>
      <c r="N20" s="646"/>
      <c r="O20" s="646"/>
      <c r="R20" s="646"/>
      <c r="S20" s="646"/>
      <c r="T20" s="646"/>
      <c r="U20" s="646"/>
    </row>
    <row r="21" ht="30" customHeight="1">
      <c r="A21" s="1687"/>
      <c r="B21" s="646"/>
      <c r="C21" s="1165" t="s">
        <v>2822</v>
      </c>
      <c r="D21" s="1165"/>
      <c r="E21" s="1165"/>
      <c r="F21" s="1165"/>
      <c r="G21" s="1171" t="s">
        <v>2823</v>
      </c>
      <c r="H21" s="1171" t="s">
        <v>2824</v>
      </c>
      <c r="I21" s="1165"/>
      <c r="J21" s="1689"/>
      <c r="L21" s="1450" t="n">
        <v>0.3</v>
      </c>
      <c r="M21" s="1171" t="n">
        <v>6</v>
      </c>
      <c r="N21" s="1316"/>
      <c r="O21" s="646"/>
      <c r="R21" s="646"/>
      <c r="S21" s="646"/>
      <c r="T21" s="646"/>
      <c r="U21" s="646"/>
    </row>
    <row r="22" ht="12.75" customHeight="1">
      <c r="A22" s="1687"/>
      <c r="B22" s="646"/>
      <c r="C22" s="646" t="s">
        <v>3237</v>
      </c>
      <c r="D22" s="1369"/>
      <c r="E22" s="1369"/>
      <c r="F22" s="1672" t="n">
        <f aca="false">IF(E23&lt;L21,M21,IF(E23&lt;L22,M22,M23))</f>
        <v>6</v>
      </c>
      <c r="G22" s="1454" t="n">
        <f aca="false">F22</f>
        <v>6</v>
      </c>
      <c r="H22" s="1690" t="n">
        <f aca="false">MIN(6,G22)</f>
        <v>6</v>
      </c>
      <c r="I22" s="1192"/>
      <c r="J22" s="1689"/>
      <c r="L22" s="1450" t="n">
        <v>0.6</v>
      </c>
      <c r="M22" s="1171" t="n">
        <v>3</v>
      </c>
      <c r="N22" s="1316"/>
      <c r="O22" s="646"/>
      <c r="S22" s="646"/>
      <c r="T22" s="646"/>
      <c r="U22" s="646"/>
    </row>
    <row r="23" ht="12.75" customHeight="1">
      <c r="A23" s="1687"/>
      <c r="B23" s="646"/>
      <c r="C23" s="1534"/>
      <c r="D23" s="1655" t="s">
        <v>1130</v>
      </c>
      <c r="E23" s="1536" t="n">
        <f aca="false">'Saisie et Calculateur'!D1238</f>
        <v>0.145652369202033</v>
      </c>
      <c r="F23" s="1672"/>
      <c r="G23" s="1454"/>
      <c r="H23" s="1690"/>
      <c r="I23" s="1192"/>
      <c r="J23" s="1689"/>
      <c r="L23" s="1450"/>
      <c r="M23" s="1171" t="n">
        <v>0</v>
      </c>
      <c r="N23" s="646"/>
      <c r="O23" s="646"/>
      <c r="S23" s="646"/>
      <c r="T23" s="646"/>
      <c r="U23" s="646"/>
    </row>
    <row r="24" ht="13.5" customHeight="1">
      <c r="A24" s="1687"/>
      <c r="B24" s="646"/>
      <c r="C24" s="646"/>
      <c r="D24" s="646"/>
      <c r="E24" s="646"/>
      <c r="F24" s="1699"/>
      <c r="G24" s="646"/>
      <c r="H24" s="646"/>
      <c r="I24" s="646"/>
      <c r="J24" s="1689"/>
    </row>
    <row r="25" ht="13.5" customHeight="1"/>
    <row r="26" ht="15" customHeight="1">
      <c r="A26" s="1687" t="s">
        <v>3238</v>
      </c>
      <c r="B26" s="646" t="s">
        <v>3239</v>
      </c>
      <c r="C26" s="1688" t="s">
        <v>3240</v>
      </c>
      <c r="D26" s="1688"/>
      <c r="E26" s="1688"/>
      <c r="F26" s="1688"/>
      <c r="G26" s="1688"/>
      <c r="H26" s="1688" t="s">
        <v>3241</v>
      </c>
      <c r="I26" s="1356"/>
      <c r="J26" s="1689" t="n">
        <f aca="false">MIN(25,SUM(H29+H40+H53+H60))</f>
        <v>20</v>
      </c>
      <c r="L26" s="1171" t="s">
        <v>3242</v>
      </c>
      <c r="M26" s="1171" t="s">
        <v>2895</v>
      </c>
      <c r="O26" s="1627" t="s">
        <v>3243</v>
      </c>
      <c r="P26" s="1627" t="s">
        <v>2895</v>
      </c>
    </row>
    <row r="27" ht="15" customHeight="1">
      <c r="A27" s="1687"/>
      <c r="B27" s="646"/>
      <c r="C27" s="1165"/>
      <c r="D27" s="1165"/>
      <c r="E27" s="1165"/>
      <c r="F27" s="1694"/>
      <c r="G27" s="1165"/>
      <c r="H27" s="1165"/>
      <c r="I27" s="1165"/>
      <c r="J27" s="1689"/>
      <c r="L27" s="1450" t="n">
        <v>0.5</v>
      </c>
      <c r="M27" s="1171" t="n">
        <v>8</v>
      </c>
      <c r="O27" s="1627" t="n">
        <v>3</v>
      </c>
      <c r="P27" s="1627" t="n">
        <v>4</v>
      </c>
    </row>
    <row r="28" ht="26.25" customHeight="1">
      <c r="A28" s="1687"/>
      <c r="B28" s="646"/>
      <c r="C28" s="1165" t="s">
        <v>2822</v>
      </c>
      <c r="D28" s="1165"/>
      <c r="E28" s="1165"/>
      <c r="F28" s="1165"/>
      <c r="G28" s="1171" t="s">
        <v>2823</v>
      </c>
      <c r="H28" s="1171" t="s">
        <v>2824</v>
      </c>
      <c r="I28" s="1165"/>
      <c r="J28" s="1689"/>
      <c r="L28" s="1450" t="n">
        <v>0.75</v>
      </c>
      <c r="M28" s="1171" t="n">
        <v>4</v>
      </c>
      <c r="N28" s="1632"/>
      <c r="O28" s="1627" t="n">
        <v>1</v>
      </c>
      <c r="P28" s="1627" t="n">
        <v>2</v>
      </c>
    </row>
    <row r="29" ht="28.5" customHeight="1">
      <c r="A29" s="1687"/>
      <c r="B29" s="646"/>
      <c r="C29" s="1460" t="s">
        <v>3244</v>
      </c>
      <c r="D29" s="1460"/>
      <c r="E29" s="1460"/>
      <c r="F29" s="1529" t="n">
        <f aca="false">IF(E30&lt;L27,M27,IF(E30&lt;L28,M28,IF(E30&lt;L29,M29,M30)))</f>
        <v>4</v>
      </c>
      <c r="G29" s="1454" t="n">
        <f aca="false">F29+F32</f>
        <v>6</v>
      </c>
      <c r="H29" s="1690" t="n">
        <f aca="false">MIN(10,G29)</f>
        <v>6</v>
      </c>
      <c r="I29" s="1700"/>
      <c r="J29" s="1689"/>
      <c r="K29" s="1302"/>
      <c r="L29" s="1450" t="n">
        <v>0.95</v>
      </c>
      <c r="M29" s="1171" t="n">
        <v>2</v>
      </c>
      <c r="N29" s="1632"/>
      <c r="O29" s="1627"/>
      <c r="P29" s="1627" t="n">
        <v>0</v>
      </c>
    </row>
    <row r="30" ht="12.75" customHeight="1">
      <c r="A30" s="1687"/>
      <c r="B30" s="646"/>
      <c r="C30" s="1250"/>
      <c r="D30" s="634" t="s">
        <v>1130</v>
      </c>
      <c r="E30" s="1295" t="n">
        <f aca="false">'Saisie et Calculateur'!J1250</f>
        <v>0.6</v>
      </c>
      <c r="F30" s="1529"/>
      <c r="G30" s="1454"/>
      <c r="H30" s="1690"/>
      <c r="I30" s="1700"/>
      <c r="J30" s="1689"/>
      <c r="K30" s="1302"/>
      <c r="L30" s="646"/>
      <c r="M30" s="1171" t="n">
        <v>0</v>
      </c>
    </row>
    <row r="31" ht="12.75" customHeight="1">
      <c r="A31" s="1687"/>
      <c r="B31" s="646"/>
      <c r="C31" s="1250"/>
      <c r="D31" s="634"/>
      <c r="E31" s="1295"/>
      <c r="F31" s="1529"/>
      <c r="G31" s="1454"/>
      <c r="H31" s="1690"/>
      <c r="I31" s="1700"/>
      <c r="J31" s="1689"/>
      <c r="K31" s="646"/>
      <c r="L31" s="646"/>
      <c r="M31" s="1171"/>
    </row>
    <row r="32" ht="12.75" customHeight="1">
      <c r="A32" s="1687"/>
      <c r="B32" s="646"/>
      <c r="C32" s="1538" t="s">
        <v>3245</v>
      </c>
      <c r="D32" s="1538"/>
      <c r="E32" s="1538"/>
      <c r="F32" s="1539" t="n">
        <f aca="false">IF(ISNUMBER(E34)=FALSE(),0,IF(E34="0",P27,IF(E34&gt;O27,P27,IF(E34&gt;O28,P28,P29))))</f>
        <v>2</v>
      </c>
      <c r="G32" s="1454"/>
      <c r="H32" s="1690"/>
      <c r="I32" s="1165"/>
      <c r="J32" s="1689"/>
      <c r="K32" s="646"/>
      <c r="L32" s="1356"/>
    </row>
    <row r="33" ht="12.75" customHeight="1">
      <c r="A33" s="1687"/>
      <c r="B33" s="646"/>
      <c r="C33" s="1566" t="s">
        <v>3246</v>
      </c>
      <c r="D33" s="1566"/>
      <c r="E33" s="1566"/>
      <c r="F33" s="1539"/>
      <c r="G33" s="1454"/>
      <c r="H33" s="1690"/>
      <c r="I33" s="1700"/>
      <c r="J33" s="1689"/>
      <c r="K33" s="646"/>
      <c r="L33" s="646"/>
    </row>
    <row r="34" ht="12.75" customHeight="1">
      <c r="A34" s="1687"/>
      <c r="B34" s="646"/>
      <c r="C34" s="1534"/>
      <c r="D34" s="1655" t="s">
        <v>3247</v>
      </c>
      <c r="E34" s="1701" t="n">
        <f aca="false">'Saisie et Calculateur'!J1261</f>
        <v>2</v>
      </c>
      <c r="F34" s="1539"/>
      <c r="G34" s="1454"/>
      <c r="H34" s="1690"/>
      <c r="I34" s="1700"/>
      <c r="J34" s="1689"/>
      <c r="K34" s="646"/>
      <c r="L34" s="646"/>
    </row>
    <row r="35" ht="15" customHeight="1">
      <c r="A35" s="1687"/>
      <c r="B35" s="646"/>
      <c r="C35" s="646"/>
      <c r="D35" s="646"/>
      <c r="E35" s="1702"/>
      <c r="G35" s="646"/>
      <c r="H35" s="646"/>
      <c r="I35" s="646"/>
      <c r="J35" s="1689"/>
      <c r="N35" s="193"/>
    </row>
    <row r="36" ht="12.75" customHeight="1">
      <c r="A36" s="1687"/>
      <c r="B36" s="646"/>
      <c r="C36" s="646"/>
      <c r="D36" s="646"/>
      <c r="E36" s="646"/>
      <c r="F36" s="1523"/>
      <c r="G36" s="646"/>
      <c r="H36" s="646"/>
      <c r="I36" s="646"/>
      <c r="J36" s="1689"/>
    </row>
    <row r="37" ht="12.75" customHeight="1">
      <c r="A37" s="1687"/>
      <c r="B37" s="646" t="s">
        <v>945</v>
      </c>
      <c r="C37" s="1688" t="s">
        <v>3248</v>
      </c>
      <c r="D37" s="1688"/>
      <c r="E37" s="1688"/>
      <c r="F37" s="1688"/>
      <c r="G37" s="1688"/>
      <c r="H37" s="1692" t="s">
        <v>3241</v>
      </c>
      <c r="I37" s="1356"/>
      <c r="J37" s="1689"/>
    </row>
    <row r="38" ht="12.75" customHeight="1">
      <c r="A38" s="1687"/>
      <c r="B38" s="646"/>
      <c r="C38" s="1165"/>
      <c r="D38" s="1165"/>
      <c r="E38" s="1165"/>
      <c r="F38" s="1694"/>
      <c r="G38" s="1165"/>
      <c r="H38" s="1165"/>
      <c r="I38" s="1165"/>
      <c r="J38" s="1689"/>
    </row>
    <row r="39" ht="24.75" customHeight="1">
      <c r="A39" s="1687"/>
      <c r="B39" s="646"/>
      <c r="C39" s="1165" t="s">
        <v>2822</v>
      </c>
      <c r="D39" s="1165"/>
      <c r="E39" s="1165"/>
      <c r="F39" s="1165"/>
      <c r="G39" s="1171" t="s">
        <v>2823</v>
      </c>
      <c r="H39" s="1171" t="s">
        <v>2824</v>
      </c>
      <c r="I39" s="1165"/>
      <c r="J39" s="1689"/>
      <c r="L39" s="1171" t="s">
        <v>3249</v>
      </c>
      <c r="M39" s="1171" t="s">
        <v>2895</v>
      </c>
      <c r="O39" s="1171" t="s">
        <v>3250</v>
      </c>
      <c r="P39" s="1171" t="s">
        <v>2895</v>
      </c>
      <c r="Q39" s="1128"/>
      <c r="S39" s="1171" t="s">
        <v>3251</v>
      </c>
    </row>
    <row r="40" ht="15" customHeight="1">
      <c r="A40" s="1687"/>
      <c r="B40" s="646"/>
      <c r="C40" s="1460" t="s">
        <v>3252</v>
      </c>
      <c r="D40" s="1460"/>
      <c r="E40" s="1460"/>
      <c r="F40" s="1529" t="n">
        <f aca="false">IF(E42=0,0,IF(E42&lt;L40,M40,IF(E42&lt;L41,M41,M42)))</f>
        <v>3</v>
      </c>
      <c r="G40" s="1454" t="n">
        <f aca="false">IF(F40+F44&lt;0,0,F40+F44)</f>
        <v>4</v>
      </c>
      <c r="H40" s="1690" t="n">
        <f aca="false">MIN(10,G40)</f>
        <v>4</v>
      </c>
      <c r="I40" s="1192"/>
      <c r="J40" s="1689"/>
      <c r="L40" s="1450" t="n">
        <v>0.33</v>
      </c>
      <c r="M40" s="1171" t="n">
        <v>6</v>
      </c>
      <c r="O40" s="1171" t="s">
        <v>952</v>
      </c>
      <c r="P40" s="1171" t="n">
        <v>6</v>
      </c>
      <c r="R40" s="646" t="s">
        <v>253</v>
      </c>
      <c r="S40" s="646" t="n">
        <v>-2</v>
      </c>
    </row>
    <row r="41" ht="12.75" customHeight="1">
      <c r="A41" s="1687"/>
      <c r="B41" s="646"/>
      <c r="C41" s="1250" t="s">
        <v>3253</v>
      </c>
      <c r="D41" s="646"/>
      <c r="E41" s="1703"/>
      <c r="F41" s="1529"/>
      <c r="G41" s="1454"/>
      <c r="H41" s="1690"/>
      <c r="I41" s="1192"/>
      <c r="J41" s="1689"/>
      <c r="L41" s="1450" t="n">
        <v>0.66</v>
      </c>
      <c r="M41" s="1171" t="n">
        <v>3</v>
      </c>
      <c r="N41" s="1632"/>
      <c r="O41" s="1171" t="s">
        <v>953</v>
      </c>
      <c r="P41" s="1171" t="n">
        <v>6</v>
      </c>
      <c r="R41" s="646" t="s">
        <v>254</v>
      </c>
      <c r="S41" s="646" t="n">
        <v>0</v>
      </c>
    </row>
    <row r="42" ht="13.5" customHeight="1">
      <c r="A42" s="1687"/>
      <c r="B42" s="646"/>
      <c r="C42" s="1250"/>
      <c r="D42" s="634" t="s">
        <v>1130</v>
      </c>
      <c r="E42" s="1295" t="n">
        <f aca="false">'Saisie et Calculateur'!D1309</f>
        <v>0.6</v>
      </c>
      <c r="F42" s="1529"/>
      <c r="G42" s="1454"/>
      <c r="H42" s="1690"/>
      <c r="I42" s="1192"/>
      <c r="J42" s="1689"/>
      <c r="L42" s="1450"/>
      <c r="M42" s="1171" t="n">
        <v>0</v>
      </c>
      <c r="N42" s="1632"/>
      <c r="O42" s="1171" t="s">
        <v>950</v>
      </c>
      <c r="P42" s="1171" t="n">
        <v>3</v>
      </c>
    </row>
    <row r="43" ht="12.75" customHeight="1">
      <c r="A43" s="1687"/>
      <c r="B43" s="646"/>
      <c r="C43" s="1250"/>
      <c r="D43" s="646"/>
      <c r="E43" s="1704"/>
      <c r="F43" s="1529"/>
      <c r="G43" s="1454"/>
      <c r="H43" s="1690"/>
      <c r="I43" s="1192"/>
      <c r="J43" s="1689"/>
      <c r="L43" s="1450"/>
      <c r="M43" s="1171"/>
      <c r="N43" s="1632"/>
      <c r="O43" s="1171" t="s">
        <v>949</v>
      </c>
      <c r="P43" s="1171" t="n">
        <v>0</v>
      </c>
    </row>
    <row r="44" ht="12.75" customHeight="1">
      <c r="A44" s="1687"/>
      <c r="B44" s="646"/>
      <c r="C44" s="1530" t="s">
        <v>3254</v>
      </c>
      <c r="D44" s="1530"/>
      <c r="E44" s="1530"/>
      <c r="F44" s="1533" t="n">
        <f aca="false">E45+E47</f>
        <v>1</v>
      </c>
      <c r="G44" s="1454"/>
      <c r="H44" s="1690"/>
      <c r="I44" s="1192"/>
      <c r="J44" s="1689"/>
    </row>
    <row r="45" ht="12.75" customHeight="1">
      <c r="A45" s="1687"/>
      <c r="B45" s="646"/>
      <c r="C45" s="1705" t="s">
        <v>3255</v>
      </c>
      <c r="D45" s="1706" t="str">
        <f aca="false">'Saisie et Calculateur'!D1312</f>
        <v>adhésion coop</v>
      </c>
      <c r="E45" s="1461" t="n">
        <f aca="false">IF(D45=O40,P40,IF(D45=O41,P41,IF(D45=O42,P42,P43)))</f>
        <v>3</v>
      </c>
      <c r="F45" s="1533"/>
      <c r="G45" s="1454"/>
      <c r="H45" s="1690"/>
      <c r="I45" s="1192"/>
      <c r="J45" s="1689"/>
      <c r="L45" s="1171"/>
      <c r="S45" s="646"/>
    </row>
    <row r="46" ht="15" customHeight="1">
      <c r="A46" s="1687"/>
      <c r="B46" s="646"/>
      <c r="C46" s="1250" t="s">
        <v>3256</v>
      </c>
      <c r="D46" s="646"/>
      <c r="E46" s="646"/>
      <c r="F46" s="1533"/>
      <c r="G46" s="1454"/>
      <c r="H46" s="1690"/>
      <c r="I46" s="1192"/>
      <c r="J46" s="1689"/>
      <c r="N46" s="193"/>
    </row>
    <row r="47" ht="12.75" customHeight="1">
      <c r="A47" s="1687"/>
      <c r="B47" s="646"/>
      <c r="C47" s="1707" t="s">
        <v>3257</v>
      </c>
      <c r="D47" s="1557" t="str">
        <f aca="false">'Saisie et Calculateur'!D1315</f>
        <v>oui</v>
      </c>
      <c r="E47" s="1708" t="n">
        <f aca="false">IF(D47=R40,S40,S41)</f>
        <v>-2</v>
      </c>
      <c r="F47" s="1533"/>
      <c r="G47" s="1454"/>
      <c r="H47" s="1690"/>
      <c r="I47" s="1192"/>
      <c r="J47" s="1689"/>
    </row>
    <row r="48" ht="12.75" customHeight="1">
      <c r="A48" s="1687"/>
      <c r="B48" s="646"/>
      <c r="C48" s="646"/>
      <c r="D48" s="646"/>
      <c r="E48" s="646"/>
      <c r="F48" s="1523"/>
      <c r="G48" s="646"/>
      <c r="H48" s="646"/>
      <c r="I48" s="646"/>
      <c r="J48" s="1689"/>
    </row>
    <row r="49" ht="12.75" customHeight="1">
      <c r="A49" s="1687"/>
      <c r="B49" s="646"/>
      <c r="C49" s="646"/>
      <c r="D49" s="646"/>
      <c r="E49" s="646"/>
      <c r="F49" s="1523"/>
      <c r="G49" s="646"/>
      <c r="H49" s="646"/>
      <c r="I49" s="646"/>
      <c r="J49" s="1689"/>
    </row>
    <row r="50" ht="12.75" customHeight="1">
      <c r="A50" s="1687"/>
      <c r="B50" s="646" t="s">
        <v>851</v>
      </c>
      <c r="C50" s="1688" t="s">
        <v>3258</v>
      </c>
      <c r="D50" s="1688"/>
      <c r="E50" s="1688"/>
      <c r="F50" s="1688"/>
      <c r="G50" s="1688"/>
      <c r="H50" s="1692" t="s">
        <v>2989</v>
      </c>
      <c r="I50" s="1356"/>
      <c r="J50" s="1689"/>
      <c r="L50" s="1171" t="s">
        <v>3259</v>
      </c>
      <c r="M50" s="1171" t="s">
        <v>2895</v>
      </c>
    </row>
    <row r="51" ht="12.75" customHeight="1">
      <c r="A51" s="1687"/>
      <c r="B51" s="646"/>
      <c r="C51" s="1165"/>
      <c r="D51" s="1165"/>
      <c r="E51" s="1165"/>
      <c r="F51" s="1694"/>
      <c r="G51" s="1165"/>
      <c r="H51" s="1165"/>
      <c r="I51" s="1165"/>
      <c r="J51" s="1689"/>
      <c r="L51" s="1450" t="n">
        <v>0.25</v>
      </c>
      <c r="M51" s="1171" t="n">
        <v>6</v>
      </c>
    </row>
    <row r="52" ht="24.75" customHeight="1">
      <c r="A52" s="1687"/>
      <c r="B52" s="646"/>
      <c r="C52" s="1165" t="s">
        <v>2822</v>
      </c>
      <c r="D52" s="1165"/>
      <c r="E52" s="1165"/>
      <c r="F52" s="1165"/>
      <c r="G52" s="1171" t="s">
        <v>2823</v>
      </c>
      <c r="H52" s="1171" t="s">
        <v>2824</v>
      </c>
      <c r="I52" s="1165"/>
      <c r="J52" s="1689"/>
      <c r="L52" s="1450" t="n">
        <v>0.5</v>
      </c>
      <c r="M52" s="1171" t="n">
        <v>4</v>
      </c>
      <c r="N52" s="1632"/>
    </row>
    <row r="53" ht="12.75" customHeight="1">
      <c r="A53" s="1687"/>
      <c r="B53" s="646"/>
      <c r="C53" s="1128" t="s">
        <v>3260</v>
      </c>
      <c r="D53" s="1369"/>
      <c r="E53" s="1369"/>
      <c r="F53" s="1672" t="n">
        <f aca="false">IF(E54&lt;0,0,IF(E54&lt;L51,M51,IF(E54&lt;L52,M52,IF(E54&lt;L53,M53,M54))))</f>
        <v>6</v>
      </c>
      <c r="G53" s="1454" t="n">
        <f aca="false">F53</f>
        <v>6</v>
      </c>
      <c r="H53" s="1690" t="n">
        <f aca="false">MIN(6,G53)</f>
        <v>6</v>
      </c>
      <c r="I53" s="1192"/>
      <c r="J53" s="1689"/>
      <c r="L53" s="1472" t="n">
        <v>1</v>
      </c>
      <c r="M53" s="1165" t="n">
        <v>2</v>
      </c>
      <c r="N53" s="1632"/>
      <c r="O53" s="646"/>
    </row>
    <row r="54" ht="12.75" customHeight="1">
      <c r="A54" s="1687"/>
      <c r="B54" s="646"/>
      <c r="C54" s="1534"/>
      <c r="D54" s="1655" t="s">
        <v>1130</v>
      </c>
      <c r="E54" s="1536" t="n">
        <f aca="false">'Saisie et Calculateur'!D1320</f>
        <v>0.201788663739274</v>
      </c>
      <c r="F54" s="1672"/>
      <c r="G54" s="1454"/>
      <c r="H54" s="1690"/>
      <c r="I54" s="1192"/>
      <c r="J54" s="1689"/>
      <c r="L54" s="1450"/>
      <c r="M54" s="1171" t="n">
        <v>0</v>
      </c>
      <c r="N54" s="1632"/>
    </row>
    <row r="55" ht="12.75" customHeight="1">
      <c r="A55" s="1687"/>
      <c r="B55" s="646"/>
      <c r="C55" s="646"/>
      <c r="D55" s="646"/>
      <c r="E55" s="646"/>
      <c r="F55" s="1523"/>
      <c r="G55" s="646"/>
      <c r="H55" s="646"/>
      <c r="I55" s="646"/>
      <c r="J55" s="1689"/>
    </row>
    <row r="56" ht="12.75" customHeight="1">
      <c r="A56" s="1687"/>
      <c r="B56" s="646"/>
      <c r="C56" s="646"/>
      <c r="D56" s="646"/>
      <c r="E56" s="646"/>
      <c r="F56" s="1523"/>
      <c r="G56" s="646"/>
      <c r="H56" s="646"/>
      <c r="I56" s="646"/>
      <c r="J56" s="1689"/>
    </row>
    <row r="57" ht="15" customHeight="1">
      <c r="A57" s="1687"/>
      <c r="B57" s="646" t="s">
        <v>874</v>
      </c>
      <c r="C57" s="1688" t="s">
        <v>3261</v>
      </c>
      <c r="D57" s="1688"/>
      <c r="E57" s="1688"/>
      <c r="F57" s="1688"/>
      <c r="G57" s="1688"/>
      <c r="H57" s="1692" t="s">
        <v>2974</v>
      </c>
      <c r="I57" s="1140"/>
      <c r="J57" s="1689"/>
      <c r="L57" s="1356"/>
    </row>
    <row r="58" ht="12.75" customHeight="1">
      <c r="A58" s="1687"/>
      <c r="B58" s="646"/>
      <c r="C58" s="646"/>
      <c r="D58" s="646"/>
      <c r="E58" s="646"/>
      <c r="F58" s="1523"/>
      <c r="G58" s="646"/>
      <c r="H58" s="646"/>
      <c r="I58" s="646"/>
      <c r="J58" s="1689"/>
    </row>
    <row r="59" ht="27.75" customHeight="1">
      <c r="A59" s="1687"/>
      <c r="B59" s="646"/>
      <c r="C59" s="1165" t="s">
        <v>2822</v>
      </c>
      <c r="D59" s="1165"/>
      <c r="E59" s="1165"/>
      <c r="F59" s="1165"/>
      <c r="G59" s="1171" t="s">
        <v>2823</v>
      </c>
      <c r="H59" s="1171" t="s">
        <v>2824</v>
      </c>
      <c r="I59" s="1165"/>
      <c r="J59" s="1689"/>
      <c r="L59" s="1171" t="s">
        <v>3262</v>
      </c>
      <c r="M59" s="1171" t="s">
        <v>2895</v>
      </c>
    </row>
    <row r="60" ht="15" customHeight="1">
      <c r="A60" s="1687"/>
      <c r="B60" s="646"/>
      <c r="C60" s="646" t="s">
        <v>3263</v>
      </c>
      <c r="D60" s="1369"/>
      <c r="E60" s="1369"/>
      <c r="F60" s="1529" t="n">
        <f aca="false">IF(E61=L60,M60,M61)</f>
        <v>4</v>
      </c>
      <c r="G60" s="1454" t="n">
        <f aca="false">F60</f>
        <v>4</v>
      </c>
      <c r="H60" s="1690" t="n">
        <f aca="false">MIN(4,G60)</f>
        <v>4</v>
      </c>
      <c r="I60" s="1192"/>
      <c r="J60" s="1689"/>
      <c r="L60" s="1171" t="s">
        <v>253</v>
      </c>
      <c r="M60" s="1171" t="n">
        <v>4</v>
      </c>
      <c r="N60" s="193"/>
    </row>
    <row r="61" ht="15" customHeight="1">
      <c r="A61" s="1687"/>
      <c r="B61" s="646"/>
      <c r="C61" s="1534"/>
      <c r="D61" s="1709" t="s">
        <v>2843</v>
      </c>
      <c r="E61" s="1701" t="str">
        <f aca="false">'Saisie et Calculateur'!D1325</f>
        <v>oui</v>
      </c>
      <c r="F61" s="1529"/>
      <c r="G61" s="1454"/>
      <c r="H61" s="1690"/>
      <c r="I61" s="1192"/>
      <c r="J61" s="1689"/>
      <c r="L61" s="1641" t="s">
        <v>254</v>
      </c>
      <c r="M61" s="1641" t="n">
        <v>0</v>
      </c>
    </row>
    <row r="62" ht="13.5" customHeight="1">
      <c r="A62" s="1687"/>
      <c r="B62" s="646"/>
      <c r="C62" s="646"/>
      <c r="D62" s="646"/>
      <c r="E62" s="646"/>
      <c r="F62" s="1699"/>
      <c r="G62" s="646"/>
      <c r="H62" s="646"/>
      <c r="I62" s="646"/>
      <c r="J62" s="1689"/>
    </row>
    <row r="63" ht="15" customHeight="1">
      <c r="F63"/>
      <c r="J63"/>
    </row>
    <row r="64" ht="13.5" customHeight="1">
      <c r="A64" s="1710" t="s">
        <v>3264</v>
      </c>
      <c r="B64" s="646" t="s">
        <v>868</v>
      </c>
      <c r="C64" s="1688" t="s">
        <v>3265</v>
      </c>
      <c r="D64" s="1688"/>
      <c r="E64" s="1688"/>
      <c r="F64" s="1688"/>
      <c r="G64" s="1688"/>
      <c r="H64" s="1688" t="s">
        <v>3266</v>
      </c>
      <c r="I64" s="1356"/>
      <c r="J64" s="1711" t="n">
        <f aca="false">MIN(20,SUM(H67,H76))</f>
        <v>14</v>
      </c>
      <c r="L64" s="1356"/>
    </row>
    <row r="65" ht="12" customHeight="1">
      <c r="A65" s="1710"/>
      <c r="B65" s="646"/>
      <c r="C65" s="646"/>
      <c r="D65" s="646"/>
      <c r="E65" s="646"/>
      <c r="F65" s="1523"/>
      <c r="G65" s="646"/>
      <c r="H65" s="646"/>
      <c r="I65" s="646"/>
      <c r="J65" s="1711"/>
      <c r="L65" s="1456" t="s">
        <v>3267</v>
      </c>
      <c r="M65" s="1456"/>
      <c r="O65" s="353"/>
      <c r="P65" s="1712"/>
      <c r="Q65" s="1713" t="s">
        <v>3268</v>
      </c>
      <c r="R65" s="1713"/>
      <c r="S65" s="1713"/>
      <c r="T65" s="1713"/>
      <c r="U65" s="1713"/>
    </row>
    <row r="66" ht="26.25" customHeight="1">
      <c r="A66" s="1710"/>
      <c r="B66" s="646"/>
      <c r="C66" s="1165" t="s">
        <v>2822</v>
      </c>
      <c r="D66" s="1165"/>
      <c r="E66" s="1165"/>
      <c r="F66" s="1165"/>
      <c r="G66" s="1171" t="s">
        <v>2823</v>
      </c>
      <c r="H66" s="1171" t="s">
        <v>2824</v>
      </c>
      <c r="I66" s="1165"/>
      <c r="J66" s="1711"/>
      <c r="L66" s="1714" t="n">
        <f aca="false">E68</f>
        <v>647629</v>
      </c>
      <c r="M66" s="1714" t="n">
        <f aca="false">IF(L66&lt;=P67,P67,IF(L66&lt;=P68,P68,IF(L66&lt;=P69,P69,IF(L66&lt;=P70,P70,P71))))</f>
        <v>999999</v>
      </c>
      <c r="O66" s="221"/>
      <c r="P66" s="1712"/>
      <c r="Q66" s="1715" t="n">
        <v>10000</v>
      </c>
      <c r="R66" s="1716" t="n">
        <v>25000</v>
      </c>
      <c r="S66" s="1716" t="n">
        <v>45000</v>
      </c>
      <c r="T66" s="1716" t="n">
        <v>70000</v>
      </c>
      <c r="U66" s="1717"/>
    </row>
    <row r="67" ht="15" customHeight="1">
      <c r="A67" s="1710"/>
      <c r="B67" s="646"/>
      <c r="C67" s="748" t="s">
        <v>3269</v>
      </c>
      <c r="D67" s="748"/>
      <c r="E67" s="748"/>
      <c r="F67" s="1529" t="n">
        <f aca="false">VLOOKUP(M66,P67:U71,M68,FALSE())</f>
        <v>6</v>
      </c>
      <c r="G67" s="1454" t="n">
        <f aca="false">F67</f>
        <v>6</v>
      </c>
      <c r="H67" s="1690" t="n">
        <f aca="false">MIN(15,G67)</f>
        <v>6</v>
      </c>
      <c r="I67" s="1192"/>
      <c r="J67" s="1711"/>
      <c r="L67" s="1456" t="s">
        <v>3270</v>
      </c>
      <c r="M67" s="1456"/>
      <c r="O67" s="1718" t="s">
        <v>3271</v>
      </c>
      <c r="P67" s="1719" t="n">
        <v>50000</v>
      </c>
      <c r="Q67" s="1720" t="n">
        <v>0</v>
      </c>
      <c r="R67" s="1721" t="n">
        <v>10</v>
      </c>
      <c r="S67" s="1722" t="n">
        <v>15</v>
      </c>
      <c r="T67" s="1722" t="n">
        <v>15</v>
      </c>
      <c r="U67" s="1722" t="n">
        <v>15</v>
      </c>
    </row>
    <row r="68" ht="15" customHeight="1">
      <c r="A68" s="1710"/>
      <c r="B68" s="646"/>
      <c r="C68" s="1250"/>
      <c r="D68" s="634" t="s">
        <v>1637</v>
      </c>
      <c r="E68" s="1706" t="n">
        <f aca="false">'Saisie et Calculateur'!D1330</f>
        <v>647629</v>
      </c>
      <c r="F68" s="1529"/>
      <c r="G68" s="1454"/>
      <c r="H68" s="1690"/>
      <c r="I68" s="1192"/>
      <c r="J68" s="1711"/>
      <c r="L68" s="1723" t="n">
        <f aca="false">E70</f>
        <v>111703.5</v>
      </c>
      <c r="M68" s="1456" t="n">
        <f aca="false">IF(L68&lt;=Q66,2,IF(L68&lt;=R66,3,IF(L68&lt;=S66,4,IF(L68&lt;=T66,5,6))))</f>
        <v>6</v>
      </c>
      <c r="O68" s="1718"/>
      <c r="P68" s="1724" t="n">
        <v>100000</v>
      </c>
      <c r="Q68" s="1720" t="n">
        <v>0</v>
      </c>
      <c r="R68" s="1725" t="n">
        <v>8</v>
      </c>
      <c r="S68" s="1721" t="n">
        <v>12</v>
      </c>
      <c r="T68" s="1722" t="n">
        <v>15</v>
      </c>
      <c r="U68" s="1722" t="n">
        <v>15</v>
      </c>
    </row>
    <row r="69" ht="15.75" customHeight="1">
      <c r="A69" s="1710"/>
      <c r="B69" s="646"/>
      <c r="C69" s="1531" t="s">
        <v>3272</v>
      </c>
      <c r="D69" s="1531"/>
      <c r="E69" s="1531"/>
      <c r="F69" s="1529"/>
      <c r="G69" s="1454"/>
      <c r="H69" s="1690"/>
      <c r="I69" s="1192"/>
      <c r="J69" s="1711"/>
      <c r="O69" s="1718"/>
      <c r="P69" s="1724" t="n">
        <v>200000</v>
      </c>
      <c r="Q69" s="1720" t="n">
        <v>0</v>
      </c>
      <c r="R69" s="1726" t="n">
        <v>6</v>
      </c>
      <c r="S69" s="1725" t="n">
        <v>8</v>
      </c>
      <c r="T69" s="1721" t="n">
        <v>12</v>
      </c>
      <c r="U69" s="1722" t="n">
        <v>15</v>
      </c>
    </row>
    <row r="70" ht="15" customHeight="1">
      <c r="A70" s="1710"/>
      <c r="B70" s="646"/>
      <c r="C70" s="1534"/>
      <c r="D70" s="1655" t="s">
        <v>1637</v>
      </c>
      <c r="E70" s="1727" t="n">
        <f aca="false">'Saisie et Calculateur'!D1332</f>
        <v>111703.5</v>
      </c>
      <c r="F70" s="1529"/>
      <c r="G70" s="1454"/>
      <c r="H70" s="1690"/>
      <c r="I70" s="1192"/>
      <c r="J70" s="1711"/>
      <c r="O70" s="1718"/>
      <c r="P70" s="1728" t="n">
        <v>300000</v>
      </c>
      <c r="Q70" s="1720" t="n">
        <v>0</v>
      </c>
      <c r="R70" s="1729" t="n">
        <v>2</v>
      </c>
      <c r="S70" s="1730" t="n">
        <v>4</v>
      </c>
      <c r="T70" s="1726" t="n">
        <v>6</v>
      </c>
      <c r="U70" s="1721" t="n">
        <v>10</v>
      </c>
    </row>
    <row r="71" ht="15.75" customHeight="1">
      <c r="A71" s="1710"/>
      <c r="B71" s="646"/>
      <c r="C71" s="646"/>
      <c r="D71" s="646"/>
      <c r="E71" s="646"/>
      <c r="F71" s="1731"/>
      <c r="G71" s="646"/>
      <c r="H71" s="646"/>
      <c r="I71" s="646"/>
      <c r="J71" s="1711"/>
      <c r="O71" s="1718"/>
      <c r="P71" s="1732" t="n">
        <v>999999</v>
      </c>
      <c r="Q71" s="1720" t="n">
        <v>0</v>
      </c>
      <c r="R71" s="1733" t="n">
        <v>0</v>
      </c>
      <c r="S71" s="1734" t="n">
        <v>2</v>
      </c>
      <c r="T71" s="1735" t="n">
        <v>4</v>
      </c>
      <c r="U71" s="1736" t="n">
        <v>6</v>
      </c>
    </row>
    <row r="72" ht="13.5" customHeight="1">
      <c r="A72" s="1710"/>
      <c r="B72" s="646"/>
      <c r="C72" s="646"/>
      <c r="D72" s="646"/>
      <c r="E72" s="646"/>
      <c r="F72" s="1523"/>
      <c r="G72" s="646"/>
      <c r="H72" s="646"/>
      <c r="I72" s="646"/>
      <c r="J72" s="1711"/>
      <c r="L72" s="1165"/>
      <c r="M72" s="1165"/>
      <c r="N72" s="1165"/>
      <c r="O72" s="1165"/>
      <c r="Q72" s="1564"/>
      <c r="U72" s="646"/>
    </row>
    <row r="73" ht="13.5" customHeight="1">
      <c r="A73" s="1710"/>
      <c r="B73" s="646" t="s">
        <v>878</v>
      </c>
      <c r="C73" s="1688" t="s">
        <v>3273</v>
      </c>
      <c r="D73" s="1688"/>
      <c r="E73" s="1688"/>
      <c r="F73" s="1688"/>
      <c r="G73" s="1688"/>
      <c r="H73" s="1692" t="s">
        <v>2913</v>
      </c>
      <c r="I73" s="1356"/>
      <c r="J73" s="1711"/>
    </row>
    <row r="74" ht="13.5" customHeight="1">
      <c r="A74" s="1710"/>
      <c r="B74" s="646"/>
      <c r="C74" s="646"/>
      <c r="D74" s="646"/>
      <c r="E74" s="646"/>
      <c r="F74" s="1523"/>
      <c r="G74" s="646"/>
      <c r="H74" s="646"/>
      <c r="I74" s="646"/>
      <c r="J74" s="1711"/>
      <c r="L74" s="1171" t="s">
        <v>3274</v>
      </c>
      <c r="M74" s="1171"/>
      <c r="N74" s="1171"/>
      <c r="O74" s="1171" t="s">
        <v>2895</v>
      </c>
    </row>
    <row r="75" ht="27.75" customHeight="1">
      <c r="A75" s="1710"/>
      <c r="B75" s="646"/>
      <c r="C75" s="1165" t="s">
        <v>2822</v>
      </c>
      <c r="D75" s="1165"/>
      <c r="E75" s="1165"/>
      <c r="F75" s="1165"/>
      <c r="G75" s="1171" t="s">
        <v>2823</v>
      </c>
      <c r="H75" s="1171" t="s">
        <v>2824</v>
      </c>
      <c r="I75" s="1165"/>
      <c r="J75" s="1711"/>
      <c r="L75" s="1140" t="s">
        <v>880</v>
      </c>
      <c r="M75" s="1140"/>
      <c r="N75" s="1140"/>
      <c r="O75" s="646" t="n">
        <v>5</v>
      </c>
      <c r="Q75" s="646"/>
      <c r="R75" s="584" t="s">
        <v>3275</v>
      </c>
      <c r="S75" s="584" t="s">
        <v>3276</v>
      </c>
      <c r="U75" s="646"/>
      <c r="V75" s="584" t="s">
        <v>3277</v>
      </c>
    </row>
    <row r="76" ht="13.5" customHeight="1">
      <c r="A76" s="1710"/>
      <c r="B76" s="646"/>
      <c r="C76" s="646" t="s">
        <v>3278</v>
      </c>
      <c r="D76" s="1369"/>
      <c r="E76" s="1369"/>
      <c r="F76" s="1529" t="n">
        <f aca="false">IF(E77=L75,O75,IF(E77=L76,O76,IF(E77=L77,O77,O78)))</f>
        <v>5</v>
      </c>
      <c r="G76" s="1454" t="n">
        <f aca="false">F76+F79</f>
        <v>8</v>
      </c>
      <c r="H76" s="1690" t="n">
        <f aca="false">MIN(8,G76)</f>
        <v>8</v>
      </c>
      <c r="I76" s="1192"/>
      <c r="J76" s="1711"/>
      <c r="L76" s="1140" t="s">
        <v>881</v>
      </c>
      <c r="M76" s="1140"/>
      <c r="N76" s="1140"/>
      <c r="O76" s="646" t="n">
        <v>3</v>
      </c>
      <c r="Q76" s="646" t="s">
        <v>253</v>
      </c>
      <c r="R76" s="646" t="n">
        <v>2</v>
      </c>
      <c r="S76" s="646" t="n">
        <v>1</v>
      </c>
      <c r="U76" s="646" t="s">
        <v>889</v>
      </c>
      <c r="V76" s="646" t="n">
        <v>0</v>
      </c>
    </row>
    <row r="77" ht="13.5" customHeight="1">
      <c r="A77" s="1710"/>
      <c r="B77" s="646"/>
      <c r="C77" s="1250"/>
      <c r="D77" s="646"/>
      <c r="E77" s="1485" t="str">
        <f aca="false">'Saisie et Calculateur'!D1337</f>
        <v>Existence quasi-certaine</v>
      </c>
      <c r="F77" s="1529"/>
      <c r="G77" s="1454"/>
      <c r="H77" s="1690"/>
      <c r="I77" s="1192"/>
      <c r="J77" s="1711"/>
      <c r="L77" s="1140" t="s">
        <v>882</v>
      </c>
      <c r="M77" s="1140"/>
      <c r="N77" s="1140"/>
      <c r="O77" s="646" t="n">
        <v>1</v>
      </c>
      <c r="Q77" s="646" t="s">
        <v>254</v>
      </c>
      <c r="R77" s="646" t="n">
        <v>0</v>
      </c>
      <c r="S77" s="646" t="n">
        <v>0</v>
      </c>
      <c r="U77" s="646" t="s">
        <v>891</v>
      </c>
      <c r="V77" s="646" t="n">
        <v>1</v>
      </c>
    </row>
    <row r="78" ht="13.5" customHeight="1">
      <c r="A78" s="1710"/>
      <c r="B78" s="646"/>
      <c r="C78" s="1250"/>
      <c r="D78" s="646"/>
      <c r="E78" s="646"/>
      <c r="F78" s="1529"/>
      <c r="G78" s="1454"/>
      <c r="H78" s="1690"/>
      <c r="I78" s="1192"/>
      <c r="J78" s="1711"/>
      <c r="L78" s="1140" t="s">
        <v>3279</v>
      </c>
      <c r="M78" s="1140"/>
      <c r="N78" s="1140"/>
      <c r="O78" s="646" t="n">
        <v>0</v>
      </c>
      <c r="U78" s="646" t="s">
        <v>893</v>
      </c>
      <c r="V78" s="646" t="n">
        <v>2</v>
      </c>
    </row>
    <row r="79" ht="13.5" customHeight="1">
      <c r="A79" s="1710"/>
      <c r="B79" s="646"/>
      <c r="C79" s="1250" t="s">
        <v>3280</v>
      </c>
      <c r="D79" s="646"/>
      <c r="E79" s="646"/>
      <c r="F79" s="1737" t="n">
        <f aca="false">MIN(3,F82+F81+F80)</f>
        <v>3</v>
      </c>
      <c r="G79" s="1454"/>
      <c r="H79" s="1690"/>
      <c r="I79" s="1192"/>
      <c r="J79" s="1711"/>
    </row>
    <row r="80" ht="13.5" customHeight="1">
      <c r="A80" s="1710"/>
      <c r="B80" s="646"/>
      <c r="C80" s="1250" t="s">
        <v>3281</v>
      </c>
      <c r="D80" s="646"/>
      <c r="E80" s="1485" t="str">
        <f aca="false">'Saisie et Calculateur'!D1340</f>
        <v>oui</v>
      </c>
      <c r="F80" s="1738" t="n">
        <f aca="false">IF(E80=Q76,R76,R77)</f>
        <v>2</v>
      </c>
      <c r="G80" s="1454"/>
      <c r="H80" s="1690"/>
      <c r="I80" s="1192"/>
      <c r="J80" s="1711"/>
    </row>
    <row r="81" ht="13.5" customHeight="1">
      <c r="A81" s="1710"/>
      <c r="B81" s="646"/>
      <c r="C81" s="1250" t="s">
        <v>3282</v>
      </c>
      <c r="D81" s="646"/>
      <c r="E81" s="1485" t="str">
        <f aca="false">'Saisie et Calculateur'!D1343</f>
        <v>oui</v>
      </c>
      <c r="F81" s="1738" t="n">
        <f aca="false">IF(E81=Q76,S76,S77)</f>
        <v>1</v>
      </c>
      <c r="G81" s="1454"/>
      <c r="H81" s="1690"/>
      <c r="I81" s="1192"/>
      <c r="J81" s="1711"/>
    </row>
    <row r="82" ht="13.5" customHeight="1">
      <c r="A82" s="1710"/>
      <c r="B82" s="646"/>
      <c r="C82" s="1534" t="s">
        <v>3283</v>
      </c>
      <c r="D82" s="1535"/>
      <c r="E82" s="1557" t="str">
        <f aca="false">'Saisie et Calculateur'!D1346</f>
        <v>Bonne</v>
      </c>
      <c r="F82" s="1739" t="n">
        <f aca="false">IF(E82=U78,V78,IF(E82=U77,V77,V76))</f>
        <v>2</v>
      </c>
      <c r="G82" s="1454"/>
      <c r="H82" s="1690"/>
      <c r="I82" s="1192"/>
      <c r="J82" s="1711"/>
    </row>
    <row r="83" ht="13.5" customHeight="1">
      <c r="A83" s="1710"/>
      <c r="B83" s="646"/>
      <c r="C83" s="646"/>
      <c r="D83" s="646"/>
      <c r="E83" s="646"/>
      <c r="F83" s="1699"/>
      <c r="G83" s="646"/>
      <c r="H83" s="646"/>
      <c r="I83" s="646"/>
      <c r="J83" s="1711"/>
    </row>
    <row r="84" ht="13.5" customHeight="1">
      <c r="F84"/>
      <c r="J84"/>
      <c r="L84" s="1171" t="s">
        <v>3284</v>
      </c>
      <c r="M84" s="1171" t="s">
        <v>2855</v>
      </c>
    </row>
    <row r="85" ht="13.5" customHeight="1">
      <c r="A85" s="1740" t="s">
        <v>3285</v>
      </c>
      <c r="B85" s="646" t="s">
        <v>826</v>
      </c>
      <c r="C85" s="1741" t="s">
        <v>3286</v>
      </c>
      <c r="D85" s="1741"/>
      <c r="E85" s="1741"/>
      <c r="F85" s="1741"/>
      <c r="G85" s="1741"/>
      <c r="H85" s="1741" t="s">
        <v>3231</v>
      </c>
      <c r="I85" s="1742"/>
      <c r="J85" s="1743" t="n">
        <f aca="false">MIN(20,SUM(H88,H96))</f>
        <v>12</v>
      </c>
      <c r="L85" s="1171" t="n">
        <v>0.1</v>
      </c>
      <c r="M85" s="1171" t="n">
        <v>0</v>
      </c>
    </row>
    <row r="86" ht="14.1" customHeight="1">
      <c r="A86" s="1740"/>
      <c r="B86" s="1250"/>
      <c r="C86" s="646"/>
      <c r="D86" s="646"/>
      <c r="E86" s="646"/>
      <c r="F86" s="1523"/>
      <c r="G86" s="646"/>
      <c r="H86" s="646"/>
      <c r="I86" s="1744"/>
      <c r="J86" s="1743"/>
      <c r="L86" s="1171" t="n">
        <v>0.2</v>
      </c>
      <c r="M86" s="1171" t="n">
        <v>2</v>
      </c>
    </row>
    <row r="87" ht="27" customHeight="1">
      <c r="A87" s="1740"/>
      <c r="B87" s="1250"/>
      <c r="C87" s="1165" t="s">
        <v>2822</v>
      </c>
      <c r="D87" s="1165"/>
      <c r="E87" s="1165"/>
      <c r="F87" s="1165"/>
      <c r="G87" s="1171" t="s">
        <v>2823</v>
      </c>
      <c r="H87" s="1171" t="s">
        <v>2824</v>
      </c>
      <c r="I87" s="1745"/>
      <c r="J87" s="1743"/>
      <c r="L87" s="1171" t="n">
        <v>0.3</v>
      </c>
      <c r="M87" s="1171" t="n">
        <v>4</v>
      </c>
      <c r="O87" s="1632"/>
    </row>
    <row r="88" ht="15" customHeight="1">
      <c r="A88" s="1740"/>
      <c r="B88" s="1250"/>
      <c r="C88" s="646" t="s">
        <v>3287</v>
      </c>
      <c r="D88" s="1369"/>
      <c r="E88" s="1369"/>
      <c r="F88" s="1529" t="n">
        <f aca="false">IF(E89&gt;=L90,M91,IF(E89&gt;=L89,M90,IF(E89&gt;=L88,M89,IF(E89&gt;=L87,M88,IF(E89&gt;=L86,M87,IF(E89&gt;=L85,M86,M85))))))</f>
        <v>12</v>
      </c>
      <c r="G88" s="1454" t="n">
        <f aca="false">F88</f>
        <v>12</v>
      </c>
      <c r="H88" s="1690" t="n">
        <f aca="false">MIN(12,G88)</f>
        <v>12</v>
      </c>
      <c r="I88" s="1746"/>
      <c r="J88" s="1743"/>
      <c r="L88" s="1171" t="n">
        <v>0.4</v>
      </c>
      <c r="M88" s="1171" t="n">
        <v>6</v>
      </c>
      <c r="O88" s="1632"/>
    </row>
    <row r="89" ht="13.5" customHeight="1">
      <c r="A89" s="1740"/>
      <c r="B89" s="1250"/>
      <c r="C89" s="1534"/>
      <c r="D89" s="1655" t="s">
        <v>3288</v>
      </c>
      <c r="E89" s="1747" t="n">
        <f aca="false">'Saisie et Calculateur'!D1354</f>
        <v>0.621708206832508</v>
      </c>
      <c r="F89" s="1529"/>
      <c r="G89" s="1454"/>
      <c r="H89" s="1690"/>
      <c r="I89" s="1746"/>
      <c r="J89" s="1743"/>
      <c r="L89" s="1171" t="n">
        <v>0.5</v>
      </c>
      <c r="M89" s="1171" t="n">
        <v>8</v>
      </c>
      <c r="O89" s="1632"/>
    </row>
    <row r="90" ht="13.5" customHeight="1">
      <c r="A90" s="1740"/>
      <c r="B90" s="1250"/>
      <c r="C90" s="646"/>
      <c r="D90" s="646"/>
      <c r="E90" s="646"/>
      <c r="F90" s="1523"/>
      <c r="G90" s="646"/>
      <c r="H90" s="646"/>
      <c r="I90" s="1744"/>
      <c r="J90" s="1743"/>
      <c r="L90" s="1171" t="n">
        <v>0.6</v>
      </c>
      <c r="M90" s="1171" t="n">
        <v>10</v>
      </c>
      <c r="O90" s="1632"/>
    </row>
    <row r="91" ht="15" customHeight="1">
      <c r="A91" s="1740"/>
      <c r="B91" s="1250"/>
      <c r="C91" s="646"/>
      <c r="D91" s="646"/>
      <c r="E91" s="646"/>
      <c r="F91" s="1523"/>
      <c r="G91" s="646"/>
      <c r="H91" s="646"/>
      <c r="I91" s="1744"/>
      <c r="J91" s="1743"/>
      <c r="L91" s="1463"/>
      <c r="M91" s="1463" t="n">
        <v>12</v>
      </c>
      <c r="O91" s="1632"/>
    </row>
    <row r="92" ht="13.5" customHeight="1">
      <c r="A92" s="1740"/>
      <c r="B92" s="1250"/>
      <c r="C92" s="646"/>
      <c r="D92" s="646"/>
      <c r="E92" s="646"/>
      <c r="F92" s="1523"/>
      <c r="G92" s="646"/>
      <c r="H92" s="646"/>
      <c r="I92" s="1744"/>
      <c r="J92" s="1743"/>
      <c r="L92" s="1380"/>
      <c r="M92" s="1463"/>
      <c r="O92" s="1632"/>
    </row>
    <row r="93" ht="13.5" customHeight="1">
      <c r="A93" s="1740"/>
      <c r="B93" s="1250" t="s">
        <v>833</v>
      </c>
      <c r="C93" s="1688" t="s">
        <v>3289</v>
      </c>
      <c r="D93" s="1688"/>
      <c r="E93" s="1688"/>
      <c r="F93" s="1688"/>
      <c r="G93" s="1688"/>
      <c r="H93" s="1692" t="s">
        <v>2913</v>
      </c>
      <c r="I93" s="1748"/>
      <c r="J93" s="1743"/>
      <c r="M93" s="1192"/>
      <c r="O93" s="1632"/>
    </row>
    <row r="94" ht="14.1" customHeight="1">
      <c r="A94" s="1740"/>
      <c r="B94" s="1250"/>
      <c r="C94" s="646"/>
      <c r="D94" s="646"/>
      <c r="E94" s="646"/>
      <c r="F94" s="1523"/>
      <c r="G94" s="646"/>
      <c r="H94" s="646"/>
      <c r="I94" s="1744"/>
      <c r="J94" s="1743"/>
      <c r="L94" s="1171" t="s">
        <v>3290</v>
      </c>
      <c r="M94" s="1171"/>
      <c r="N94" s="1171" t="s">
        <v>2895</v>
      </c>
      <c r="O94" s="1632"/>
    </row>
    <row r="95" ht="27" customHeight="1">
      <c r="A95" s="1740"/>
      <c r="B95" s="1250"/>
      <c r="C95" s="1165" t="s">
        <v>2822</v>
      </c>
      <c r="D95" s="1165"/>
      <c r="E95" s="1165"/>
      <c r="F95" s="1165"/>
      <c r="G95" s="1171" t="s">
        <v>2823</v>
      </c>
      <c r="H95" s="1171" t="s">
        <v>2824</v>
      </c>
      <c r="I95" s="1745"/>
      <c r="J95" s="1743"/>
      <c r="L95" s="1171" t="n">
        <v>400</v>
      </c>
      <c r="M95" s="1171"/>
      <c r="N95" s="1171" t="n">
        <v>8</v>
      </c>
      <c r="O95" s="1632"/>
    </row>
    <row r="96" ht="14.1" customHeight="1">
      <c r="A96" s="1740"/>
      <c r="B96" s="1250"/>
      <c r="C96" s="1515" t="s">
        <v>3291</v>
      </c>
      <c r="D96" s="1516"/>
      <c r="E96" s="1516"/>
      <c r="F96" s="1749" t="n">
        <f aca="false">IF(E97&lt;L95,N95,IF(E97&lt;L96,N96,IF(E97&lt;L97,N97,IF(E97&lt;L98,N98,N99))))</f>
        <v>0</v>
      </c>
      <c r="G96" s="1750" t="n">
        <f aca="false">F96</f>
        <v>0</v>
      </c>
      <c r="H96" s="1751" t="n">
        <f aca="false">MIN(8,G96)</f>
        <v>0</v>
      </c>
      <c r="I96" s="1746"/>
      <c r="J96" s="1743"/>
      <c r="L96" s="1171" t="n">
        <v>600</v>
      </c>
      <c r="M96" s="1171"/>
      <c r="N96" s="1171" t="n">
        <v>6</v>
      </c>
      <c r="O96" s="1632"/>
    </row>
    <row r="97" ht="14.1" customHeight="1">
      <c r="A97" s="1740"/>
      <c r="B97" s="1250"/>
      <c r="C97" s="1511"/>
      <c r="D97" s="1478" t="s">
        <v>3292</v>
      </c>
      <c r="E97" s="1752" t="n">
        <f aca="false">'Saisie et Calculateur'!D1359</f>
        <v>1970.54545454545</v>
      </c>
      <c r="F97" s="1749"/>
      <c r="G97" s="1750"/>
      <c r="H97" s="1751"/>
      <c r="I97" s="1746"/>
      <c r="J97" s="1743"/>
      <c r="L97" s="1171" t="n">
        <v>700</v>
      </c>
      <c r="M97" s="1171"/>
      <c r="N97" s="1171" t="n">
        <v>4</v>
      </c>
      <c r="O97" s="1632"/>
    </row>
    <row r="98" ht="14.1" customHeight="1">
      <c r="A98" s="1740"/>
      <c r="B98" s="1302"/>
      <c r="C98" s="1617"/>
      <c r="D98" s="1617"/>
      <c r="E98" s="1753"/>
      <c r="F98" s="1754"/>
      <c r="G98" s="1755"/>
      <c r="H98" s="1756"/>
      <c r="I98" s="1757"/>
      <c r="J98" s="1743"/>
      <c r="L98" s="1171" t="n">
        <v>1300</v>
      </c>
      <c r="M98" s="1171"/>
      <c r="N98" s="1171" t="n">
        <v>2</v>
      </c>
      <c r="O98" s="1632"/>
    </row>
    <row r="99" ht="13.5" customHeight="1">
      <c r="F99"/>
      <c r="J99"/>
      <c r="L99" s="1171"/>
      <c r="M99" s="1171"/>
      <c r="N99" s="1171" t="n">
        <v>0</v>
      </c>
    </row>
    <row r="100" ht="29.25" customHeight="1">
      <c r="A100" s="1685" t="s">
        <v>3040</v>
      </c>
      <c r="B100" s="1685"/>
      <c r="C100" s="1685"/>
      <c r="D100" s="1685"/>
      <c r="E100" s="1685"/>
      <c r="F100" s="1685"/>
      <c r="G100" s="1685"/>
      <c r="H100" s="1685"/>
      <c r="I100" s="1685"/>
      <c r="J100" s="1758" t="n">
        <f aca="false">SUM(J85,J64,J26,J5)</f>
        <v>68</v>
      </c>
    </row>
  </sheetData>
  <mergeCells count="92">
    <mergeCell ref="A1:K1"/>
    <mergeCell ref="A3:A24"/>
    <mergeCell ref="C3:G3"/>
    <mergeCell ref="J3:J4"/>
    <mergeCell ref="C5:F5"/>
    <mergeCell ref="J5:J24"/>
    <mergeCell ref="C6:E6"/>
    <mergeCell ref="F6:F8"/>
    <mergeCell ref="G6:G9"/>
    <mergeCell ref="H6:H9"/>
    <mergeCell ref="C9:E9"/>
    <mergeCell ref="C12:G12"/>
    <mergeCell ref="C14:F14"/>
    <mergeCell ref="F15:F16"/>
    <mergeCell ref="G15:G16"/>
    <mergeCell ref="H15:H16"/>
    <mergeCell ref="C19:G19"/>
    <mergeCell ref="C21:F21"/>
    <mergeCell ref="F22:F23"/>
    <mergeCell ref="G22:G23"/>
    <mergeCell ref="H22:H23"/>
    <mergeCell ref="A26:A62"/>
    <mergeCell ref="C26:G26"/>
    <mergeCell ref="J26:J62"/>
    <mergeCell ref="C28:F28"/>
    <mergeCell ref="C29:E29"/>
    <mergeCell ref="F29:F31"/>
    <mergeCell ref="G29:G34"/>
    <mergeCell ref="H29:H34"/>
    <mergeCell ref="C32:E32"/>
    <mergeCell ref="F32:F34"/>
    <mergeCell ref="C33:E33"/>
    <mergeCell ref="C37:G37"/>
    <mergeCell ref="C39:F39"/>
    <mergeCell ref="C40:E40"/>
    <mergeCell ref="F40:F43"/>
    <mergeCell ref="G40:G47"/>
    <mergeCell ref="H40:H47"/>
    <mergeCell ref="C44:E44"/>
    <mergeCell ref="F44:F47"/>
    <mergeCell ref="C50:G50"/>
    <mergeCell ref="C52:F52"/>
    <mergeCell ref="F53:F54"/>
    <mergeCell ref="G53:G54"/>
    <mergeCell ref="H53:H54"/>
    <mergeCell ref="C57:G57"/>
    <mergeCell ref="C59:F59"/>
    <mergeCell ref="F60:F61"/>
    <mergeCell ref="G60:G61"/>
    <mergeCell ref="H60:H61"/>
    <mergeCell ref="A64:A83"/>
    <mergeCell ref="C64:G64"/>
    <mergeCell ref="J64:J83"/>
    <mergeCell ref="L65:M65"/>
    <mergeCell ref="Q65:U65"/>
    <mergeCell ref="C66:F66"/>
    <mergeCell ref="C67:E67"/>
    <mergeCell ref="F67:F70"/>
    <mergeCell ref="G67:G70"/>
    <mergeCell ref="H67:H70"/>
    <mergeCell ref="L67:M67"/>
    <mergeCell ref="O67:O71"/>
    <mergeCell ref="C69:E69"/>
    <mergeCell ref="C73:G73"/>
    <mergeCell ref="L74:N74"/>
    <mergeCell ref="C75:F75"/>
    <mergeCell ref="L75:N75"/>
    <mergeCell ref="F76:F78"/>
    <mergeCell ref="G76:G82"/>
    <mergeCell ref="H76:H82"/>
    <mergeCell ref="L76:N76"/>
    <mergeCell ref="L77:N77"/>
    <mergeCell ref="L78:N78"/>
    <mergeCell ref="A85:A98"/>
    <mergeCell ref="C85:G85"/>
    <mergeCell ref="J85:J98"/>
    <mergeCell ref="C87:F87"/>
    <mergeCell ref="F88:F89"/>
    <mergeCell ref="G88:G89"/>
    <mergeCell ref="H88:H89"/>
    <mergeCell ref="C93:G93"/>
    <mergeCell ref="L94:M94"/>
    <mergeCell ref="C95:F95"/>
    <mergeCell ref="L95:M95"/>
    <mergeCell ref="F96:F97"/>
    <mergeCell ref="G96:G97"/>
    <mergeCell ref="H96:H97"/>
    <mergeCell ref="L96:M96"/>
    <mergeCell ref="L97:M97"/>
    <mergeCell ref="L98:M98"/>
    <mergeCell ref="L99:M99"/>
    <mergeCell ref="A100:I100"/>
  </mergeCells>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legacyDrawing r:id="rIdvml"/>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tabColor rgb="FFFF0000"/>
      <pageSetUpPr fitToPage="false"/>
    </sheetPr>
  </sheetPr>
  <dimension ref="A1"/>
  <sheetViews>
    <sheetView showFormulas="false" showGridLines="true" showRowColHeaders="true" showZeros="true" rightToLeft="false" tabSelected="0" showOutlineSymbols="true" defaultGridColor="true" view="normal" topLeftCell="A157" colorId="64" zoomScale="100" zoomScaleNormal="100" zoomScalePageLayoutView="100" workbookViewId="0">
      <selection pane="topLeft" activeCell="M70" activeCellId="0" sqref="M70"/>
    </sheetView>
  </sheetViews>
  <sheetFormatPr defaultRowHeight="15.0" baseColWidth="10" outlineLevelCol="1"/>
  <cols>
    <col min="1" max="1" width="11.98" hidden="false" outlineLevel="1" customWidth="1"/>
    <col min="2" max="2" width="15.68" hidden="false" outlineLevel="1" customWidth="1"/>
    <col min="3" max="3" width="15.68" hidden="false" outlineLevel="1" customWidth="1"/>
    <col min="4" max="4" width="54.79" hidden="false" outlineLevel="1" customWidth="1"/>
    <col min="5" max="5" width="6.55" hidden="false" outlineLevel="1" customWidth="1"/>
    <col min="6" max="6" width="7.41" hidden="false" outlineLevel="1" customWidth="1"/>
    <col min="7" max="7" width="1.7" hidden="false" outlineLevel="1" customWidth="1"/>
    <col min="8" max="8" width="4.56" hidden="false" outlineLevel="1" customWidth="1"/>
    <col min="9" max="9" width="11.27" hidden="false" outlineLevel="1" customWidth="1"/>
    <col min="10" max="10" width="2.12" hidden="false" outlineLevel="1" customWidth="1"/>
    <col min="11" max="11" width="6.84" hidden="false" outlineLevel="1" customWidth="1"/>
    <col min="12" max="12" width="10.69" hidden="false" outlineLevel="1" customWidth="1"/>
    <col min="13" max="13" width="8.27" hidden="false" outlineLevel="1" customWidth="1"/>
    <col min="14" max="14" width="2.12" hidden="false" outlineLevel="1" customWidth="1"/>
    <col min="15" max="15" width="4.7" hidden="false" outlineLevel="1" customWidth="1"/>
    <col min="16" max="16" width="10.69" hidden="false" outlineLevel="1" customWidth="1"/>
    <col min="17" max="17" width="10.69" hidden="false" outlineLevel="1" customWidth="1"/>
    <col min="18" max="18" width="10.69" hidden="false" outlineLevel="1" customWidth="1"/>
    <col min="19" max="19" width="10.69" hidden="false" outlineLevel="1" customWidth="1"/>
    <col min="20" max="20" width="10.69" hidden="false" outlineLevel="1" customWidth="1"/>
    <col min="21" max="21" width="10.69" hidden="false" outlineLevel="1" customWidth="1"/>
    <col min="22" max="22" width="10.69" hidden="false" outlineLevel="1" customWidth="1"/>
    <col min="23" max="23" width="10.69" hidden="false" outlineLevel="1" customWidth="1"/>
    <col min="24" max="24" width="10.69" hidden="false" outlineLevel="1" customWidth="1"/>
    <col min="25" max="25" width="10.69" hidden="false" outlineLevel="1" customWidth="1"/>
    <col min="26" max="26" width="10.69" hidden="false" outlineLevel="1" customWidth="1"/>
    <col min="27" max="27" width="10.69" hidden="false" outlineLevel="1" customWidth="1"/>
    <col min="28" max="28" width="10.69" hidden="false" outlineLevel="1" customWidth="1"/>
    <col min="29" max="29" width="10.69" hidden="false" outlineLevel="1" customWidth="1"/>
    <col min="30" max="30" width="10.69" hidden="false" outlineLevel="1" customWidth="1"/>
    <col min="31" max="31" width="10.69" hidden="false" outlineLevel="1" customWidth="1"/>
    <col min="32" max="32" width="10.69" hidden="false" outlineLevel="1" customWidth="1"/>
    <col min="33" max="33" width="10.69" hidden="false" outlineLevel="1" customWidth="1"/>
    <col min="34" max="34" width="10.69" hidden="false" outlineLevel="1" customWidth="1"/>
    <col min="35" max="35" width="10.69" hidden="false" outlineLevel="1" customWidth="1"/>
    <col min="36" max="36" width="10.69" hidden="false" outlineLevel="1" customWidth="1"/>
    <col min="37" max="37" width="10.69" hidden="false" outlineLevel="1" customWidth="1"/>
    <col min="38" max="38" width="10.69" hidden="false" outlineLevel="1" customWidth="1"/>
    <col min="39" max="39" width="10.69" hidden="false" outlineLevel="1" customWidth="1"/>
    <col min="40" max="40" width="10.69" hidden="false" outlineLevel="1" customWidth="1"/>
    <col min="41" max="41" width="10.69" hidden="false" outlineLevel="1" customWidth="1"/>
    <col min="42" max="42" width="10.69" hidden="false" outlineLevel="1" customWidth="1"/>
    <col min="43" max="43" width="10.69" hidden="false" outlineLevel="1" customWidth="1"/>
    <col min="44" max="44" width="10.69" hidden="false" outlineLevel="1" customWidth="1"/>
    <col min="45" max="45" width="10.69" hidden="false" outlineLevel="1" customWidth="1"/>
    <col min="46" max="46" width="10.69" hidden="false" outlineLevel="1" customWidth="1"/>
    <col min="47" max="47" width="10.69" hidden="false" outlineLevel="1" customWidth="1"/>
    <col min="48" max="48" width="10.69" hidden="false" outlineLevel="1" customWidth="1"/>
    <col min="49" max="49" width="10.69" hidden="false" outlineLevel="1" customWidth="1"/>
    <col min="50" max="50" width="10.69" hidden="false" outlineLevel="1" customWidth="1"/>
    <col min="51" max="51" width="10.69" hidden="false" outlineLevel="1" customWidth="1"/>
    <col min="52" max="52" width="10.69" hidden="false" outlineLevel="1" customWidth="1"/>
    <col min="53" max="53" width="10.69" hidden="false" outlineLevel="1" customWidth="1"/>
    <col min="54" max="54" width="10.69" hidden="false" outlineLevel="1" customWidth="1"/>
    <col min="55" max="55" width="10.69" hidden="false" outlineLevel="1" customWidth="1"/>
    <col min="56" max="56" width="10.69" hidden="false" outlineLevel="1" customWidth="1"/>
    <col min="57" max="57" width="10.69" hidden="false" outlineLevel="1" customWidth="1"/>
    <col min="58" max="58" width="10.69" hidden="false" outlineLevel="1" customWidth="1"/>
    <col min="59" max="59" width="10.69" hidden="false" outlineLevel="1" customWidth="1"/>
    <col min="60" max="60" width="10.69" hidden="false" outlineLevel="1" customWidth="1"/>
    <col min="61" max="61" width="10.69" hidden="false" outlineLevel="1" customWidth="1"/>
    <col min="62" max="62" width="10.69" hidden="false" outlineLevel="1" customWidth="1"/>
    <col min="63" max="63" width="10.69" hidden="false" outlineLevel="1" customWidth="1"/>
    <col min="64" max="64" width="10.69" hidden="false" outlineLevel="1" customWidth="1"/>
    <col min="65" max="65" width="10.69" hidden="false" outlineLevel="1" customWidth="1"/>
    <col min="66" max="66" width="10.69" hidden="false" outlineLevel="1" customWidth="1"/>
    <col min="67" max="67" width="10.69" hidden="false" outlineLevel="1" customWidth="1"/>
    <col min="68" max="68" width="10.69" hidden="false" outlineLevel="1" customWidth="1"/>
    <col min="69" max="69" width="10.69" hidden="false" outlineLevel="1" customWidth="1"/>
    <col min="70" max="70" width="10.69" hidden="false" outlineLevel="1" customWidth="1"/>
    <col min="71" max="71" width="10.69" hidden="false" outlineLevel="1" customWidth="1"/>
    <col min="72" max="72" width="10.69" hidden="false" outlineLevel="1" customWidth="1"/>
    <col min="73" max="73" width="10.69" hidden="false" outlineLevel="1" customWidth="1"/>
    <col min="74" max="74" width="10.69" hidden="false" outlineLevel="1" customWidth="1"/>
    <col min="75" max="75" width="10.69" hidden="false" outlineLevel="1" customWidth="1"/>
    <col min="76" max="76" width="10.69" hidden="false" outlineLevel="1" customWidth="1"/>
    <col min="77" max="77" width="10.69" hidden="false" outlineLevel="1" customWidth="1"/>
    <col min="78" max="78" width="10.69" hidden="false" outlineLevel="1" customWidth="1"/>
    <col min="79" max="79" width="10.69" hidden="false" outlineLevel="1" customWidth="1"/>
    <col min="80" max="80" width="10.69" hidden="false" outlineLevel="1" customWidth="1"/>
    <col min="81" max="81" width="10.69" hidden="false" outlineLevel="1" customWidth="1"/>
    <col min="82" max="82" width="10.69" hidden="false" outlineLevel="1" customWidth="1"/>
    <col min="83" max="83" width="10.69" hidden="false" outlineLevel="1" customWidth="1"/>
    <col min="84" max="84" width="10.69" hidden="false" outlineLevel="1" customWidth="1"/>
    <col min="85" max="85" width="10.69" hidden="false" outlineLevel="1" customWidth="1"/>
    <col min="86" max="86" width="10.69" hidden="false" outlineLevel="1" customWidth="1"/>
    <col min="87" max="87" width="10.69" hidden="false" outlineLevel="1" customWidth="1"/>
    <col min="88" max="88" width="10.69" hidden="false" outlineLevel="1" customWidth="1"/>
    <col min="89" max="89" width="10.69" hidden="false" outlineLevel="1" customWidth="1"/>
    <col min="90" max="90" width="10.69" hidden="false" outlineLevel="1" customWidth="1"/>
    <col min="91" max="91" width="10.69" hidden="false" outlineLevel="1" customWidth="1"/>
    <col min="92" max="92" width="10.69" hidden="false" outlineLevel="1" customWidth="1"/>
    <col min="93" max="93" width="10.69" hidden="false" outlineLevel="1" customWidth="1"/>
    <col min="94" max="94" width="10.69" hidden="false" outlineLevel="1" customWidth="1"/>
    <col min="95" max="95" width="10.69" hidden="false" outlineLevel="1" customWidth="1"/>
    <col min="96" max="96" width="10.69" hidden="false" outlineLevel="1" customWidth="1"/>
    <col min="97" max="97" width="10.69" hidden="false" outlineLevel="1" customWidth="1"/>
    <col min="98" max="98" width="10.69" hidden="false" outlineLevel="1" customWidth="1"/>
    <col min="99" max="99" width="10.69" hidden="false" outlineLevel="1" customWidth="1"/>
    <col min="100" max="100" width="10.69" hidden="false" outlineLevel="1" customWidth="1"/>
    <col min="101" max="101" width="10.69" hidden="false" outlineLevel="1" customWidth="1"/>
    <col min="102" max="102" width="10.69" hidden="false" outlineLevel="1" customWidth="1"/>
    <col min="103" max="103" width="10.69" hidden="false" outlineLevel="1" customWidth="1"/>
    <col min="104" max="104" width="10.69" hidden="false" outlineLevel="1" customWidth="1"/>
    <col min="105" max="105" width="10.69" hidden="false" outlineLevel="1" customWidth="1"/>
    <col min="106" max="106" width="10.69" hidden="false" outlineLevel="1" customWidth="1"/>
    <col min="107" max="107" width="10.69" hidden="false" outlineLevel="1" customWidth="1"/>
    <col min="108" max="108" width="10.69" hidden="false" outlineLevel="1" customWidth="1"/>
    <col min="109" max="109" width="10.69" hidden="false" outlineLevel="1" customWidth="1"/>
    <col min="110" max="110" width="10.69" hidden="false" outlineLevel="1" customWidth="1"/>
    <col min="111" max="111" width="10.69" hidden="false" outlineLevel="1" customWidth="1"/>
    <col min="112" max="112" width="10.69" hidden="false" outlineLevel="1" customWidth="1"/>
    <col min="113" max="113" width="10.69" hidden="false" outlineLevel="1" customWidth="1"/>
    <col min="114" max="114" width="10.69" hidden="false" outlineLevel="1" customWidth="1"/>
    <col min="115" max="115" width="10.69" hidden="false" outlineLevel="1" customWidth="1"/>
    <col min="116" max="116" width="10.69" hidden="false" outlineLevel="1" customWidth="1"/>
    <col min="117" max="117" width="10.69" hidden="false" outlineLevel="1" customWidth="1"/>
    <col min="118" max="118" width="10.69" hidden="false" outlineLevel="1" customWidth="1"/>
    <col min="119" max="119" width="10.69" hidden="false" outlineLevel="1" customWidth="1"/>
    <col min="120" max="120" width="10.69" hidden="false" outlineLevel="1" customWidth="1"/>
    <col min="121" max="121" width="10.69" hidden="false" outlineLevel="1" customWidth="1"/>
    <col min="122" max="122" width="10.69" hidden="false" outlineLevel="1" customWidth="1"/>
    <col min="123" max="123" width="10.69" hidden="false" outlineLevel="1" customWidth="1"/>
    <col min="124" max="124" width="10.69" hidden="false" outlineLevel="1" customWidth="1"/>
    <col min="125" max="125" width="10.69" hidden="false" outlineLevel="1" customWidth="1"/>
    <col min="126" max="126" width="10.69" hidden="false" outlineLevel="1" customWidth="1"/>
    <col min="127" max="127" width="10.69" hidden="false" outlineLevel="1" customWidth="1"/>
    <col min="128" max="128" width="10.69" hidden="false" outlineLevel="1" customWidth="1"/>
    <col min="129" max="129" width="10.69" hidden="false" outlineLevel="1" customWidth="1"/>
    <col min="130" max="130" width="10.69" hidden="false" outlineLevel="1" customWidth="1"/>
    <col min="131" max="131" width="10.69" hidden="false" outlineLevel="1" customWidth="1"/>
    <col min="132" max="132" width="10.69" hidden="false" outlineLevel="1" customWidth="1"/>
    <col min="133" max="133" width="10.69" hidden="false" outlineLevel="1" customWidth="1"/>
    <col min="134" max="134" width="10.69" hidden="false" outlineLevel="1" customWidth="1"/>
    <col min="135" max="135" width="10.69" hidden="false" outlineLevel="1" customWidth="1"/>
    <col min="136" max="136" width="10.69" hidden="false" outlineLevel="1" customWidth="1"/>
    <col min="137" max="137" width="10.69" hidden="false" outlineLevel="1" customWidth="1"/>
    <col min="138" max="138" width="10.69" hidden="false" outlineLevel="1" customWidth="1"/>
    <col min="139" max="139" width="10.69" hidden="false" outlineLevel="1" customWidth="1"/>
    <col min="140" max="140" width="10.69" hidden="false" outlineLevel="1" customWidth="1"/>
    <col min="141" max="141" width="10.69" hidden="false" outlineLevel="1" customWidth="1"/>
    <col min="142" max="142" width="10.69" hidden="false" outlineLevel="1" customWidth="1"/>
    <col min="143" max="143" width="10.69" hidden="false" outlineLevel="1" customWidth="1"/>
    <col min="144" max="144" width="10.69" hidden="false" outlineLevel="1" customWidth="1"/>
    <col min="145" max="145" width="10.69" hidden="false" outlineLevel="1" customWidth="1"/>
    <col min="146" max="146" width="10.69" hidden="false" outlineLevel="1" customWidth="1"/>
    <col min="147" max="147" width="10.69" hidden="false" outlineLevel="1" customWidth="1"/>
    <col min="148" max="148" width="10.69" hidden="false" outlineLevel="1" customWidth="1"/>
    <col min="149" max="149" width="10.69" hidden="false" outlineLevel="1" customWidth="1"/>
    <col min="150" max="150" width="10.69" hidden="false" outlineLevel="1" customWidth="1"/>
    <col min="151" max="151" width="10.69" hidden="false" outlineLevel="1" customWidth="1"/>
    <col min="152" max="152" width="10.69" hidden="false" outlineLevel="1" customWidth="1"/>
    <col min="153" max="153" width="10.69" hidden="false" outlineLevel="1" customWidth="1"/>
    <col min="154" max="154" width="10.69" hidden="false" outlineLevel="1" customWidth="1"/>
    <col min="155" max="155" width="10.69" hidden="false" outlineLevel="1" customWidth="1"/>
    <col min="156" max="156" width="10.69" hidden="false" outlineLevel="1" customWidth="1"/>
    <col min="157" max="157" width="10.69" hidden="false" outlineLevel="1" customWidth="1"/>
    <col min="158" max="158" width="10.69" hidden="false" outlineLevel="1" customWidth="1"/>
    <col min="159" max="159" width="10.69" hidden="false" outlineLevel="1" customWidth="1"/>
    <col min="160" max="160" width="10.69" hidden="false" outlineLevel="1" customWidth="1"/>
    <col min="161" max="161" width="10.69" hidden="false" outlineLevel="1" customWidth="1"/>
    <col min="162" max="162" width="10.69" hidden="false" outlineLevel="1" customWidth="1"/>
    <col min="163" max="163" width="10.69" hidden="false" outlineLevel="1" customWidth="1"/>
    <col min="164" max="164" width="10.69" hidden="false" outlineLevel="1" customWidth="1"/>
    <col min="165" max="165" width="10.69" hidden="false" outlineLevel="1" customWidth="1"/>
    <col min="166" max="166" width="10.69" hidden="false" outlineLevel="1" customWidth="1"/>
    <col min="167" max="167" width="10.69" hidden="false" outlineLevel="1" customWidth="1"/>
    <col min="168" max="168" width="10.69" hidden="false" outlineLevel="1" customWidth="1"/>
    <col min="169" max="169" width="10.69" hidden="false" outlineLevel="1" customWidth="1"/>
    <col min="170" max="170" width="10.69" hidden="false" outlineLevel="1" customWidth="1"/>
    <col min="171" max="171" width="10.69" hidden="false" outlineLevel="1" customWidth="1"/>
    <col min="172" max="172" width="10.69" hidden="false" outlineLevel="1" customWidth="1"/>
    <col min="173" max="173" width="10.69" hidden="false" outlineLevel="1" customWidth="1"/>
    <col min="174" max="174" width="10.69" hidden="false" outlineLevel="1" customWidth="1"/>
    <col min="175" max="175" width="10.69" hidden="false" outlineLevel="1" customWidth="1"/>
    <col min="176" max="176" width="10.69" hidden="false" outlineLevel="1" customWidth="1"/>
    <col min="177" max="177" width="10.69" hidden="false" outlineLevel="1" customWidth="1"/>
    <col min="178" max="178" width="10.69" hidden="false" outlineLevel="1" customWidth="1"/>
    <col min="179" max="179" width="10.69" hidden="false" outlineLevel="1" customWidth="1"/>
    <col min="180" max="180" width="10.69" hidden="false" outlineLevel="1" customWidth="1"/>
    <col min="181" max="181" width="10.69" hidden="false" outlineLevel="1" customWidth="1"/>
    <col min="182" max="182" width="10.69" hidden="false" outlineLevel="1" customWidth="1"/>
    <col min="183" max="183" width="10.69" hidden="false" outlineLevel="1" customWidth="1"/>
    <col min="184" max="184" width="10.69" hidden="false" outlineLevel="1" customWidth="1"/>
    <col min="185" max="185" width="10.69" hidden="false" outlineLevel="1" customWidth="1"/>
    <col min="186" max="186" width="10.69" hidden="false" outlineLevel="1" customWidth="1"/>
    <col min="187" max="187" width="10.69" hidden="false" outlineLevel="1" customWidth="1"/>
    <col min="188" max="188" width="10.69" hidden="false" outlineLevel="1" customWidth="1"/>
    <col min="189" max="189" width="10.69" hidden="false" outlineLevel="1" customWidth="1"/>
    <col min="190" max="190" width="10.69" hidden="false" outlineLevel="1" customWidth="1"/>
    <col min="191" max="191" width="10.69" hidden="false" outlineLevel="1" customWidth="1"/>
    <col min="192" max="192" width="10.69" hidden="false" outlineLevel="1" customWidth="1"/>
    <col min="193" max="193" width="10.69" hidden="false" outlineLevel="1" customWidth="1"/>
    <col min="194" max="194" width="10.69" hidden="false" outlineLevel="1" customWidth="1"/>
    <col min="195" max="195" width="10.69" hidden="false" outlineLevel="1" customWidth="1"/>
    <col min="196" max="196" width="10.69" hidden="false" outlineLevel="1" customWidth="1"/>
    <col min="197" max="197" width="10.69" hidden="false" outlineLevel="1" customWidth="1"/>
    <col min="198" max="198" width="10.69" hidden="false" outlineLevel="1" customWidth="1"/>
    <col min="199" max="199" width="10.69" hidden="false" outlineLevel="1" customWidth="1"/>
    <col min="200" max="200" width="10.69" hidden="false" outlineLevel="1" customWidth="1"/>
    <col min="201" max="201" width="10.69" hidden="false" outlineLevel="1" customWidth="1"/>
    <col min="202" max="202" width="10.69" hidden="false" outlineLevel="1" customWidth="1"/>
    <col min="203" max="203" width="10.69" hidden="false" outlineLevel="1" customWidth="1"/>
    <col min="204" max="204" width="10.69" hidden="false" outlineLevel="1" customWidth="1"/>
    <col min="205" max="205" width="10.69" hidden="false" outlineLevel="1" customWidth="1"/>
    <col min="206" max="206" width="10.69" hidden="false" outlineLevel="1" customWidth="1"/>
    <col min="207" max="207" width="10.69" hidden="false" outlineLevel="1" customWidth="1"/>
    <col min="208" max="208" width="10.69" hidden="false" outlineLevel="1" customWidth="1"/>
    <col min="209" max="209" width="10.69" hidden="false" outlineLevel="1" customWidth="1"/>
    <col min="210" max="210" width="10.69" hidden="false" outlineLevel="1" customWidth="1"/>
    <col min="211" max="211" width="10.69" hidden="false" outlineLevel="1" customWidth="1"/>
    <col min="212" max="212" width="10.69" hidden="false" outlineLevel="1" customWidth="1"/>
    <col min="213" max="213" width="10.69" hidden="false" outlineLevel="1" customWidth="1"/>
    <col min="214" max="214" width="10.69" hidden="false" outlineLevel="1" customWidth="1"/>
    <col min="215" max="215" width="10.69" hidden="false" outlineLevel="1" customWidth="1"/>
    <col min="216" max="216" width="10.69" hidden="false" outlineLevel="1" customWidth="1"/>
    <col min="217" max="217" width="10.69" hidden="false" outlineLevel="1" customWidth="1"/>
    <col min="218" max="218" width="10.69" hidden="false" outlineLevel="1" customWidth="1"/>
    <col min="219" max="219" width="10.69" hidden="false" outlineLevel="1" customWidth="1"/>
    <col min="220" max="220" width="10.69" hidden="false" outlineLevel="1" customWidth="1"/>
    <col min="221" max="221" width="10.69" hidden="false" outlineLevel="1" customWidth="1"/>
    <col min="222" max="222" width="10.69" hidden="false" outlineLevel="1" customWidth="1"/>
    <col min="223" max="223" width="10.69" hidden="false" outlineLevel="1" customWidth="1"/>
    <col min="224" max="224" width="10.69" hidden="false" outlineLevel="1" customWidth="1"/>
    <col min="225" max="225" width="10.69" hidden="false" outlineLevel="1" customWidth="1"/>
    <col min="226" max="226" width="10.69" hidden="false" outlineLevel="1" customWidth="1"/>
    <col min="227" max="227" width="10.69" hidden="false" outlineLevel="1" customWidth="1"/>
    <col min="228" max="228" width="10.69" hidden="false" outlineLevel="1" customWidth="1"/>
    <col min="229" max="229" width="10.69" hidden="false" outlineLevel="1" customWidth="1"/>
    <col min="230" max="230" width="10.69" hidden="false" outlineLevel="1" customWidth="1"/>
    <col min="231" max="231" width="10.69" hidden="false" outlineLevel="1" customWidth="1"/>
    <col min="232" max="232" width="10.69" hidden="false" outlineLevel="1" customWidth="1"/>
    <col min="233" max="233" width="10.69" hidden="false" outlineLevel="1" customWidth="1"/>
    <col min="234" max="234" width="10.69" hidden="false" outlineLevel="1" customWidth="1"/>
    <col min="235" max="235" width="10.69" hidden="false" outlineLevel="1" customWidth="1"/>
    <col min="236" max="236" width="10.69" hidden="false" outlineLevel="1" customWidth="1"/>
    <col min="237" max="237" width="10.69" hidden="false" outlineLevel="1" customWidth="1"/>
    <col min="238" max="238" width="10.69" hidden="false" outlineLevel="1" customWidth="1"/>
    <col min="239" max="239" width="10.69" hidden="false" outlineLevel="1" customWidth="1"/>
    <col min="240" max="240" width="10.69" hidden="false" outlineLevel="1" customWidth="1"/>
    <col min="241" max="241" width="10.69" hidden="false" outlineLevel="1" customWidth="1"/>
    <col min="242" max="242" width="10.69" hidden="false" outlineLevel="1" customWidth="1"/>
    <col min="243" max="243" width="10.69" hidden="false" outlineLevel="1" customWidth="1"/>
    <col min="244" max="244" width="10.69" hidden="false" outlineLevel="1" customWidth="1"/>
    <col min="245" max="245" width="10.69" hidden="false" outlineLevel="1" customWidth="1"/>
    <col min="246" max="246" width="10.69" hidden="false" outlineLevel="1" customWidth="1"/>
    <col min="247" max="247" width="10.69" hidden="false" outlineLevel="1" customWidth="1"/>
    <col min="248" max="248" width="10.69" hidden="false" outlineLevel="1" customWidth="1"/>
    <col min="249" max="249" width="10.69" hidden="false" outlineLevel="1" customWidth="1"/>
    <col min="250" max="250" width="10.69" hidden="false" outlineLevel="1" customWidth="1"/>
    <col min="251" max="251" width="10.69" hidden="false" outlineLevel="1" customWidth="1"/>
    <col min="252" max="252" width="10.69" hidden="false" outlineLevel="1" customWidth="1"/>
    <col min="253" max="253" width="10.69" hidden="false" outlineLevel="1" customWidth="1"/>
    <col min="254" max="254" width="10.69" hidden="false" outlineLevel="1" customWidth="1"/>
    <col min="255" max="255" width="10.69" hidden="false" outlineLevel="1" customWidth="1"/>
    <col min="256" max="256" width="10.69" hidden="false" outlineLevel="1" customWidth="1"/>
    <col min="257" max="257" width="10.69" hidden="false" outlineLevel="1" customWidth="1"/>
    <col min="258" max="258" width="10.69" hidden="false" outlineLevel="1" customWidth="1"/>
    <col min="259" max="259" width="10.69" hidden="false" outlineLevel="1" customWidth="1"/>
    <col min="260" max="260" width="10.69" hidden="false" outlineLevel="1" customWidth="1"/>
    <col min="261" max="261" width="10.69" hidden="false" outlineLevel="1" customWidth="1"/>
    <col min="262" max="262" width="10.69" hidden="false" outlineLevel="1" customWidth="1"/>
    <col min="263" max="263" width="10.69" hidden="false" outlineLevel="1" customWidth="1"/>
    <col min="264" max="264" width="10.69" hidden="false" outlineLevel="1" customWidth="1"/>
    <col min="265" max="265" width="10.69" hidden="false" outlineLevel="1" customWidth="1"/>
    <col min="266" max="266" width="10.69" hidden="false" outlineLevel="1" customWidth="1"/>
    <col min="267" max="267" width="10.69" hidden="false" outlineLevel="1" customWidth="1"/>
    <col min="268" max="268" width="10.69" hidden="false" outlineLevel="1" customWidth="1"/>
    <col min="269" max="269" width="10.69" hidden="false" outlineLevel="1" customWidth="1"/>
    <col min="270" max="270" width="10.69" hidden="false" outlineLevel="1" customWidth="1"/>
    <col min="271" max="271" width="10.69" hidden="false" outlineLevel="1" customWidth="1"/>
    <col min="272" max="272" width="10.69" hidden="false" outlineLevel="1" customWidth="1"/>
    <col min="273" max="273" width="10.69" hidden="false" outlineLevel="1" customWidth="1"/>
    <col min="274" max="274" width="10.69" hidden="false" outlineLevel="1" customWidth="1"/>
    <col min="275" max="275" width="10.69" hidden="false" outlineLevel="1" customWidth="1"/>
    <col min="276" max="276" width="10.69" hidden="false" outlineLevel="1" customWidth="1"/>
    <col min="277" max="277" width="10.69" hidden="false" outlineLevel="1" customWidth="1"/>
    <col min="278" max="278" width="10.69" hidden="false" outlineLevel="1" customWidth="1"/>
    <col min="279" max="279" width="10.69" hidden="false" outlineLevel="1" customWidth="1"/>
    <col min="280" max="280" width="10.69" hidden="false" outlineLevel="1" customWidth="1"/>
    <col min="281" max="281" width="10.69" hidden="false" outlineLevel="1" customWidth="1"/>
    <col min="282" max="282" width="10.69" hidden="false" outlineLevel="1" customWidth="1"/>
    <col min="283" max="283" width="10.69" hidden="false" outlineLevel="1" customWidth="1"/>
    <col min="284" max="284" width="10.69" hidden="false" outlineLevel="1" customWidth="1"/>
    <col min="285" max="285" width="10.69" hidden="false" outlineLevel="1" customWidth="1"/>
    <col min="286" max="286" width="10.69" hidden="false" outlineLevel="1" customWidth="1"/>
    <col min="287" max="287" width="10.69" hidden="false" outlineLevel="1" customWidth="1"/>
    <col min="288" max="288" width="10.69" hidden="false" outlineLevel="1" customWidth="1"/>
    <col min="289" max="289" width="10.69" hidden="false" outlineLevel="1" customWidth="1"/>
    <col min="290" max="290" width="10.69" hidden="false" outlineLevel="1" customWidth="1"/>
    <col min="291" max="291" width="10.69" hidden="false" outlineLevel="1" customWidth="1"/>
    <col min="292" max="292" width="10.69" hidden="false" outlineLevel="1" customWidth="1"/>
    <col min="293" max="293" width="10.69" hidden="false" outlineLevel="1" customWidth="1"/>
    <col min="294" max="294" width="10.69" hidden="false" outlineLevel="1" customWidth="1"/>
    <col min="295" max="295" width="10.69" hidden="false" outlineLevel="1" customWidth="1"/>
    <col min="296" max="296" width="10.69" hidden="false" outlineLevel="1" customWidth="1"/>
    <col min="297" max="297" width="10.69" hidden="false" outlineLevel="1" customWidth="1"/>
    <col min="298" max="298" width="10.69" hidden="false" outlineLevel="1" customWidth="1"/>
    <col min="299" max="299" width="10.69" hidden="false" outlineLevel="1" customWidth="1"/>
    <col min="300" max="300" width="10.69" hidden="false" outlineLevel="1" customWidth="1"/>
    <col min="301" max="301" width="10.69" hidden="false" outlineLevel="1" customWidth="1"/>
    <col min="302" max="302" width="10.69" hidden="false" outlineLevel="1" customWidth="1"/>
    <col min="303" max="303" width="10.69" hidden="false" outlineLevel="1" customWidth="1"/>
    <col min="304" max="304" width="10.69" hidden="false" outlineLevel="1" customWidth="1"/>
    <col min="305" max="305" width="10.69" hidden="false" outlineLevel="1" customWidth="1"/>
    <col min="306" max="306" width="10.69" hidden="false" outlineLevel="1" customWidth="1"/>
    <col min="307" max="307" width="10.69" hidden="false" outlineLevel="1" customWidth="1"/>
    <col min="308" max="308" width="10.69" hidden="false" outlineLevel="1" customWidth="1"/>
    <col min="309" max="309" width="10.69" hidden="false" outlineLevel="1" customWidth="1"/>
    <col min="310" max="310" width="10.69" hidden="false" outlineLevel="1" customWidth="1"/>
    <col min="311" max="311" width="10.69" hidden="false" outlineLevel="1" customWidth="1"/>
    <col min="312" max="312" width="10.69" hidden="false" outlineLevel="1" customWidth="1"/>
    <col min="313" max="313" width="10.69" hidden="false" outlineLevel="1" customWidth="1"/>
    <col min="314" max="314" width="10.69" hidden="false" outlineLevel="1" customWidth="1"/>
    <col min="315" max="315" width="10.69" hidden="false" outlineLevel="1" customWidth="1"/>
    <col min="316" max="316" width="10.69" hidden="false" outlineLevel="1" customWidth="1"/>
    <col min="317" max="317" width="10.69" hidden="false" outlineLevel="1" customWidth="1"/>
    <col min="318" max="318" width="10.69" hidden="false" outlineLevel="1" customWidth="1"/>
    <col min="319" max="319" width="10.69" hidden="false" outlineLevel="1" customWidth="1"/>
    <col min="320" max="320" width="10.69" hidden="false" outlineLevel="1" customWidth="1"/>
    <col min="321" max="321" width="10.69" hidden="false" outlineLevel="1" customWidth="1"/>
    <col min="322" max="322" width="10.69" hidden="false" outlineLevel="1" customWidth="1"/>
    <col min="323" max="323" width="10.69" hidden="false" outlineLevel="1" customWidth="1"/>
    <col min="324" max="324" width="10.69" hidden="false" outlineLevel="1" customWidth="1"/>
    <col min="325" max="325" width="10.69" hidden="false" outlineLevel="1" customWidth="1"/>
    <col min="326" max="326" width="10.69" hidden="false" outlineLevel="1" customWidth="1"/>
    <col min="327" max="327" width="10.69" hidden="false" outlineLevel="1" customWidth="1"/>
    <col min="328" max="328" width="10.69" hidden="false" outlineLevel="1" customWidth="1"/>
    <col min="329" max="329" width="10.69" hidden="false" outlineLevel="1" customWidth="1"/>
    <col min="330" max="330" width="10.69" hidden="false" outlineLevel="1" customWidth="1"/>
    <col min="331" max="331" width="10.69" hidden="false" outlineLevel="1" customWidth="1"/>
    <col min="332" max="332" width="10.69" hidden="false" outlineLevel="1" customWidth="1"/>
    <col min="333" max="333" width="10.69" hidden="false" outlineLevel="1" customWidth="1"/>
    <col min="334" max="334" width="10.69" hidden="false" outlineLevel="1" customWidth="1"/>
    <col min="335" max="335" width="10.69" hidden="false" outlineLevel="1" customWidth="1"/>
    <col min="336" max="336" width="10.69" hidden="false" outlineLevel="1" customWidth="1"/>
    <col min="337" max="337" width="10.69" hidden="false" outlineLevel="1" customWidth="1"/>
    <col min="338" max="338" width="10.69" hidden="false" outlineLevel="1" customWidth="1"/>
    <col min="339" max="339" width="10.69" hidden="false" outlineLevel="1" customWidth="1"/>
    <col min="340" max="340" width="10.69" hidden="false" outlineLevel="1" customWidth="1"/>
    <col min="341" max="341" width="10.69" hidden="false" outlineLevel="1" customWidth="1"/>
    <col min="342" max="342" width="10.69" hidden="false" outlineLevel="1" customWidth="1"/>
    <col min="343" max="343" width="10.69" hidden="false" outlineLevel="1" customWidth="1"/>
    <col min="344" max="344" width="10.69" hidden="false" outlineLevel="1" customWidth="1"/>
    <col min="345" max="345" width="10.69" hidden="false" outlineLevel="1" customWidth="1"/>
    <col min="346" max="346" width="10.69" hidden="false" outlineLevel="1" customWidth="1"/>
    <col min="347" max="347" width="10.69" hidden="false" outlineLevel="1" customWidth="1"/>
    <col min="348" max="348" width="10.69" hidden="false" outlineLevel="1" customWidth="1"/>
    <col min="349" max="349" width="10.69" hidden="false" outlineLevel="1" customWidth="1"/>
    <col min="350" max="350" width="10.69" hidden="false" outlineLevel="1" customWidth="1"/>
    <col min="351" max="351" width="10.69" hidden="false" outlineLevel="1" customWidth="1"/>
    <col min="352" max="352" width="10.69" hidden="false" outlineLevel="1" customWidth="1"/>
    <col min="353" max="353" width="10.69" hidden="false" outlineLevel="1" customWidth="1"/>
    <col min="354" max="354" width="10.69" hidden="false" outlineLevel="1" customWidth="1"/>
    <col min="355" max="355" width="10.69" hidden="false" outlineLevel="1" customWidth="1"/>
    <col min="356" max="356" width="10.69" hidden="false" outlineLevel="1" customWidth="1"/>
    <col min="357" max="357" width="10.69" hidden="false" outlineLevel="1" customWidth="1"/>
    <col min="358" max="358" width="10.69" hidden="false" outlineLevel="1" customWidth="1"/>
    <col min="359" max="359" width="10.69" hidden="false" outlineLevel="1" customWidth="1"/>
    <col min="360" max="360" width="10.69" hidden="false" outlineLevel="1" customWidth="1"/>
    <col min="361" max="361" width="10.69" hidden="false" outlineLevel="1" customWidth="1"/>
    <col min="362" max="362" width="10.69" hidden="false" outlineLevel="1" customWidth="1"/>
    <col min="363" max="363" width="10.69" hidden="false" outlineLevel="1" customWidth="1"/>
    <col min="364" max="364" width="10.69" hidden="false" outlineLevel="1" customWidth="1"/>
    <col min="365" max="365" width="10.69" hidden="false" outlineLevel="1" customWidth="1"/>
    <col min="366" max="366" width="10.69" hidden="false" outlineLevel="1" customWidth="1"/>
    <col min="367" max="367" width="10.69" hidden="false" outlineLevel="1" customWidth="1"/>
    <col min="368" max="368" width="10.69" hidden="false" outlineLevel="1" customWidth="1"/>
    <col min="369" max="369" width="10.69" hidden="false" outlineLevel="1" customWidth="1"/>
    <col min="370" max="370" width="10.69" hidden="false" outlineLevel="1" customWidth="1"/>
    <col min="371" max="371" width="10.69" hidden="false" outlineLevel="1" customWidth="1"/>
    <col min="372" max="372" width="10.69" hidden="false" outlineLevel="1" customWidth="1"/>
    <col min="373" max="373" width="10.69" hidden="false" outlineLevel="1" customWidth="1"/>
    <col min="374" max="374" width="10.69" hidden="false" outlineLevel="1" customWidth="1"/>
    <col min="375" max="375" width="10.69" hidden="false" outlineLevel="1" customWidth="1"/>
    <col min="376" max="376" width="10.69" hidden="false" outlineLevel="1" customWidth="1"/>
    <col min="377" max="377" width="10.69" hidden="false" outlineLevel="1" customWidth="1"/>
    <col min="378" max="378" width="10.69" hidden="false" outlineLevel="1" customWidth="1"/>
    <col min="379" max="379" width="10.69" hidden="false" outlineLevel="1" customWidth="1"/>
    <col min="380" max="380" width="10.69" hidden="false" outlineLevel="1" customWidth="1"/>
    <col min="381" max="381" width="10.69" hidden="false" outlineLevel="1" customWidth="1"/>
    <col min="382" max="382" width="10.69" hidden="false" outlineLevel="1" customWidth="1"/>
    <col min="383" max="383" width="10.69" hidden="false" outlineLevel="1" customWidth="1"/>
    <col min="384" max="384" width="10.69" hidden="false" outlineLevel="1" customWidth="1"/>
    <col min="385" max="385" width="10.69" hidden="false" outlineLevel="1" customWidth="1"/>
    <col min="386" max="386" width="10.69" hidden="false" outlineLevel="1" customWidth="1"/>
    <col min="387" max="387" width="10.69" hidden="false" outlineLevel="1" customWidth="1"/>
    <col min="388" max="388" width="10.69" hidden="false" outlineLevel="1" customWidth="1"/>
    <col min="389" max="389" width="10.69" hidden="false" outlineLevel="1" customWidth="1"/>
    <col min="390" max="390" width="10.69" hidden="false" outlineLevel="1" customWidth="1"/>
    <col min="391" max="391" width="10.69" hidden="false" outlineLevel="1" customWidth="1"/>
    <col min="392" max="392" width="10.69" hidden="false" outlineLevel="1" customWidth="1"/>
    <col min="393" max="393" width="10.69" hidden="false" outlineLevel="1" customWidth="1"/>
    <col min="394" max="394" width="10.69" hidden="false" outlineLevel="1" customWidth="1"/>
    <col min="395" max="395" width="10.69" hidden="false" outlineLevel="1" customWidth="1"/>
    <col min="396" max="396" width="10.69" hidden="false" outlineLevel="1" customWidth="1"/>
    <col min="397" max="397" width="10.69" hidden="false" outlineLevel="1" customWidth="1"/>
    <col min="398" max="398" width="10.69" hidden="false" outlineLevel="1" customWidth="1"/>
    <col min="399" max="399" width="10.69" hidden="false" outlineLevel="1" customWidth="1"/>
    <col min="400" max="400" width="10.69" hidden="false" outlineLevel="1" customWidth="1"/>
    <col min="401" max="401" width="10.69" hidden="false" outlineLevel="1" customWidth="1"/>
    <col min="402" max="402" width="10.69" hidden="false" outlineLevel="1" customWidth="1"/>
    <col min="403" max="403" width="10.69" hidden="false" outlineLevel="1" customWidth="1"/>
    <col min="404" max="404" width="10.69" hidden="false" outlineLevel="1" customWidth="1"/>
    <col min="405" max="405" width="10.69" hidden="false" outlineLevel="1" customWidth="1"/>
    <col min="406" max="406" width="10.69" hidden="false" outlineLevel="1" customWidth="1"/>
    <col min="407" max="407" width="10.69" hidden="false" outlineLevel="1" customWidth="1"/>
    <col min="408" max="408" width="10.69" hidden="false" outlineLevel="1" customWidth="1"/>
    <col min="409" max="409" width="10.69" hidden="false" outlineLevel="1" customWidth="1"/>
    <col min="410" max="410" width="10.69" hidden="false" outlineLevel="1" customWidth="1"/>
    <col min="411" max="411" width="10.69" hidden="false" outlineLevel="1" customWidth="1"/>
    <col min="412" max="412" width="10.69" hidden="false" outlineLevel="1" customWidth="1"/>
    <col min="413" max="413" width="10.69" hidden="false" outlineLevel="1" customWidth="1"/>
    <col min="414" max="414" width="10.69" hidden="false" outlineLevel="1" customWidth="1"/>
    <col min="415" max="415" width="10.69" hidden="false" outlineLevel="1" customWidth="1"/>
    <col min="416" max="416" width="10.69" hidden="false" outlineLevel="1" customWidth="1"/>
    <col min="417" max="417" width="10.69" hidden="false" outlineLevel="1" customWidth="1"/>
    <col min="418" max="418" width="10.69" hidden="false" outlineLevel="1" customWidth="1"/>
    <col min="419" max="419" width="10.69" hidden="false" outlineLevel="1" customWidth="1"/>
    <col min="420" max="420" width="10.69" hidden="false" outlineLevel="1" customWidth="1"/>
    <col min="421" max="421" width="10.69" hidden="false" outlineLevel="1" customWidth="1"/>
    <col min="422" max="422" width="10.69" hidden="false" outlineLevel="1" customWidth="1"/>
    <col min="423" max="423" width="10.69" hidden="false" outlineLevel="1" customWidth="1"/>
    <col min="424" max="424" width="10.69" hidden="false" outlineLevel="1" customWidth="1"/>
    <col min="425" max="425" width="10.69" hidden="false" outlineLevel="1" customWidth="1"/>
    <col min="426" max="426" width="10.69" hidden="false" outlineLevel="1" customWidth="1"/>
    <col min="427" max="427" width="10.69" hidden="false" outlineLevel="1" customWidth="1"/>
    <col min="428" max="428" width="10.69" hidden="false" outlineLevel="1" customWidth="1"/>
    <col min="429" max="429" width="10.69" hidden="false" outlineLevel="1" customWidth="1"/>
    <col min="430" max="430" width="10.69" hidden="false" outlineLevel="1" customWidth="1"/>
    <col min="431" max="431" width="10.69" hidden="false" outlineLevel="1" customWidth="1"/>
    <col min="432" max="432" width="10.69" hidden="false" outlineLevel="1" customWidth="1"/>
    <col min="433" max="433" width="10.69" hidden="false" outlineLevel="1" customWidth="1"/>
    <col min="434" max="434" width="10.69" hidden="false" outlineLevel="1" customWidth="1"/>
    <col min="435" max="435" width="10.69" hidden="false" outlineLevel="1" customWidth="1"/>
    <col min="436" max="436" width="10.69" hidden="false" outlineLevel="1" customWidth="1"/>
    <col min="437" max="437" width="10.69" hidden="false" outlineLevel="1" customWidth="1"/>
    <col min="438" max="438" width="10.69" hidden="false" outlineLevel="1" customWidth="1"/>
    <col min="439" max="439" width="10.69" hidden="false" outlineLevel="1" customWidth="1"/>
    <col min="440" max="440" width="10.69" hidden="false" outlineLevel="1" customWidth="1"/>
    <col min="441" max="441" width="10.69" hidden="false" outlineLevel="1" customWidth="1"/>
    <col min="442" max="442" width="10.69" hidden="false" outlineLevel="1" customWidth="1"/>
    <col min="443" max="443" width="10.69" hidden="false" outlineLevel="1" customWidth="1"/>
    <col min="444" max="444" width="10.69" hidden="false" outlineLevel="1" customWidth="1"/>
    <col min="445" max="445" width="10.69" hidden="false" outlineLevel="1" customWidth="1"/>
    <col min="446" max="446" width="10.69" hidden="false" outlineLevel="1" customWidth="1"/>
    <col min="447" max="447" width="10.69" hidden="false" outlineLevel="1" customWidth="1"/>
    <col min="448" max="448" width="10.69" hidden="false" outlineLevel="1" customWidth="1"/>
    <col min="449" max="449" width="10.69" hidden="false" outlineLevel="1" customWidth="1"/>
    <col min="450" max="450" width="10.69" hidden="false" outlineLevel="1" customWidth="1"/>
    <col min="451" max="451" width="10.69" hidden="false" outlineLevel="1" customWidth="1"/>
    <col min="452" max="452" width="10.69" hidden="false" outlineLevel="1" customWidth="1"/>
    <col min="453" max="453" width="10.69" hidden="false" outlineLevel="1" customWidth="1"/>
    <col min="454" max="454" width="10.69" hidden="false" outlineLevel="1" customWidth="1"/>
    <col min="455" max="455" width="10.69" hidden="false" outlineLevel="1" customWidth="1"/>
    <col min="456" max="456" width="10.69" hidden="false" outlineLevel="1" customWidth="1"/>
    <col min="457" max="457" width="10.69" hidden="false" outlineLevel="1" customWidth="1"/>
    <col min="458" max="458" width="10.69" hidden="false" outlineLevel="1" customWidth="1"/>
    <col min="459" max="459" width="10.69" hidden="false" outlineLevel="1" customWidth="1"/>
    <col min="460" max="460" width="10.69" hidden="false" outlineLevel="1" customWidth="1"/>
    <col min="461" max="461" width="10.69" hidden="false" outlineLevel="1" customWidth="1"/>
    <col min="462" max="462" width="10.69" hidden="false" outlineLevel="1" customWidth="1"/>
    <col min="463" max="463" width="10.69" hidden="false" outlineLevel="1" customWidth="1"/>
    <col min="464" max="464" width="10.69" hidden="false" outlineLevel="1" customWidth="1"/>
    <col min="465" max="465" width="10.69" hidden="false" outlineLevel="1" customWidth="1"/>
    <col min="466" max="466" width="10.69" hidden="false" outlineLevel="1" customWidth="1"/>
    <col min="467" max="467" width="10.69" hidden="false" outlineLevel="1" customWidth="1"/>
    <col min="468" max="468" width="10.69" hidden="false" outlineLevel="1" customWidth="1"/>
    <col min="469" max="469" width="10.69" hidden="false" outlineLevel="1" customWidth="1"/>
    <col min="470" max="470" width="10.69" hidden="false" outlineLevel="1" customWidth="1"/>
    <col min="471" max="471" width="10.69" hidden="false" outlineLevel="1" customWidth="1"/>
    <col min="472" max="472" width="10.69" hidden="false" outlineLevel="1" customWidth="1"/>
    <col min="473" max="473" width="10.69" hidden="false" outlineLevel="1" customWidth="1"/>
    <col min="474" max="474" width="10.69" hidden="false" outlineLevel="1" customWidth="1"/>
    <col min="475" max="475" width="10.69" hidden="false" outlineLevel="1" customWidth="1"/>
    <col min="476" max="476" width="10.69" hidden="false" outlineLevel="1" customWidth="1"/>
    <col min="477" max="477" width="10.69" hidden="false" outlineLevel="1" customWidth="1"/>
    <col min="478" max="478" width="10.69" hidden="false" outlineLevel="1" customWidth="1"/>
    <col min="479" max="479" width="10.69" hidden="false" outlineLevel="1" customWidth="1"/>
    <col min="480" max="480" width="10.69" hidden="false" outlineLevel="1" customWidth="1"/>
    <col min="481" max="481" width="10.69" hidden="false" outlineLevel="1" customWidth="1"/>
    <col min="482" max="482" width="10.69" hidden="false" outlineLevel="1" customWidth="1"/>
    <col min="483" max="483" width="10.69" hidden="false" outlineLevel="1" customWidth="1"/>
    <col min="484" max="484" width="10.69" hidden="false" outlineLevel="1" customWidth="1"/>
    <col min="485" max="485" width="10.69" hidden="false" outlineLevel="1" customWidth="1"/>
    <col min="486" max="486" width="10.69" hidden="false" outlineLevel="1" customWidth="1"/>
    <col min="487" max="487" width="10.69" hidden="false" outlineLevel="1" customWidth="1"/>
    <col min="488" max="488" width="10.69" hidden="false" outlineLevel="1" customWidth="1"/>
    <col min="489" max="489" width="10.69" hidden="false" outlineLevel="1" customWidth="1"/>
    <col min="490" max="490" width="10.69" hidden="false" outlineLevel="1" customWidth="1"/>
    <col min="491" max="491" width="10.69" hidden="false" outlineLevel="1" customWidth="1"/>
    <col min="492" max="492" width="10.69" hidden="false" outlineLevel="1" customWidth="1"/>
    <col min="493" max="493" width="10.69" hidden="false" outlineLevel="1" customWidth="1"/>
    <col min="494" max="494" width="10.69" hidden="false" outlineLevel="1" customWidth="1"/>
    <col min="495" max="495" width="10.69" hidden="false" outlineLevel="1" customWidth="1"/>
    <col min="496" max="496" width="10.69" hidden="false" outlineLevel="1" customWidth="1"/>
    <col min="497" max="497" width="10.69" hidden="false" outlineLevel="1" customWidth="1"/>
    <col min="498" max="498" width="10.69" hidden="false" outlineLevel="1" customWidth="1"/>
    <col min="499" max="499" width="10.69" hidden="false" outlineLevel="1" customWidth="1"/>
    <col min="500" max="500" width="10.69" hidden="false" outlineLevel="1" customWidth="1"/>
    <col min="501" max="501" width="10.69" hidden="false" outlineLevel="1" customWidth="1"/>
    <col min="502" max="502" width="10.69" hidden="false" outlineLevel="1" customWidth="1"/>
    <col min="503" max="503" width="10.69" hidden="false" outlineLevel="1" customWidth="1"/>
    <col min="504" max="504" width="10.69" hidden="false" outlineLevel="1" customWidth="1"/>
    <col min="505" max="505" width="10.69" hidden="false" outlineLevel="1" customWidth="1"/>
    <col min="506" max="506" width="10.69" hidden="false" outlineLevel="1" customWidth="1"/>
    <col min="507" max="507" width="10.69" hidden="false" outlineLevel="1" customWidth="1"/>
    <col min="508" max="508" width="10.69" hidden="false" outlineLevel="1" customWidth="1"/>
    <col min="509" max="509" width="10.69" hidden="false" outlineLevel="1" customWidth="1"/>
    <col min="510" max="510" width="10.69" hidden="false" outlineLevel="1" customWidth="1"/>
    <col min="511" max="511" width="10.69" hidden="false" outlineLevel="1" customWidth="1"/>
    <col min="512" max="512" width="10.69" hidden="false" outlineLevel="1" customWidth="1"/>
    <col min="513" max="513" width="10.69" hidden="false" outlineLevel="1" customWidth="1"/>
    <col min="514" max="514" width="10.69" hidden="false" outlineLevel="1" customWidth="1"/>
    <col min="515" max="515" width="10.69" hidden="false" outlineLevel="1" customWidth="1"/>
    <col min="516" max="516" width="10.69" hidden="false" outlineLevel="1" customWidth="1"/>
    <col min="517" max="517" width="10.69" hidden="false" outlineLevel="1" customWidth="1"/>
    <col min="518" max="518" width="10.69" hidden="false" outlineLevel="1" customWidth="1"/>
    <col min="519" max="519" width="10.69" hidden="false" outlineLevel="1" customWidth="1"/>
    <col min="520" max="520" width="10.69" hidden="false" outlineLevel="1" customWidth="1"/>
    <col min="521" max="521" width="10.69" hidden="false" outlineLevel="1" customWidth="1"/>
    <col min="522" max="522" width="10.69" hidden="false" outlineLevel="1" customWidth="1"/>
    <col min="523" max="523" width="10.69" hidden="false" outlineLevel="1" customWidth="1"/>
    <col min="524" max="524" width="10.69" hidden="false" outlineLevel="1" customWidth="1"/>
    <col min="525" max="525" width="10.69" hidden="false" outlineLevel="1" customWidth="1"/>
    <col min="526" max="526" width="10.69" hidden="false" outlineLevel="1" customWidth="1"/>
    <col min="527" max="527" width="10.69" hidden="false" outlineLevel="1" customWidth="1"/>
    <col min="528" max="528" width="10.69" hidden="false" outlineLevel="1" customWidth="1"/>
    <col min="529" max="529" width="10.69" hidden="false" outlineLevel="1" customWidth="1"/>
    <col min="530" max="530" width="10.69" hidden="false" outlineLevel="1" customWidth="1"/>
    <col min="531" max="531" width="10.69" hidden="false" outlineLevel="1" customWidth="1"/>
    <col min="532" max="532" width="10.69" hidden="false" outlineLevel="1" customWidth="1"/>
    <col min="533" max="533" width="10.69" hidden="false" outlineLevel="1" customWidth="1"/>
    <col min="534" max="534" width="10.69" hidden="false" outlineLevel="1" customWidth="1"/>
    <col min="535" max="535" width="10.69" hidden="false" outlineLevel="1" customWidth="1"/>
    <col min="536" max="536" width="10.69" hidden="false" outlineLevel="1" customWidth="1"/>
    <col min="537" max="537" width="10.69" hidden="false" outlineLevel="1" customWidth="1"/>
    <col min="538" max="538" width="10.69" hidden="false" outlineLevel="1" customWidth="1"/>
    <col min="539" max="539" width="10.69" hidden="false" outlineLevel="1" customWidth="1"/>
    <col min="540" max="540" width="10.69" hidden="false" outlineLevel="1" customWidth="1"/>
    <col min="541" max="541" width="10.69" hidden="false" outlineLevel="1" customWidth="1"/>
    <col min="542" max="542" width="10.69" hidden="false" outlineLevel="1" customWidth="1"/>
    <col min="543" max="543" width="10.69" hidden="false" outlineLevel="1" customWidth="1"/>
    <col min="544" max="544" width="10.69" hidden="false" outlineLevel="1" customWidth="1"/>
    <col min="545" max="545" width="10.69" hidden="false" outlineLevel="1" customWidth="1"/>
    <col min="546" max="546" width="10.69" hidden="false" outlineLevel="1" customWidth="1"/>
    <col min="547" max="547" width="10.69" hidden="false" outlineLevel="1" customWidth="1"/>
    <col min="548" max="548" width="10.69" hidden="false" outlineLevel="1" customWidth="1"/>
    <col min="549" max="549" width="10.69" hidden="false" outlineLevel="1" customWidth="1"/>
    <col min="550" max="550" width="10.69" hidden="false" outlineLevel="1" customWidth="1"/>
    <col min="551" max="551" width="10.69" hidden="false" outlineLevel="1" customWidth="1"/>
    <col min="552" max="552" width="10.69" hidden="false" outlineLevel="1" customWidth="1"/>
    <col min="553" max="553" width="10.69" hidden="false" outlineLevel="1" customWidth="1"/>
    <col min="554" max="554" width="10.69" hidden="false" outlineLevel="1" customWidth="1"/>
    <col min="555" max="555" width="10.69" hidden="false" outlineLevel="1" customWidth="1"/>
    <col min="556" max="556" width="10.69" hidden="false" outlineLevel="1" customWidth="1"/>
    <col min="557" max="557" width="10.69" hidden="false" outlineLevel="1" customWidth="1"/>
    <col min="558" max="558" width="10.69" hidden="false" outlineLevel="1" customWidth="1"/>
    <col min="559" max="559" width="10.69" hidden="false" outlineLevel="1" customWidth="1"/>
    <col min="560" max="560" width="10.69" hidden="false" outlineLevel="1" customWidth="1"/>
    <col min="561" max="561" width="10.69" hidden="false" outlineLevel="1" customWidth="1"/>
    <col min="562" max="562" width="10.69" hidden="false" outlineLevel="1" customWidth="1"/>
    <col min="563" max="563" width="10.69" hidden="false" outlineLevel="1" customWidth="1"/>
    <col min="564" max="564" width="10.69" hidden="false" outlineLevel="1" customWidth="1"/>
    <col min="565" max="565" width="10.69" hidden="false" outlineLevel="1" customWidth="1"/>
    <col min="566" max="566" width="10.69" hidden="false" outlineLevel="1" customWidth="1"/>
    <col min="567" max="567" width="10.69" hidden="false" outlineLevel="1" customWidth="1"/>
    <col min="568" max="568" width="10.69" hidden="false" outlineLevel="1" customWidth="1"/>
    <col min="569" max="569" width="10.69" hidden="false" outlineLevel="1" customWidth="1"/>
    <col min="570" max="570" width="10.69" hidden="false" outlineLevel="1" customWidth="1"/>
    <col min="571" max="571" width="10.69" hidden="false" outlineLevel="1" customWidth="1"/>
    <col min="572" max="572" width="10.69" hidden="false" outlineLevel="1" customWidth="1"/>
    <col min="573" max="573" width="10.69" hidden="false" outlineLevel="1" customWidth="1"/>
    <col min="574" max="574" width="10.69" hidden="false" outlineLevel="1" customWidth="1"/>
    <col min="575" max="575" width="10.69" hidden="false" outlineLevel="1" customWidth="1"/>
    <col min="576" max="576" width="10.69" hidden="false" outlineLevel="1" customWidth="1"/>
    <col min="577" max="577" width="10.69" hidden="false" outlineLevel="1" customWidth="1"/>
    <col min="578" max="578" width="10.69" hidden="false" outlineLevel="1" customWidth="1"/>
    <col min="579" max="579" width="10.69" hidden="false" outlineLevel="1" customWidth="1"/>
    <col min="580" max="580" width="10.69" hidden="false" outlineLevel="1" customWidth="1"/>
    <col min="581" max="581" width="10.69" hidden="false" outlineLevel="1" customWidth="1"/>
    <col min="582" max="582" width="10.69" hidden="false" outlineLevel="1" customWidth="1"/>
    <col min="583" max="583" width="10.69" hidden="false" outlineLevel="1" customWidth="1"/>
    <col min="584" max="584" width="10.69" hidden="false" outlineLevel="1" customWidth="1"/>
    <col min="585" max="585" width="10.69" hidden="false" outlineLevel="1" customWidth="1"/>
    <col min="586" max="586" width="10.69" hidden="false" outlineLevel="1" customWidth="1"/>
    <col min="587" max="587" width="10.69" hidden="false" outlineLevel="1" customWidth="1"/>
    <col min="588" max="588" width="10.69" hidden="false" outlineLevel="1" customWidth="1"/>
    <col min="589" max="589" width="10.69" hidden="false" outlineLevel="1" customWidth="1"/>
    <col min="590" max="590" width="10.69" hidden="false" outlineLevel="1" customWidth="1"/>
    <col min="591" max="591" width="10.69" hidden="false" outlineLevel="1" customWidth="1"/>
    <col min="592" max="592" width="10.69" hidden="false" outlineLevel="1" customWidth="1"/>
    <col min="593" max="593" width="10.69" hidden="false" outlineLevel="1" customWidth="1"/>
    <col min="594" max="594" width="10.69" hidden="false" outlineLevel="1" customWidth="1"/>
    <col min="595" max="595" width="10.69" hidden="false" outlineLevel="1" customWidth="1"/>
    <col min="596" max="596" width="10.69" hidden="false" outlineLevel="1" customWidth="1"/>
    <col min="597" max="597" width="10.69" hidden="false" outlineLevel="1" customWidth="1"/>
    <col min="598" max="598" width="10.69" hidden="false" outlineLevel="1" customWidth="1"/>
    <col min="599" max="599" width="10.69" hidden="false" outlineLevel="1" customWidth="1"/>
    <col min="600" max="600" width="10.69" hidden="false" outlineLevel="1" customWidth="1"/>
    <col min="601" max="601" width="10.69" hidden="false" outlineLevel="1" customWidth="1"/>
    <col min="602" max="602" width="10.69" hidden="false" outlineLevel="1" customWidth="1"/>
    <col min="603" max="603" width="10.69" hidden="false" outlineLevel="1" customWidth="1"/>
    <col min="604" max="604" width="10.69" hidden="false" outlineLevel="1" customWidth="1"/>
    <col min="605" max="605" width="10.69" hidden="false" outlineLevel="1" customWidth="1"/>
    <col min="606" max="606" width="10.69" hidden="false" outlineLevel="1" customWidth="1"/>
    <col min="607" max="607" width="10.69" hidden="false" outlineLevel="1" customWidth="1"/>
    <col min="608" max="608" width="10.69" hidden="false" outlineLevel="1" customWidth="1"/>
    <col min="609" max="609" width="10.69" hidden="false" outlineLevel="1" customWidth="1"/>
    <col min="610" max="610" width="10.69" hidden="false" outlineLevel="1" customWidth="1"/>
    <col min="611" max="611" width="10.69" hidden="false" outlineLevel="1" customWidth="1"/>
    <col min="612" max="612" width="10.69" hidden="false" outlineLevel="1" customWidth="1"/>
    <col min="613" max="613" width="10.69" hidden="false" outlineLevel="1" customWidth="1"/>
    <col min="614" max="614" width="10.69" hidden="false" outlineLevel="1" customWidth="1"/>
    <col min="615" max="615" width="10.69" hidden="false" outlineLevel="1" customWidth="1"/>
    <col min="616" max="616" width="10.69" hidden="false" outlineLevel="1" customWidth="1"/>
    <col min="617" max="617" width="10.69" hidden="false" outlineLevel="1" customWidth="1"/>
    <col min="618" max="618" width="10.69" hidden="false" outlineLevel="1" customWidth="1"/>
    <col min="619" max="619" width="10.69" hidden="false" outlineLevel="1" customWidth="1"/>
    <col min="620" max="620" width="10.69" hidden="false" outlineLevel="1" customWidth="1"/>
    <col min="621" max="621" width="10.69" hidden="false" outlineLevel="1" customWidth="1"/>
    <col min="622" max="622" width="10.69" hidden="false" outlineLevel="1" customWidth="1"/>
    <col min="623" max="623" width="10.69" hidden="false" outlineLevel="1" customWidth="1"/>
    <col min="624" max="624" width="10.69" hidden="false" outlineLevel="1" customWidth="1"/>
    <col min="625" max="625" width="10.69" hidden="false" outlineLevel="1" customWidth="1"/>
    <col min="626" max="626" width="10.69" hidden="false" outlineLevel="1" customWidth="1"/>
    <col min="627" max="627" width="10.69" hidden="false" outlineLevel="1" customWidth="1"/>
    <col min="628" max="628" width="10.69" hidden="false" outlineLevel="1" customWidth="1"/>
    <col min="629" max="629" width="10.69" hidden="false" outlineLevel="1" customWidth="1"/>
    <col min="630" max="630" width="10.69" hidden="false" outlineLevel="1" customWidth="1"/>
    <col min="631" max="631" width="10.69" hidden="false" outlineLevel="1" customWidth="1"/>
    <col min="632" max="632" width="10.69" hidden="false" outlineLevel="1" customWidth="1"/>
    <col min="633" max="633" width="10.69" hidden="false" outlineLevel="1" customWidth="1"/>
    <col min="634" max="634" width="10.69" hidden="false" outlineLevel="1" customWidth="1"/>
    <col min="635" max="635" width="10.69" hidden="false" outlineLevel="1" customWidth="1"/>
    <col min="636" max="636" width="10.69" hidden="false" outlineLevel="1" customWidth="1"/>
    <col min="637" max="637" width="10.69" hidden="false" outlineLevel="1" customWidth="1"/>
    <col min="638" max="638" width="10.69" hidden="false" outlineLevel="1" customWidth="1"/>
    <col min="639" max="639" width="10.69" hidden="false" outlineLevel="1" customWidth="1"/>
    <col min="640" max="640" width="10.69" hidden="false" outlineLevel="1" customWidth="1"/>
    <col min="641" max="641" width="10.69" hidden="false" outlineLevel="1" customWidth="1"/>
    <col min="642" max="642" width="10.69" hidden="false" outlineLevel="1" customWidth="1"/>
    <col min="643" max="643" width="10.69" hidden="false" outlineLevel="1" customWidth="1"/>
    <col min="644" max="644" width="10.69" hidden="false" outlineLevel="1" customWidth="1"/>
    <col min="645" max="645" width="10.69" hidden="false" outlineLevel="1" customWidth="1"/>
    <col min="646" max="646" width="10.69" hidden="false" outlineLevel="1" customWidth="1"/>
    <col min="647" max="647" width="10.69" hidden="false" outlineLevel="1" customWidth="1"/>
    <col min="648" max="648" width="10.69" hidden="false" outlineLevel="1" customWidth="1"/>
    <col min="649" max="649" width="10.69" hidden="false" outlineLevel="1" customWidth="1"/>
    <col min="650" max="650" width="10.69" hidden="false" outlineLevel="1" customWidth="1"/>
    <col min="651" max="651" width="10.69" hidden="false" outlineLevel="1" customWidth="1"/>
    <col min="652" max="652" width="10.69" hidden="false" outlineLevel="1" customWidth="1"/>
    <col min="653" max="653" width="10.69" hidden="false" outlineLevel="1" customWidth="1"/>
    <col min="654" max="654" width="10.69" hidden="false" outlineLevel="1" customWidth="1"/>
    <col min="655" max="655" width="10.69" hidden="false" outlineLevel="1" customWidth="1"/>
    <col min="656" max="656" width="10.69" hidden="false" outlineLevel="1" customWidth="1"/>
    <col min="657" max="657" width="10.69" hidden="false" outlineLevel="1" customWidth="1"/>
    <col min="658" max="658" width="10.69" hidden="false" outlineLevel="1" customWidth="1"/>
    <col min="659" max="659" width="10.69" hidden="false" outlineLevel="1" customWidth="1"/>
    <col min="660" max="660" width="10.69" hidden="false" outlineLevel="1" customWidth="1"/>
    <col min="661" max="661" width="10.69" hidden="false" outlineLevel="1" customWidth="1"/>
    <col min="662" max="662" width="10.69" hidden="false" outlineLevel="1" customWidth="1"/>
    <col min="663" max="663" width="10.69" hidden="false" outlineLevel="1" customWidth="1"/>
    <col min="664" max="664" width="10.69" hidden="false" outlineLevel="1" customWidth="1"/>
    <col min="665" max="665" width="10.69" hidden="false" outlineLevel="1" customWidth="1"/>
    <col min="666" max="666" width="10.69" hidden="false" outlineLevel="1" customWidth="1"/>
    <col min="667" max="667" width="10.69" hidden="false" outlineLevel="1" customWidth="1"/>
    <col min="668" max="668" width="10.69" hidden="false" outlineLevel="1" customWidth="1"/>
    <col min="669" max="669" width="10.69" hidden="false" outlineLevel="1" customWidth="1"/>
    <col min="670" max="670" width="10.69" hidden="false" outlineLevel="1" customWidth="1"/>
    <col min="671" max="671" width="10.69" hidden="false" outlineLevel="1" customWidth="1"/>
    <col min="672" max="672" width="10.69" hidden="false" outlineLevel="1" customWidth="1"/>
    <col min="673" max="673" width="10.69" hidden="false" outlineLevel="1" customWidth="1"/>
    <col min="674" max="674" width="10.69" hidden="false" outlineLevel="1" customWidth="1"/>
    <col min="675" max="675" width="10.69" hidden="false" outlineLevel="1" customWidth="1"/>
    <col min="676" max="676" width="10.69" hidden="false" outlineLevel="1" customWidth="1"/>
    <col min="677" max="677" width="10.69" hidden="false" outlineLevel="1" customWidth="1"/>
    <col min="678" max="678" width="10.69" hidden="false" outlineLevel="1" customWidth="1"/>
    <col min="679" max="679" width="10.69" hidden="false" outlineLevel="1" customWidth="1"/>
    <col min="680" max="680" width="10.69" hidden="false" outlineLevel="1" customWidth="1"/>
    <col min="681" max="681" width="10.69" hidden="false" outlineLevel="1" customWidth="1"/>
    <col min="682" max="682" width="10.69" hidden="false" outlineLevel="1" customWidth="1"/>
    <col min="683" max="683" width="10.69" hidden="false" outlineLevel="1" customWidth="1"/>
    <col min="684" max="684" width="10.69" hidden="false" outlineLevel="1" customWidth="1"/>
    <col min="685" max="685" width="10.69" hidden="false" outlineLevel="1" customWidth="1"/>
    <col min="686" max="686" width="10.69" hidden="false" outlineLevel="1" customWidth="1"/>
    <col min="687" max="687" width="10.69" hidden="false" outlineLevel="1" customWidth="1"/>
    <col min="688" max="688" width="10.69" hidden="false" outlineLevel="1" customWidth="1"/>
    <col min="689" max="689" width="10.69" hidden="false" outlineLevel="1" customWidth="1"/>
    <col min="690" max="690" width="10.69" hidden="false" outlineLevel="1" customWidth="1"/>
    <col min="691" max="691" width="10.69" hidden="false" outlineLevel="1" customWidth="1"/>
    <col min="692" max="692" width="10.69" hidden="false" outlineLevel="1" customWidth="1"/>
    <col min="693" max="693" width="10.69" hidden="false" outlineLevel="1" customWidth="1"/>
    <col min="694" max="694" width="10.69" hidden="false" outlineLevel="1" customWidth="1"/>
    <col min="695" max="695" width="10.69" hidden="false" outlineLevel="1" customWidth="1"/>
    <col min="696" max="696" width="10.69" hidden="false" outlineLevel="1" customWidth="1"/>
    <col min="697" max="697" width="10.69" hidden="false" outlineLevel="1" customWidth="1"/>
    <col min="698" max="698" width="10.69" hidden="false" outlineLevel="1" customWidth="1"/>
    <col min="699" max="699" width="10.69" hidden="false" outlineLevel="1" customWidth="1"/>
    <col min="700" max="700" width="10.69" hidden="false" outlineLevel="1" customWidth="1"/>
    <col min="701" max="701" width="10.69" hidden="false" outlineLevel="1" customWidth="1"/>
    <col min="702" max="702" width="10.69" hidden="false" outlineLevel="1" customWidth="1"/>
    <col min="703" max="703" width="10.69" hidden="false" outlineLevel="1" customWidth="1"/>
    <col min="704" max="704" width="10.69" hidden="false" outlineLevel="1" customWidth="1"/>
    <col min="705" max="705" width="10.69" hidden="false" outlineLevel="1" customWidth="1"/>
    <col min="706" max="706" width="10.69" hidden="false" outlineLevel="1" customWidth="1"/>
    <col min="707" max="707" width="10.69" hidden="false" outlineLevel="1" customWidth="1"/>
    <col min="708" max="708" width="10.69" hidden="false" outlineLevel="1" customWidth="1"/>
    <col min="709" max="709" width="10.69" hidden="false" outlineLevel="1" customWidth="1"/>
    <col min="710" max="710" width="10.69" hidden="false" outlineLevel="1" customWidth="1"/>
    <col min="711" max="711" width="10.69" hidden="false" outlineLevel="1" customWidth="1"/>
    <col min="712" max="712" width="10.69" hidden="false" outlineLevel="1" customWidth="1"/>
    <col min="713" max="713" width="10.69" hidden="false" outlineLevel="1" customWidth="1"/>
    <col min="714" max="714" width="10.69" hidden="false" outlineLevel="1" customWidth="1"/>
    <col min="715" max="715" width="10.69" hidden="false" outlineLevel="1" customWidth="1"/>
    <col min="716" max="716" width="10.69" hidden="false" outlineLevel="1" customWidth="1"/>
    <col min="717" max="717" width="10.69" hidden="false" outlineLevel="1" customWidth="1"/>
    <col min="718" max="718" width="10.69" hidden="false" outlineLevel="1" customWidth="1"/>
    <col min="719" max="719" width="10.69" hidden="false" outlineLevel="1" customWidth="1"/>
    <col min="720" max="720" width="10.69" hidden="false" outlineLevel="1" customWidth="1"/>
    <col min="721" max="721" width="10.69" hidden="false" outlineLevel="1" customWidth="1"/>
    <col min="722" max="722" width="10.69" hidden="false" outlineLevel="1" customWidth="1"/>
    <col min="723" max="723" width="10.69" hidden="false" outlineLevel="1" customWidth="1"/>
    <col min="724" max="724" width="10.69" hidden="false" outlineLevel="1" customWidth="1"/>
    <col min="725" max="725" width="10.69" hidden="false" outlineLevel="1" customWidth="1"/>
    <col min="726" max="726" width="10.69" hidden="false" outlineLevel="1" customWidth="1"/>
    <col min="727" max="727" width="10.69" hidden="false" outlineLevel="1" customWidth="1"/>
    <col min="728" max="728" width="10.69" hidden="false" outlineLevel="1" customWidth="1"/>
    <col min="729" max="729" width="10.69" hidden="false" outlineLevel="1" customWidth="1"/>
    <col min="730" max="730" width="10.69" hidden="false" outlineLevel="1" customWidth="1"/>
    <col min="731" max="731" width="10.69" hidden="false" outlineLevel="1" customWidth="1"/>
    <col min="732" max="732" width="10.69" hidden="false" outlineLevel="1" customWidth="1"/>
    <col min="733" max="733" width="10.69" hidden="false" outlineLevel="1" customWidth="1"/>
    <col min="734" max="734" width="10.69" hidden="false" outlineLevel="1" customWidth="1"/>
    <col min="735" max="735" width="10.69" hidden="false" outlineLevel="1" customWidth="1"/>
    <col min="736" max="736" width="10.69" hidden="false" outlineLevel="1" customWidth="1"/>
    <col min="737" max="737" width="10.69" hidden="false" outlineLevel="1" customWidth="1"/>
    <col min="738" max="738" width="10.69" hidden="false" outlineLevel="1" customWidth="1"/>
    <col min="739" max="739" width="10.69" hidden="false" outlineLevel="1" customWidth="1"/>
    <col min="740" max="740" width="10.69" hidden="false" outlineLevel="1" customWidth="1"/>
    <col min="741" max="741" width="10.69" hidden="false" outlineLevel="1" customWidth="1"/>
    <col min="742" max="742" width="10.69" hidden="false" outlineLevel="1" customWidth="1"/>
    <col min="743" max="743" width="10.69" hidden="false" outlineLevel="1" customWidth="1"/>
    <col min="744" max="744" width="10.69" hidden="false" outlineLevel="1" customWidth="1"/>
    <col min="745" max="745" width="10.69" hidden="false" outlineLevel="1" customWidth="1"/>
    <col min="746" max="746" width="10.69" hidden="false" outlineLevel="1" customWidth="1"/>
    <col min="747" max="747" width="10.69" hidden="false" outlineLevel="1" customWidth="1"/>
    <col min="748" max="748" width="10.69" hidden="false" outlineLevel="1" customWidth="1"/>
    <col min="749" max="749" width="10.69" hidden="false" outlineLevel="1" customWidth="1"/>
    <col min="750" max="750" width="10.69" hidden="false" outlineLevel="1" customWidth="1"/>
    <col min="751" max="751" width="10.69" hidden="false" outlineLevel="1" customWidth="1"/>
    <col min="752" max="752" width="10.69" hidden="false" outlineLevel="1" customWidth="1"/>
    <col min="753" max="753" width="10.69" hidden="false" outlineLevel="1" customWidth="1"/>
    <col min="754" max="754" width="10.69" hidden="false" outlineLevel="1" customWidth="1"/>
    <col min="755" max="755" width="10.69" hidden="false" outlineLevel="1" customWidth="1"/>
    <col min="756" max="756" width="10.69" hidden="false" outlineLevel="1" customWidth="1"/>
    <col min="757" max="757" width="10.69" hidden="false" outlineLevel="1" customWidth="1"/>
    <col min="758" max="758" width="10.69" hidden="false" outlineLevel="1" customWidth="1"/>
    <col min="759" max="759" width="10.69" hidden="false" outlineLevel="1" customWidth="1"/>
    <col min="760" max="760" width="10.69" hidden="false" outlineLevel="1" customWidth="1"/>
    <col min="761" max="761" width="10.69" hidden="false" outlineLevel="1" customWidth="1"/>
    <col min="762" max="762" width="10.69" hidden="false" outlineLevel="1" customWidth="1"/>
    <col min="763" max="763" width="10.69" hidden="false" outlineLevel="1" customWidth="1"/>
    <col min="764" max="764" width="10.69" hidden="false" outlineLevel="1" customWidth="1"/>
    <col min="765" max="765" width="10.69" hidden="false" outlineLevel="1" customWidth="1"/>
    <col min="766" max="766" width="10.69" hidden="false" outlineLevel="1" customWidth="1"/>
    <col min="767" max="767" width="10.69" hidden="false" outlineLevel="1" customWidth="1"/>
    <col min="768" max="768" width="10.69" hidden="false" outlineLevel="1" customWidth="1"/>
    <col min="769" max="769" width="10.69" hidden="false" outlineLevel="1" customWidth="1"/>
    <col min="770" max="770" width="10.69" hidden="false" outlineLevel="1" customWidth="1"/>
    <col min="771" max="771" width="10.69" hidden="false" outlineLevel="1" customWidth="1"/>
    <col min="772" max="772" width="10.69" hidden="false" outlineLevel="1" customWidth="1"/>
    <col min="773" max="773" width="10.69" hidden="false" outlineLevel="1" customWidth="1"/>
    <col min="774" max="774" width="10.69" hidden="false" outlineLevel="1" customWidth="1"/>
    <col min="775" max="775" width="10.69" hidden="false" outlineLevel="1" customWidth="1"/>
    <col min="776" max="776" width="10.69" hidden="false" outlineLevel="1" customWidth="1"/>
    <col min="777" max="777" width="10.69" hidden="false" outlineLevel="1" customWidth="1"/>
    <col min="778" max="778" width="10.69" hidden="false" outlineLevel="1" customWidth="1"/>
    <col min="779" max="779" width="10.69" hidden="false" outlineLevel="1" customWidth="1"/>
    <col min="780" max="780" width="10.69" hidden="false" outlineLevel="1" customWidth="1"/>
    <col min="781" max="781" width="10.69" hidden="false" outlineLevel="1" customWidth="1"/>
    <col min="782" max="782" width="10.69" hidden="false" outlineLevel="1" customWidth="1"/>
    <col min="783" max="783" width="10.69" hidden="false" outlineLevel="1" customWidth="1"/>
    <col min="784" max="784" width="10.69" hidden="false" outlineLevel="1" customWidth="1"/>
    <col min="785" max="785" width="10.69" hidden="false" outlineLevel="1" customWidth="1"/>
    <col min="786" max="786" width="10.69" hidden="false" outlineLevel="1" customWidth="1"/>
    <col min="787" max="787" width="10.69" hidden="false" outlineLevel="1" customWidth="1"/>
    <col min="788" max="788" width="10.69" hidden="false" outlineLevel="1" customWidth="1"/>
    <col min="789" max="789" width="10.69" hidden="false" outlineLevel="1" customWidth="1"/>
    <col min="790" max="790" width="10.69" hidden="false" outlineLevel="1" customWidth="1"/>
    <col min="791" max="791" width="10.69" hidden="false" outlineLevel="1" customWidth="1"/>
    <col min="792" max="792" width="10.69" hidden="false" outlineLevel="1" customWidth="1"/>
    <col min="793" max="793" width="10.69" hidden="false" outlineLevel="1" customWidth="1"/>
    <col min="794" max="794" width="10.69" hidden="false" outlineLevel="1" customWidth="1"/>
    <col min="795" max="795" width="10.69" hidden="false" outlineLevel="1" customWidth="1"/>
    <col min="796" max="796" width="10.69" hidden="false" outlineLevel="1" customWidth="1"/>
    <col min="797" max="797" width="10.69" hidden="false" outlineLevel="1" customWidth="1"/>
    <col min="798" max="798" width="10.69" hidden="false" outlineLevel="1" customWidth="1"/>
    <col min="799" max="799" width="10.69" hidden="false" outlineLevel="1" customWidth="1"/>
    <col min="800" max="800" width="10.69" hidden="false" outlineLevel="1" customWidth="1"/>
    <col min="801" max="801" width="10.69" hidden="false" outlineLevel="1" customWidth="1"/>
    <col min="802" max="802" width="10.69" hidden="false" outlineLevel="1" customWidth="1"/>
    <col min="803" max="803" width="10.69" hidden="false" outlineLevel="1" customWidth="1"/>
    <col min="804" max="804" width="10.69" hidden="false" outlineLevel="1" customWidth="1"/>
    <col min="805" max="805" width="10.69" hidden="false" outlineLevel="1" customWidth="1"/>
    <col min="806" max="806" width="10.69" hidden="false" outlineLevel="1" customWidth="1"/>
    <col min="807" max="807" width="10.69" hidden="false" outlineLevel="1" customWidth="1"/>
    <col min="808" max="808" width="10.69" hidden="false" outlineLevel="1" customWidth="1"/>
    <col min="809" max="809" width="10.69" hidden="false" outlineLevel="1" customWidth="1"/>
    <col min="810" max="810" width="10.69" hidden="false" outlineLevel="1" customWidth="1"/>
    <col min="811" max="811" width="10.69" hidden="false" outlineLevel="1" customWidth="1"/>
    <col min="812" max="812" width="10.69" hidden="false" outlineLevel="1" customWidth="1"/>
    <col min="813" max="813" width="10.69" hidden="false" outlineLevel="1" customWidth="1"/>
    <col min="814" max="814" width="10.69" hidden="false" outlineLevel="1" customWidth="1"/>
    <col min="815" max="815" width="10.69" hidden="false" outlineLevel="1" customWidth="1"/>
    <col min="816" max="816" width="10.69" hidden="false" outlineLevel="1" customWidth="1"/>
    <col min="817" max="817" width="10.69" hidden="false" outlineLevel="1" customWidth="1"/>
    <col min="818" max="818" width="10.69" hidden="false" outlineLevel="1" customWidth="1"/>
    <col min="819" max="819" width="10.69" hidden="false" outlineLevel="1" customWidth="1"/>
    <col min="820" max="820" width="10.69" hidden="false" outlineLevel="1" customWidth="1"/>
    <col min="821" max="821" width="10.69" hidden="false" outlineLevel="1" customWidth="1"/>
    <col min="822" max="822" width="10.69" hidden="false" outlineLevel="1" customWidth="1"/>
    <col min="823" max="823" width="10.69" hidden="false" outlineLevel="1" customWidth="1"/>
    <col min="824" max="824" width="10.69" hidden="false" outlineLevel="1" customWidth="1"/>
    <col min="825" max="825" width="10.69" hidden="false" outlineLevel="1" customWidth="1"/>
    <col min="826" max="826" width="10.69" hidden="false" outlineLevel="1" customWidth="1"/>
    <col min="827" max="827" width="10.69" hidden="false" outlineLevel="1" customWidth="1"/>
    <col min="828" max="828" width="10.69" hidden="false" outlineLevel="1" customWidth="1"/>
    <col min="829" max="829" width="10.69" hidden="false" outlineLevel="1" customWidth="1"/>
    <col min="830" max="830" width="10.69" hidden="false" outlineLevel="1" customWidth="1"/>
    <col min="831" max="831" width="10.69" hidden="false" outlineLevel="1" customWidth="1"/>
    <col min="832" max="832" width="10.69" hidden="false" outlineLevel="1" customWidth="1"/>
    <col min="833" max="833" width="10.69" hidden="false" outlineLevel="1" customWidth="1"/>
    <col min="834" max="834" width="10.69" hidden="false" outlineLevel="1" customWidth="1"/>
    <col min="835" max="835" width="10.69" hidden="false" outlineLevel="1" customWidth="1"/>
    <col min="836" max="836" width="10.69" hidden="false" outlineLevel="1" customWidth="1"/>
    <col min="837" max="837" width="10.69" hidden="false" outlineLevel="1" customWidth="1"/>
    <col min="838" max="838" width="10.69" hidden="false" outlineLevel="1" customWidth="1"/>
    <col min="839" max="839" width="10.69" hidden="false" outlineLevel="1" customWidth="1"/>
    <col min="840" max="840" width="10.69" hidden="false" outlineLevel="1" customWidth="1"/>
    <col min="841" max="841" width="10.69" hidden="false" outlineLevel="1" customWidth="1"/>
    <col min="842" max="842" width="10.69" hidden="false" outlineLevel="1" customWidth="1"/>
    <col min="843" max="843" width="10.69" hidden="false" outlineLevel="1" customWidth="1"/>
    <col min="844" max="844" width="10.69" hidden="false" outlineLevel="1" customWidth="1"/>
    <col min="845" max="845" width="10.69" hidden="false" outlineLevel="1" customWidth="1"/>
    <col min="846" max="846" width="10.69" hidden="false" outlineLevel="1" customWidth="1"/>
    <col min="847" max="847" width="10.69" hidden="false" outlineLevel="1" customWidth="1"/>
    <col min="848" max="848" width="10.69" hidden="false" outlineLevel="1" customWidth="1"/>
    <col min="849" max="849" width="10.69" hidden="false" outlineLevel="1" customWidth="1"/>
    <col min="850" max="850" width="10.69" hidden="false" outlineLevel="1" customWidth="1"/>
    <col min="851" max="851" width="10.69" hidden="false" outlineLevel="1" customWidth="1"/>
    <col min="852" max="852" width="10.69" hidden="false" outlineLevel="1" customWidth="1"/>
    <col min="853" max="853" width="10.69" hidden="false" outlineLevel="1" customWidth="1"/>
    <col min="854" max="854" width="10.69" hidden="false" outlineLevel="1" customWidth="1"/>
    <col min="855" max="855" width="10.69" hidden="false" outlineLevel="1" customWidth="1"/>
    <col min="856" max="856" width="10.69" hidden="false" outlineLevel="1" customWidth="1"/>
    <col min="857" max="857" width="10.69" hidden="false" outlineLevel="1" customWidth="1"/>
    <col min="858" max="858" width="10.69" hidden="false" outlineLevel="1" customWidth="1"/>
    <col min="859" max="859" width="10.69" hidden="false" outlineLevel="1" customWidth="1"/>
    <col min="860" max="860" width="10.69" hidden="false" outlineLevel="1" customWidth="1"/>
    <col min="861" max="861" width="10.69" hidden="false" outlineLevel="1" customWidth="1"/>
    <col min="862" max="862" width="10.69" hidden="false" outlineLevel="1" customWidth="1"/>
    <col min="863" max="863" width="10.69" hidden="false" outlineLevel="1" customWidth="1"/>
    <col min="864" max="864" width="10.69" hidden="false" outlineLevel="1" customWidth="1"/>
    <col min="865" max="865" width="10.69" hidden="false" outlineLevel="1" customWidth="1"/>
    <col min="866" max="866" width="10.69" hidden="false" outlineLevel="1" customWidth="1"/>
    <col min="867" max="867" width="10.69" hidden="false" outlineLevel="1" customWidth="1"/>
    <col min="868" max="868" width="10.69" hidden="false" outlineLevel="1" customWidth="1"/>
    <col min="869" max="869" width="10.69" hidden="false" outlineLevel="1" customWidth="1"/>
    <col min="870" max="870" width="10.69" hidden="false" outlineLevel="1" customWidth="1"/>
    <col min="871" max="871" width="10.69" hidden="false" outlineLevel="1" customWidth="1"/>
    <col min="872" max="872" width="10.69" hidden="false" outlineLevel="1" customWidth="1"/>
    <col min="873" max="873" width="10.69" hidden="false" outlineLevel="1" customWidth="1"/>
    <col min="874" max="874" width="10.69" hidden="false" outlineLevel="1" customWidth="1"/>
    <col min="875" max="875" width="10.69" hidden="false" outlineLevel="1" customWidth="1"/>
    <col min="876" max="876" width="10.69" hidden="false" outlineLevel="1" customWidth="1"/>
    <col min="877" max="877" width="10.69" hidden="false" outlineLevel="1" customWidth="1"/>
    <col min="878" max="878" width="10.69" hidden="false" outlineLevel="1" customWidth="1"/>
    <col min="879" max="879" width="10.69" hidden="false" outlineLevel="1" customWidth="1"/>
    <col min="880" max="880" width="10.69" hidden="false" outlineLevel="1" customWidth="1"/>
    <col min="881" max="881" width="10.69" hidden="false" outlineLevel="1" customWidth="1"/>
    <col min="882" max="882" width="10.69" hidden="false" outlineLevel="1" customWidth="1"/>
    <col min="883" max="883" width="10.69" hidden="false" outlineLevel="1" customWidth="1"/>
    <col min="884" max="884" width="10.69" hidden="false" outlineLevel="1" customWidth="1"/>
    <col min="885" max="885" width="10.69" hidden="false" outlineLevel="1" customWidth="1"/>
    <col min="886" max="886" width="10.69" hidden="false" outlineLevel="1" customWidth="1"/>
    <col min="887" max="887" width="10.69" hidden="false" outlineLevel="1" customWidth="1"/>
    <col min="888" max="888" width="10.69" hidden="false" outlineLevel="1" customWidth="1"/>
    <col min="889" max="889" width="10.69" hidden="false" outlineLevel="1" customWidth="1"/>
    <col min="890" max="890" width="10.69" hidden="false" outlineLevel="1" customWidth="1"/>
    <col min="891" max="891" width="10.69" hidden="false" outlineLevel="1" customWidth="1"/>
    <col min="892" max="892" width="10.69" hidden="false" outlineLevel="1" customWidth="1"/>
    <col min="893" max="893" width="10.69" hidden="false" outlineLevel="1" customWidth="1"/>
    <col min="894" max="894" width="10.69" hidden="false" outlineLevel="1" customWidth="1"/>
    <col min="895" max="895" width="10.69" hidden="false" outlineLevel="1" customWidth="1"/>
    <col min="896" max="896" width="10.69" hidden="false" outlineLevel="1" customWidth="1"/>
    <col min="897" max="897" width="10.69" hidden="false" outlineLevel="1" customWidth="1"/>
    <col min="898" max="898" width="10.69" hidden="false" outlineLevel="1" customWidth="1"/>
    <col min="899" max="899" width="10.69" hidden="false" outlineLevel="1" customWidth="1"/>
    <col min="900" max="900" width="10.69" hidden="false" outlineLevel="1" customWidth="1"/>
    <col min="901" max="901" width="10.69" hidden="false" outlineLevel="1" customWidth="1"/>
    <col min="902" max="902" width="10.69" hidden="false" outlineLevel="1" customWidth="1"/>
    <col min="903" max="903" width="10.69" hidden="false" outlineLevel="1" customWidth="1"/>
    <col min="904" max="904" width="10.69" hidden="false" outlineLevel="1" customWidth="1"/>
    <col min="905" max="905" width="10.69" hidden="false" outlineLevel="1" customWidth="1"/>
    <col min="906" max="906" width="10.69" hidden="false" outlineLevel="1" customWidth="1"/>
    <col min="907" max="907" width="10.69" hidden="false" outlineLevel="1" customWidth="1"/>
    <col min="908" max="908" width="10.69" hidden="false" outlineLevel="1" customWidth="1"/>
    <col min="909" max="909" width="10.69" hidden="false" outlineLevel="1" customWidth="1"/>
    <col min="910" max="910" width="10.69" hidden="false" outlineLevel="1" customWidth="1"/>
    <col min="911" max="911" width="10.69" hidden="false" outlineLevel="1" customWidth="1"/>
    <col min="912" max="912" width="10.69" hidden="false" outlineLevel="1" customWidth="1"/>
    <col min="913" max="913" width="10.69" hidden="false" outlineLevel="1" customWidth="1"/>
    <col min="914" max="914" width="10.69" hidden="false" outlineLevel="1" customWidth="1"/>
    <col min="915" max="915" width="10.69" hidden="false" outlineLevel="1" customWidth="1"/>
    <col min="916" max="916" width="10.69" hidden="false" outlineLevel="1" customWidth="1"/>
    <col min="917" max="917" width="10.69" hidden="false" outlineLevel="1" customWidth="1"/>
    <col min="918" max="918" width="10.69" hidden="false" outlineLevel="1" customWidth="1"/>
    <col min="919" max="919" width="10.69" hidden="false" outlineLevel="1" customWidth="1"/>
    <col min="920" max="920" width="10.69" hidden="false" outlineLevel="1" customWidth="1"/>
    <col min="921" max="921" width="10.69" hidden="false" outlineLevel="1" customWidth="1"/>
    <col min="922" max="922" width="10.69" hidden="false" outlineLevel="1" customWidth="1"/>
    <col min="923" max="923" width="10.69" hidden="false" outlineLevel="1" customWidth="1"/>
    <col min="924" max="924" width="10.69" hidden="false" outlineLevel="1" customWidth="1"/>
    <col min="925" max="925" width="10.69" hidden="false" outlineLevel="1" customWidth="1"/>
    <col min="926" max="926" width="10.69" hidden="false" outlineLevel="1" customWidth="1"/>
    <col min="927" max="927" width="10.69" hidden="false" outlineLevel="1" customWidth="1"/>
    <col min="928" max="928" width="10.69" hidden="false" outlineLevel="1" customWidth="1"/>
    <col min="929" max="929" width="10.69" hidden="false" outlineLevel="1" customWidth="1"/>
    <col min="930" max="930" width="10.69" hidden="false" outlineLevel="1" customWidth="1"/>
    <col min="931" max="931" width="10.69" hidden="false" outlineLevel="1" customWidth="1"/>
    <col min="932" max="932" width="10.69" hidden="false" outlineLevel="1" customWidth="1"/>
    <col min="933" max="933" width="10.69" hidden="false" outlineLevel="1" customWidth="1"/>
    <col min="934" max="934" width="10.69" hidden="false" outlineLevel="1" customWidth="1"/>
    <col min="935" max="935" width="10.69" hidden="false" outlineLevel="1" customWidth="1"/>
    <col min="936" max="936" width="10.69" hidden="false" outlineLevel="1" customWidth="1"/>
    <col min="937" max="937" width="10.69" hidden="false" outlineLevel="1" customWidth="1"/>
    <col min="938" max="938" width="10.69" hidden="false" outlineLevel="1" customWidth="1"/>
    <col min="939" max="939" width="10.69" hidden="false" outlineLevel="1" customWidth="1"/>
    <col min="940" max="940" width="10.69" hidden="false" outlineLevel="1" customWidth="1"/>
    <col min="941" max="941" width="10.69" hidden="false" outlineLevel="1" customWidth="1"/>
    <col min="942" max="942" width="10.69" hidden="false" outlineLevel="1" customWidth="1"/>
    <col min="943" max="943" width="10.69" hidden="false" outlineLevel="1" customWidth="1"/>
    <col min="944" max="944" width="10.69" hidden="false" outlineLevel="1" customWidth="1"/>
    <col min="945" max="945" width="10.69" hidden="false" outlineLevel="1" customWidth="1"/>
    <col min="946" max="946" width="10.69" hidden="false" outlineLevel="1" customWidth="1"/>
    <col min="947" max="947" width="10.69" hidden="false" outlineLevel="1" customWidth="1"/>
    <col min="948" max="948" width="10.69" hidden="false" outlineLevel="1" customWidth="1"/>
    <col min="949" max="949" width="10.69" hidden="false" outlineLevel="1" customWidth="1"/>
    <col min="950" max="950" width="10.69" hidden="false" outlineLevel="1" customWidth="1"/>
    <col min="951" max="951" width="10.69" hidden="false" outlineLevel="1" customWidth="1"/>
    <col min="952" max="952" width="10.69" hidden="false" outlineLevel="1" customWidth="1"/>
    <col min="953" max="953" width="10.69" hidden="false" outlineLevel="1" customWidth="1"/>
    <col min="954" max="954" width="10.69" hidden="false" outlineLevel="1" customWidth="1"/>
    <col min="955" max="955" width="10.69" hidden="false" outlineLevel="1" customWidth="1"/>
    <col min="956" max="956" width="10.69" hidden="false" outlineLevel="1" customWidth="1"/>
    <col min="957" max="957" width="10.69" hidden="false" outlineLevel="1" customWidth="1"/>
    <col min="958" max="958" width="10.69" hidden="false" outlineLevel="1" customWidth="1"/>
    <col min="959" max="959" width="10.69" hidden="false" outlineLevel="1" customWidth="1"/>
    <col min="960" max="960" width="10.69" hidden="false" outlineLevel="1" customWidth="1"/>
    <col min="961" max="961" width="10.69" hidden="false" outlineLevel="1" customWidth="1"/>
    <col min="962" max="962" width="10.69" hidden="false" outlineLevel="1" customWidth="1"/>
    <col min="963" max="963" width="10.69" hidden="false" outlineLevel="1" customWidth="1"/>
    <col min="964" max="964" width="10.69" hidden="false" outlineLevel="1" customWidth="1"/>
    <col min="965" max="965" width="10.69" hidden="false" outlineLevel="1" customWidth="1"/>
    <col min="966" max="966" width="10.69" hidden="false" outlineLevel="1" customWidth="1"/>
    <col min="967" max="967" width="10.69" hidden="false" outlineLevel="1" customWidth="1"/>
    <col min="968" max="968" width="10.69" hidden="false" outlineLevel="1" customWidth="1"/>
    <col min="969" max="969" width="10.69" hidden="false" outlineLevel="1" customWidth="1"/>
    <col min="970" max="970" width="10.69" hidden="false" outlineLevel="1" customWidth="1"/>
    <col min="971" max="971" width="10.69" hidden="false" outlineLevel="1" customWidth="1"/>
    <col min="972" max="972" width="10.69" hidden="false" outlineLevel="1" customWidth="1"/>
    <col min="973" max="973" width="10.69" hidden="false" outlineLevel="1" customWidth="1"/>
    <col min="974" max="974" width="10.69" hidden="false" outlineLevel="1" customWidth="1"/>
    <col min="975" max="975" width="10.69" hidden="false" outlineLevel="1" customWidth="1"/>
    <col min="976" max="976" width="10.69" hidden="false" outlineLevel="1" customWidth="1"/>
    <col min="977" max="977" width="10.69" hidden="false" outlineLevel="1" customWidth="1"/>
    <col min="978" max="978" width="10.69" hidden="false" outlineLevel="1" customWidth="1"/>
    <col min="979" max="979" width="10.69" hidden="false" outlineLevel="1" customWidth="1"/>
    <col min="980" max="980" width="10.69" hidden="false" outlineLevel="1" customWidth="1"/>
    <col min="981" max="981" width="10.69" hidden="false" outlineLevel="1" customWidth="1"/>
    <col min="982" max="982" width="10.69" hidden="false" outlineLevel="1" customWidth="1"/>
    <col min="983" max="983" width="10.69" hidden="false" outlineLevel="1" customWidth="1"/>
    <col min="984" max="984" width="10.69" hidden="false" outlineLevel="1" customWidth="1"/>
    <col min="985" max="985" width="10.69" hidden="false" outlineLevel="1" customWidth="1"/>
    <col min="986" max="986" width="10.69" hidden="false" outlineLevel="1" customWidth="1"/>
    <col min="987" max="987" width="10.69" hidden="false" outlineLevel="1" customWidth="1"/>
    <col min="988" max="988" width="10.69" hidden="false" outlineLevel="1" customWidth="1"/>
    <col min="989" max="989" width="10.69" hidden="false" outlineLevel="1" customWidth="1"/>
    <col min="990" max="990" width="10.69" hidden="false" outlineLevel="1" customWidth="1"/>
    <col min="991" max="991" width="10.69" hidden="false" outlineLevel="1" customWidth="1"/>
    <col min="992" max="992" width="10.69" hidden="false" outlineLevel="1" customWidth="1"/>
    <col min="993" max="993" width="10.69" hidden="false" outlineLevel="1" customWidth="1"/>
    <col min="994" max="994" width="10.69" hidden="false" outlineLevel="1" customWidth="1"/>
    <col min="995" max="995" width="10.69" hidden="false" outlineLevel="1" customWidth="1"/>
    <col min="996" max="996" width="10.69" hidden="false" outlineLevel="1" customWidth="1"/>
    <col min="997" max="997" width="10.69" hidden="false" outlineLevel="1" customWidth="1"/>
    <col min="998" max="998" width="10.69" hidden="false" outlineLevel="1" customWidth="1"/>
    <col min="999" max="999" width="10.69" hidden="false" outlineLevel="1" customWidth="1"/>
    <col min="1000" max="1000" width="10.69" hidden="false" outlineLevel="1" customWidth="1"/>
    <col min="1001" max="1001" width="10.69" hidden="false" outlineLevel="1" customWidth="1"/>
    <col min="1002" max="1002" width="10.69" hidden="false" outlineLevel="1" customWidth="1"/>
    <col min="1003" max="1003" width="10.69" hidden="false" outlineLevel="1" customWidth="1"/>
    <col min="1004" max="1004" width="10.69" hidden="false" outlineLevel="1" customWidth="1"/>
    <col min="1005" max="1005" width="10.69" hidden="false" outlineLevel="1" customWidth="1"/>
    <col min="1006" max="1006" width="10.69" hidden="false" outlineLevel="1" customWidth="1"/>
    <col min="1007" max="1007" width="10.69" hidden="false" outlineLevel="1" customWidth="1"/>
    <col min="1008" max="1008" width="10.69" hidden="false" outlineLevel="1" customWidth="1"/>
    <col min="1009" max="1009" width="10.69" hidden="false" outlineLevel="1" customWidth="1"/>
    <col min="1010" max="1010" width="10.69" hidden="false" outlineLevel="1" customWidth="1"/>
    <col min="1011" max="1011" width="10.69" hidden="false" outlineLevel="1" customWidth="1"/>
    <col min="1012" max="1012" width="10.69" hidden="false" outlineLevel="1" customWidth="1"/>
    <col min="1013" max="1013" width="10.69" hidden="false" outlineLevel="1" customWidth="1"/>
    <col min="1014" max="1014" width="10.69" hidden="false" outlineLevel="1" customWidth="1"/>
    <col min="1015" max="1015" width="10.69" hidden="false" outlineLevel="1" customWidth="1"/>
    <col min="1016" max="1016" width="10.69" hidden="false" outlineLevel="1" customWidth="1"/>
    <col min="1017" max="1017" width="10.69" hidden="false" outlineLevel="1" customWidth="1"/>
    <col min="1018" max="1018" width="10.69" hidden="false" outlineLevel="1" customWidth="1"/>
    <col min="1019" max="1019" width="10.69" hidden="false" outlineLevel="1" customWidth="1"/>
    <col min="1020" max="1020" width="10.69" hidden="false" outlineLevel="1" customWidth="1"/>
    <col min="1021" max="1021" width="10.69" hidden="false" outlineLevel="1" customWidth="1"/>
    <col min="1022" max="1022" width="10.69" hidden="false" outlineLevel="1" customWidth="1"/>
    <col min="1023" max="1023" width="10.69" hidden="false" outlineLevel="1" customWidth="1"/>
    <col min="1024" max="1024" width="10.69" hidden="false" outlineLevel="1" customWidth="1"/>
    <col min="1025" max="1025" width="10.69" hidden="false" outlineLevel="1" customWidth="1"/>
  </cols>
  <sheetData>
    <row r="1" ht="46.15" customHeight="1">
      <c r="A1" s="1759" t="s">
        <v>3293</v>
      </c>
      <c r="B1" s="1759"/>
      <c r="C1" s="1759"/>
      <c r="D1" s="1759"/>
      <c r="E1" s="1759"/>
      <c r="F1" s="1759"/>
      <c r="G1" s="1759"/>
      <c r="H1" s="1759"/>
      <c r="I1" s="1759"/>
      <c r="J1" s="1759"/>
      <c r="K1" s="1759"/>
      <c r="V1" s="1760"/>
      <c r="W1" s="1760"/>
      <c r="X1" s="1760"/>
      <c r="Y1" s="1760"/>
      <c r="Z1" s="1760"/>
      <c r="AA1" s="1760"/>
      <c r="AB1" s="1760"/>
      <c r="AC1" s="1760"/>
      <c r="AD1" s="1760"/>
      <c r="AE1" s="1760"/>
      <c r="AF1" s="1760"/>
    </row>
    <row r="2" ht="12" customHeight="1">
      <c r="A2" s="1761"/>
      <c r="B2" s="1761"/>
      <c r="C2" s="1761"/>
      <c r="D2" s="1761"/>
      <c r="E2" s="1761"/>
      <c r="F2" s="1761"/>
      <c r="G2" s="1761"/>
      <c r="H2" s="1761"/>
      <c r="I2" s="1761"/>
      <c r="J2" s="1761"/>
      <c r="K2" s="1761"/>
      <c r="U2" s="1762"/>
      <c r="V2" s="1762"/>
      <c r="W2" s="1762"/>
      <c r="X2" s="1762"/>
      <c r="Y2" s="1762"/>
      <c r="Z2" s="1762"/>
      <c r="AA2" s="1762"/>
      <c r="AB2" s="1762"/>
      <c r="AC2" s="1762"/>
      <c r="AD2" s="1762"/>
      <c r="AE2" s="1762"/>
      <c r="AF2" s="1762"/>
    </row>
    <row r="3" ht="12" customHeight="1">
      <c r="A3" s="1761"/>
      <c r="B3" s="1761"/>
      <c r="C3" s="1761"/>
      <c r="D3" s="1761"/>
      <c r="E3" s="1761"/>
      <c r="F3" s="1761"/>
      <c r="G3" s="1761"/>
      <c r="H3" s="1761"/>
      <c r="I3" s="1761"/>
      <c r="J3" s="1761"/>
      <c r="K3" s="1761"/>
      <c r="U3" s="1762"/>
      <c r="V3" s="1762"/>
      <c r="W3" s="1762"/>
      <c r="X3" s="1762"/>
      <c r="Y3" s="1762"/>
      <c r="Z3" s="1762"/>
      <c r="AA3" s="1762"/>
      <c r="AB3" s="1762"/>
      <c r="AC3" s="1762"/>
      <c r="AD3" s="1762"/>
      <c r="AE3" s="1762"/>
      <c r="AF3" s="1762"/>
    </row>
    <row r="4" ht="29.25" customHeight="1">
      <c r="A4" s="1763" t="s">
        <v>3294</v>
      </c>
      <c r="B4" s="1763"/>
      <c r="C4" s="1763"/>
      <c r="D4" s="1763"/>
      <c r="E4" s="1763"/>
      <c r="F4" s="1763"/>
      <c r="G4" s="1763"/>
      <c r="H4" s="1763"/>
      <c r="I4" s="1763"/>
      <c r="J4" s="1763"/>
      <c r="K4" s="1763"/>
      <c r="U4" s="1762"/>
      <c r="V4" s="1762"/>
      <c r="W4" s="1762"/>
      <c r="X4" s="1762"/>
      <c r="Y4" s="1762"/>
      <c r="Z4" s="1762"/>
      <c r="AA4" s="1762"/>
      <c r="AB4" s="1762"/>
      <c r="AC4" s="1762"/>
      <c r="AD4" s="1762"/>
      <c r="AE4" s="1762"/>
      <c r="AF4" s="1762"/>
    </row>
    <row r="5" ht="14.1" customHeight="1"/>
    <row r="6" ht="14.1" customHeight="1"/>
    <row r="7" ht="14.1" customHeight="1">
      <c r="A7" s="1764" t="s">
        <v>3295</v>
      </c>
      <c r="B7" s="1764" t="s">
        <v>3296</v>
      </c>
      <c r="C7" s="1764"/>
      <c r="D7" s="1764" t="s">
        <v>3297</v>
      </c>
      <c r="E7" s="1764"/>
      <c r="F7" s="1764"/>
      <c r="G7" s="1764"/>
      <c r="H7" s="1764"/>
      <c r="I7" s="1764" t="s">
        <v>3296</v>
      </c>
      <c r="J7" s="1764"/>
      <c r="K7" s="1764"/>
    </row>
    <row r="8" ht="24" customHeight="1">
      <c r="A8" s="1765" t="s">
        <v>3298</v>
      </c>
      <c r="B8" s="1765" t="s">
        <v>3298</v>
      </c>
      <c r="C8" s="1765"/>
      <c r="D8" s="1766" t="s">
        <v>3298</v>
      </c>
      <c r="E8" s="1767" t="s">
        <v>3299</v>
      </c>
      <c r="F8" s="1768" t="s">
        <v>3300</v>
      </c>
      <c r="G8" s="1768"/>
      <c r="H8" s="1768"/>
      <c r="I8" s="1769" t="s">
        <v>3300</v>
      </c>
      <c r="J8" s="1769"/>
      <c r="K8" s="1769"/>
    </row>
    <row r="9" ht="14.1" customHeight="1"/>
    <row r="10" ht="14.1" customHeight="1">
      <c r="A10" s="1770" t="s">
        <v>3301</v>
      </c>
      <c r="B10" s="1771" t="s">
        <v>2819</v>
      </c>
      <c r="C10" s="1771"/>
      <c r="D10" s="1772" t="s">
        <v>3302</v>
      </c>
      <c r="E10" s="1773" t="s">
        <v>471</v>
      </c>
      <c r="F10" s="1774" t="n">
        <f aca="false">'Dimension agroécologique'!I6</f>
        <v>3</v>
      </c>
      <c r="G10" s="1775" t="s">
        <v>3303</v>
      </c>
      <c r="H10" s="1776" t="n">
        <v>5</v>
      </c>
      <c r="I10" s="1777" t="n">
        <f aca="false">MIN(20,SUM(F10:F14))</f>
        <v>8</v>
      </c>
      <c r="J10" s="1778" t="s">
        <v>3303</v>
      </c>
      <c r="K10" s="1779" t="n">
        <v>20</v>
      </c>
    </row>
    <row r="11" ht="14.1" customHeight="1">
      <c r="A11" s="1770"/>
      <c r="B11" s="1771"/>
      <c r="C11" s="1771"/>
      <c r="D11" s="1772" t="s">
        <v>3304</v>
      </c>
      <c r="E11" s="1773" t="s">
        <v>3305</v>
      </c>
      <c r="F11" s="1780" t="n">
        <f aca="false">'Dimension agroécologique'!I22</f>
        <v>2</v>
      </c>
      <c r="G11" s="1165" t="s">
        <v>3303</v>
      </c>
      <c r="H11" s="1781" t="n">
        <v>5</v>
      </c>
      <c r="I11" s="1777"/>
      <c r="J11" s="1778"/>
      <c r="K11" s="1779"/>
    </row>
    <row r="12" ht="14.1" customHeight="1">
      <c r="A12" s="1770"/>
      <c r="B12" s="1771"/>
      <c r="C12" s="1771"/>
      <c r="D12" s="1772" t="s">
        <v>3306</v>
      </c>
      <c r="E12" s="1773" t="s">
        <v>3307</v>
      </c>
      <c r="F12" s="1780" t="n">
        <f aca="false">'Dimension agroécologique'!I45</f>
        <v>0</v>
      </c>
      <c r="G12" s="1165" t="s">
        <v>3303</v>
      </c>
      <c r="H12" s="1781" t="n">
        <v>5</v>
      </c>
      <c r="I12" s="1777"/>
      <c r="J12" s="1778"/>
      <c r="K12" s="1779"/>
    </row>
    <row r="13" ht="13.5" customHeight="1">
      <c r="A13" s="1770"/>
      <c r="B13" s="1771"/>
      <c r="C13" s="1771"/>
      <c r="D13" s="1772" t="s">
        <v>3308</v>
      </c>
      <c r="E13" s="1773" t="s">
        <v>3309</v>
      </c>
      <c r="F13" s="1780" t="n">
        <f aca="false">'Dimension agroécologique'!I69</f>
        <v>1</v>
      </c>
      <c r="G13" s="1165" t="s">
        <v>3303</v>
      </c>
      <c r="H13" s="1781" t="n">
        <v>5</v>
      </c>
      <c r="I13" s="1777"/>
      <c r="J13" s="1778"/>
      <c r="K13" s="1779"/>
    </row>
    <row r="14" ht="14.1" customHeight="1">
      <c r="A14" s="1770"/>
      <c r="B14" s="1771"/>
      <c r="C14" s="1771"/>
      <c r="D14" s="1782" t="s">
        <v>3310</v>
      </c>
      <c r="E14" s="1773" t="s">
        <v>3311</v>
      </c>
      <c r="F14" s="1783" t="n">
        <f aca="false">'Dimension agroécologique'!I85</f>
        <v>2</v>
      </c>
      <c r="G14" s="1755" t="s">
        <v>3303</v>
      </c>
      <c r="H14" s="1784" t="n">
        <v>5</v>
      </c>
      <c r="I14" s="1777"/>
      <c r="J14" s="1778"/>
      <c r="K14" s="1779"/>
    </row>
    <row r="15" ht="14.1" customHeight="1">
      <c r="A15" s="1770"/>
      <c r="B15" s="1785" t="s">
        <v>3312</v>
      </c>
      <c r="C15" s="1785"/>
      <c r="D15" s="1786" t="s">
        <v>3313</v>
      </c>
      <c r="E15" s="1773" t="s">
        <v>3314</v>
      </c>
      <c r="F15" s="1774" t="n">
        <f aca="false">'Dimension agroécologique'!I100</f>
        <v>2</v>
      </c>
      <c r="G15" s="1775" t="s">
        <v>3303</v>
      </c>
      <c r="H15" s="1776" t="n">
        <v>8</v>
      </c>
      <c r="I15" s="1777" t="n">
        <f aca="false">MIN(20,SUM(F15:F17))</f>
        <v>5</v>
      </c>
      <c r="J15" s="1778" t="s">
        <v>3303</v>
      </c>
      <c r="K15" s="1779" t="n">
        <v>20</v>
      </c>
    </row>
    <row r="16" ht="14.1" customHeight="1">
      <c r="A16" s="1770"/>
      <c r="B16" s="1785"/>
      <c r="C16" s="1785"/>
      <c r="D16" s="1786" t="s">
        <v>3315</v>
      </c>
      <c r="E16" s="1773" t="s">
        <v>3316</v>
      </c>
      <c r="F16" s="1780" t="n">
        <f aca="false">'Dimension agroécologique'!I111</f>
        <v>0</v>
      </c>
      <c r="G16" s="1165" t="s">
        <v>3303</v>
      </c>
      <c r="H16" s="1781" t="n">
        <v>8</v>
      </c>
      <c r="I16" s="1777"/>
      <c r="J16" s="1778"/>
      <c r="K16" s="1779"/>
    </row>
    <row r="17" ht="14.1" customHeight="1">
      <c r="A17" s="1770"/>
      <c r="B17" s="1785"/>
      <c r="C17" s="1785"/>
      <c r="D17" s="1787" t="s">
        <v>3317</v>
      </c>
      <c r="E17" s="1773" t="s">
        <v>3318</v>
      </c>
      <c r="F17" s="1783" t="n">
        <f aca="false">'Dimension agroécologique'!I121</f>
        <v>3</v>
      </c>
      <c r="G17" s="1755" t="s">
        <v>3303</v>
      </c>
      <c r="H17" s="1784" t="n">
        <v>8</v>
      </c>
      <c r="I17" s="1777"/>
      <c r="J17" s="1778"/>
      <c r="K17" s="1779"/>
    </row>
    <row r="18" ht="14.1" customHeight="1">
      <c r="A18" s="1770"/>
      <c r="B18" s="1788" t="s">
        <v>2933</v>
      </c>
      <c r="C18" s="1788"/>
      <c r="D18" s="1789" t="s">
        <v>3319</v>
      </c>
      <c r="E18" s="1790" t="s">
        <v>3320</v>
      </c>
      <c r="F18" s="1774" t="n">
        <f aca="false">'Dimension agroécologique'!I132</f>
        <v>0</v>
      </c>
      <c r="G18" s="1775" t="s">
        <v>3303</v>
      </c>
      <c r="H18" s="1776" t="n">
        <v>8</v>
      </c>
      <c r="I18" s="1777" t="n">
        <f aca="false">MIN(20,SUM(F18,F19,F20))</f>
        <v>11</v>
      </c>
      <c r="J18" s="1778" t="s">
        <v>3303</v>
      </c>
      <c r="K18" s="1779" t="n">
        <v>20</v>
      </c>
    </row>
    <row r="19" ht="14.1" customHeight="1">
      <c r="A19" s="1770"/>
      <c r="B19" s="1788"/>
      <c r="C19" s="1788"/>
      <c r="D19" s="1791" t="s">
        <v>3321</v>
      </c>
      <c r="E19" s="1792" t="s">
        <v>3322</v>
      </c>
      <c r="F19" s="1780" t="n">
        <f aca="false">'Dimension agroécologique'!I140</f>
        <v>6</v>
      </c>
      <c r="G19" s="1165" t="s">
        <v>3303</v>
      </c>
      <c r="H19" s="1781" t="n">
        <v>8</v>
      </c>
      <c r="I19" s="1777"/>
      <c r="J19" s="1778"/>
      <c r="K19" s="1779"/>
    </row>
    <row r="20" ht="14.1" customHeight="1">
      <c r="A20" s="1770"/>
      <c r="B20" s="1788"/>
      <c r="C20" s="1788"/>
      <c r="D20" s="1793" t="s">
        <v>3323</v>
      </c>
      <c r="E20" s="1794" t="s">
        <v>3324</v>
      </c>
      <c r="F20" s="1783" t="n">
        <f aca="false">'Dimension agroécologique'!I147</f>
        <v>5</v>
      </c>
      <c r="G20" s="1755" t="s">
        <v>3303</v>
      </c>
      <c r="H20" s="1784" t="n">
        <v>8</v>
      </c>
      <c r="I20" s="1777"/>
      <c r="J20" s="1778"/>
      <c r="K20" s="1779"/>
    </row>
    <row r="21" ht="14.1" customHeight="1">
      <c r="A21" s="1770"/>
      <c r="B21" s="1795" t="s">
        <v>2944</v>
      </c>
      <c r="C21" s="1795"/>
      <c r="D21" s="1786" t="s">
        <v>3325</v>
      </c>
      <c r="E21" s="1773" t="s">
        <v>3326</v>
      </c>
      <c r="F21" s="1774" t="n">
        <f aca="false">'Dimension agroécologique'!I154</f>
        <v>8</v>
      </c>
      <c r="G21" s="1775" t="s">
        <v>3303</v>
      </c>
      <c r="H21" s="1776" t="n">
        <v>8</v>
      </c>
      <c r="I21" s="1777" t="n">
        <f aca="false">MIN(20,SUM(F21:F24))</f>
        <v>16</v>
      </c>
      <c r="J21" s="1778" t="s">
        <v>3303</v>
      </c>
      <c r="K21" s="1779" t="n">
        <v>20</v>
      </c>
    </row>
    <row r="22" ht="14.1" customHeight="1">
      <c r="A22" s="1770"/>
      <c r="B22" s="1795"/>
      <c r="C22" s="1795"/>
      <c r="D22" s="1786" t="s">
        <v>3327</v>
      </c>
      <c r="E22" s="1773" t="s">
        <v>519</v>
      </c>
      <c r="F22" s="1780" t="n">
        <f aca="false">'Dimension agroécologique'!I169</f>
        <v>2</v>
      </c>
      <c r="G22" s="1165" t="s">
        <v>3303</v>
      </c>
      <c r="H22" s="1781" t="n">
        <v>8</v>
      </c>
      <c r="I22" s="1777"/>
      <c r="J22" s="1778"/>
      <c r="K22" s="1779"/>
    </row>
    <row r="23" ht="27.75" customHeight="1">
      <c r="A23" s="1770"/>
      <c r="B23" s="1795"/>
      <c r="C23" s="1795"/>
      <c r="D23" s="1786" t="s">
        <v>3328</v>
      </c>
      <c r="E23" s="1773" t="s">
        <v>267</v>
      </c>
      <c r="F23" s="1780" t="n">
        <f aca="false">'Dimension agroécologique'!I189</f>
        <v>2</v>
      </c>
      <c r="G23" s="1165" t="s">
        <v>3303</v>
      </c>
      <c r="H23" s="1781" t="n">
        <v>4</v>
      </c>
      <c r="I23" s="1777"/>
      <c r="J23" s="1778"/>
      <c r="K23" s="1779"/>
    </row>
    <row r="24" ht="13.5" customHeight="1">
      <c r="A24" s="1770"/>
      <c r="B24" s="1795"/>
      <c r="C24" s="1795"/>
      <c r="D24" s="1796" t="s">
        <v>3329</v>
      </c>
      <c r="E24" s="1773" t="s">
        <v>248</v>
      </c>
      <c r="F24" s="1783" t="n">
        <f aca="false">'Dimension agroécologique'!I198</f>
        <v>4</v>
      </c>
      <c r="G24" s="1755" t="s">
        <v>3303</v>
      </c>
      <c r="H24" s="1784" t="n">
        <v>4</v>
      </c>
      <c r="I24" s="1777"/>
      <c r="J24" s="1778"/>
      <c r="K24" s="1779"/>
    </row>
    <row r="25" ht="14.1" customHeight="1">
      <c r="A25" s="1770"/>
      <c r="B25" s="1797" t="s">
        <v>2987</v>
      </c>
      <c r="C25" s="1797"/>
      <c r="D25" s="1798" t="s">
        <v>3330</v>
      </c>
      <c r="E25" s="1799" t="s">
        <v>594</v>
      </c>
      <c r="F25" s="1774" t="n">
        <f aca="false">'Dimension agroécologique'!I209</f>
        <v>1</v>
      </c>
      <c r="G25" s="1775" t="s">
        <v>3303</v>
      </c>
      <c r="H25" s="1776" t="n">
        <v>6</v>
      </c>
      <c r="I25" s="1777" t="n">
        <f aca="false">MIN(20,SUM(F25:F28))</f>
        <v>12</v>
      </c>
      <c r="J25" s="1778" t="s">
        <v>3303</v>
      </c>
      <c r="K25" s="1779" t="n">
        <v>20</v>
      </c>
    </row>
    <row r="26" ht="14.1" customHeight="1">
      <c r="A26" s="1770"/>
      <c r="B26" s="1797"/>
      <c r="C26" s="1797"/>
      <c r="D26" s="1791" t="s">
        <v>3331</v>
      </c>
      <c r="E26" s="1800" t="s">
        <v>493</v>
      </c>
      <c r="F26" s="1801" t="n">
        <f aca="false">'Dimension agroécologique'!I229</f>
        <v>3</v>
      </c>
      <c r="G26" s="1165" t="s">
        <v>3303</v>
      </c>
      <c r="H26" s="1781" t="n">
        <v>6</v>
      </c>
      <c r="I26" s="1777"/>
      <c r="J26" s="1778"/>
      <c r="K26" s="1779"/>
    </row>
    <row r="27" ht="14.1" customHeight="1">
      <c r="A27" s="1770"/>
      <c r="B27" s="1797"/>
      <c r="C27" s="1797"/>
      <c r="D27" s="1791" t="s">
        <v>3332</v>
      </c>
      <c r="E27" s="1800" t="s">
        <v>559</v>
      </c>
      <c r="F27" s="1780" t="n">
        <f aca="false">'Dimension agroécologique'!I240</f>
        <v>5</v>
      </c>
      <c r="G27" s="1165" t="s">
        <v>3303</v>
      </c>
      <c r="H27" s="1781" t="n">
        <v>6</v>
      </c>
      <c r="I27" s="1777"/>
      <c r="J27" s="1778"/>
      <c r="K27" s="1779"/>
    </row>
    <row r="28" ht="27" customHeight="1">
      <c r="A28" s="1770"/>
      <c r="B28" s="1797"/>
      <c r="C28" s="1797"/>
      <c r="D28" s="1802" t="s">
        <v>3333</v>
      </c>
      <c r="E28" s="1803" t="s">
        <v>260</v>
      </c>
      <c r="F28" s="1783" t="n">
        <f aca="false">'Dimension agroécologique'!I247</f>
        <v>3</v>
      </c>
      <c r="G28" s="1755" t="s">
        <v>3303</v>
      </c>
      <c r="H28" s="1784" t="n">
        <v>6</v>
      </c>
      <c r="I28" s="1777"/>
      <c r="J28" s="1778"/>
      <c r="K28" s="1779"/>
    </row>
    <row r="29" ht="14.1" customHeight="1">
      <c r="A29" s="401"/>
      <c r="B29" s="401"/>
      <c r="C29" s="401"/>
      <c r="F29" s="1804" t="s">
        <v>1244</v>
      </c>
      <c r="G29" s="1804"/>
      <c r="H29" s="1804"/>
      <c r="I29" s="1805" t="n">
        <f aca="false">I10+I15+I18+I21+I25</f>
        <v>52</v>
      </c>
      <c r="J29" s="1806" t="s">
        <v>3303</v>
      </c>
      <c r="K29" s="1807" t="n">
        <v>100</v>
      </c>
      <c r="T29" s="1808"/>
      <c r="U29" s="1808"/>
    </row>
    <row r="30" ht="14.1" customHeight="1">
      <c r="A30" s="401"/>
      <c r="B30" s="401"/>
      <c r="C30" s="401"/>
      <c r="E30" s="896"/>
      <c r="T30" s="1808"/>
      <c r="U30" s="1808"/>
    </row>
    <row r="31" ht="14.1" customHeight="1">
      <c r="A31" s="401"/>
      <c r="B31" s="401"/>
      <c r="C31" s="401"/>
      <c r="E31" s="401"/>
      <c r="F31" s="648"/>
    </row>
    <row r="32" ht="14.1" customHeight="1">
      <c r="A32" s="1809" t="s">
        <v>3334</v>
      </c>
      <c r="B32" s="1810" t="s">
        <v>3042</v>
      </c>
      <c r="C32" s="1810"/>
      <c r="D32" s="1811" t="s">
        <v>3335</v>
      </c>
      <c r="E32" s="889" t="s">
        <v>3043</v>
      </c>
      <c r="F32" s="1774" t="n">
        <f aca="false">'Dimension socio-territoriale'!I7</f>
        <v>6</v>
      </c>
      <c r="G32" s="1775" t="s">
        <v>3303</v>
      </c>
      <c r="H32" s="1812" t="n">
        <v>6</v>
      </c>
      <c r="I32" s="1813" t="n">
        <f aca="false">MIN(25,SUM(F32:F36))</f>
        <v>17</v>
      </c>
      <c r="J32" s="1778" t="s">
        <v>3303</v>
      </c>
      <c r="K32" s="1779" t="n">
        <v>25</v>
      </c>
    </row>
    <row r="33" ht="14.1" customHeight="1">
      <c r="A33" s="1809"/>
      <c r="B33" s="1810"/>
      <c r="C33" s="1810"/>
      <c r="D33" s="1811" t="s">
        <v>3336</v>
      </c>
      <c r="E33" s="889" t="s">
        <v>230</v>
      </c>
      <c r="F33" s="1780" t="n">
        <f aca="false">'Dimension socio-territoriale'!I19</f>
        <v>6</v>
      </c>
      <c r="G33" s="1165" t="s">
        <v>3303</v>
      </c>
      <c r="H33" s="1814" t="n">
        <v>6</v>
      </c>
      <c r="I33" s="1813"/>
      <c r="J33" s="1778"/>
      <c r="K33" s="1779"/>
    </row>
    <row r="34" ht="14.1" customHeight="1">
      <c r="A34" s="1809"/>
      <c r="B34" s="1810"/>
      <c r="C34" s="1810"/>
      <c r="D34" s="1811" t="s">
        <v>3337</v>
      </c>
      <c r="E34" s="889" t="s">
        <v>673</v>
      </c>
      <c r="F34" s="1780" t="n">
        <f aca="false">'Dimension socio-territoriale'!I30</f>
        <v>0</v>
      </c>
      <c r="G34" s="1165" t="s">
        <v>3303</v>
      </c>
      <c r="H34" s="1814" t="n">
        <v>6</v>
      </c>
      <c r="I34" s="1813"/>
      <c r="J34" s="1778"/>
      <c r="K34" s="1779"/>
    </row>
    <row r="35" ht="14.1" customHeight="1">
      <c r="A35" s="1809"/>
      <c r="B35" s="1810"/>
      <c r="C35" s="1810"/>
      <c r="D35" s="1811" t="s">
        <v>3338</v>
      </c>
      <c r="E35" s="889" t="s">
        <v>688</v>
      </c>
      <c r="F35" s="1780" t="n">
        <f aca="false">'Dimension socio-territoriale'!I45</f>
        <v>2</v>
      </c>
      <c r="G35" s="1165" t="s">
        <v>3303</v>
      </c>
      <c r="H35" s="1814" t="n">
        <v>6</v>
      </c>
      <c r="I35" s="1813"/>
      <c r="J35" s="1778"/>
      <c r="K35" s="1779"/>
    </row>
    <row r="36" ht="14.1" customHeight="1">
      <c r="A36" s="1809"/>
      <c r="B36" s="1810"/>
      <c r="C36" s="1810"/>
      <c r="D36" s="1815" t="s">
        <v>741</v>
      </c>
      <c r="E36" s="889" t="s">
        <v>740</v>
      </c>
      <c r="F36" s="1783" t="n">
        <f aca="false">'Dimension socio-territoriale'!I52</f>
        <v>3</v>
      </c>
      <c r="G36" s="1755" t="s">
        <v>3303</v>
      </c>
      <c r="H36" s="1816" t="n">
        <v>6</v>
      </c>
      <c r="I36" s="1813"/>
      <c r="J36" s="1778"/>
      <c r="K36" s="1779"/>
    </row>
    <row r="37" ht="27" customHeight="1">
      <c r="A37" s="1809"/>
      <c r="B37" s="1817" t="s">
        <v>3339</v>
      </c>
      <c r="C37" s="1817"/>
      <c r="D37" s="1818" t="s">
        <v>3340</v>
      </c>
      <c r="E37" s="550" t="s">
        <v>3341</v>
      </c>
      <c r="F37" s="1819" t="n">
        <f aca="false">'Dimension socio-territoriale'!I68</f>
        <v>0</v>
      </c>
      <c r="G37" s="1775" t="s">
        <v>3303</v>
      </c>
      <c r="H37" s="1812" t="n">
        <v>5</v>
      </c>
      <c r="I37" s="1820" t="n">
        <f aca="false">MIN(25,SUM(F37:F44))</f>
        <v>16</v>
      </c>
      <c r="J37" s="1778" t="s">
        <v>3303</v>
      </c>
      <c r="K37" s="1779" t="n">
        <v>25</v>
      </c>
    </row>
    <row r="38" ht="14.1" customHeight="1">
      <c r="A38" s="1809"/>
      <c r="B38" s="1817"/>
      <c r="C38" s="1817"/>
      <c r="D38" s="1818" t="s">
        <v>3342</v>
      </c>
      <c r="E38" s="1821" t="s">
        <v>716</v>
      </c>
      <c r="F38" s="1780" t="n">
        <f aca="false">'Dimension socio-territoriale'!I78</f>
        <v>0</v>
      </c>
      <c r="G38" s="1165" t="s">
        <v>3303</v>
      </c>
      <c r="H38" s="1814" t="n">
        <v>3</v>
      </c>
      <c r="I38" s="1820"/>
      <c r="J38" s="1778"/>
      <c r="K38" s="1779"/>
    </row>
    <row r="39" ht="14.1" customHeight="1">
      <c r="A39" s="1809"/>
      <c r="B39" s="1817"/>
      <c r="C39" s="1817"/>
      <c r="D39" s="1818" t="s">
        <v>3343</v>
      </c>
      <c r="E39" s="1821" t="s">
        <v>955</v>
      </c>
      <c r="F39" s="1780" t="n">
        <f aca="false">'Dimension socio-territoriale'!I89</f>
        <v>0</v>
      </c>
      <c r="G39" s="1165" t="s">
        <v>3303</v>
      </c>
      <c r="H39" s="1814" t="n">
        <v>5</v>
      </c>
      <c r="I39" s="1820"/>
      <c r="J39" s="1778"/>
      <c r="K39" s="1779"/>
    </row>
    <row r="40" ht="14.1" customHeight="1">
      <c r="A40" s="1809"/>
      <c r="B40" s="1817"/>
      <c r="C40" s="1817"/>
      <c r="D40" s="1818" t="s">
        <v>3344</v>
      </c>
      <c r="E40" s="1821" t="s">
        <v>227</v>
      </c>
      <c r="F40" s="1780" t="n">
        <f aca="false">'Dimension socio-territoriale'!I102</f>
        <v>5</v>
      </c>
      <c r="G40" s="1165" t="s">
        <v>3303</v>
      </c>
      <c r="H40" s="1814" t="n">
        <v>5</v>
      </c>
      <c r="I40" s="1820"/>
      <c r="J40" s="1778"/>
      <c r="K40" s="1779"/>
    </row>
    <row r="41" ht="25.5" customHeight="1">
      <c r="A41" s="1809"/>
      <c r="B41" s="1817"/>
      <c r="C41" s="1817"/>
      <c r="D41" s="1811" t="s">
        <v>3345</v>
      </c>
      <c r="E41" s="1821" t="s">
        <v>257</v>
      </c>
      <c r="F41" s="1801" t="n">
        <f aca="false">'Dimension socio-territoriale'!I125</f>
        <v>3</v>
      </c>
      <c r="G41" s="1165" t="s">
        <v>3303</v>
      </c>
      <c r="H41" s="1814" t="n">
        <v>3</v>
      </c>
      <c r="I41" s="1820"/>
      <c r="J41" s="1778"/>
      <c r="K41" s="1779"/>
    </row>
    <row r="42" ht="14.1" customHeight="1">
      <c r="A42" s="1809"/>
      <c r="B42" s="1817"/>
      <c r="C42" s="1817"/>
      <c r="D42" s="1818" t="s">
        <v>3346</v>
      </c>
      <c r="E42" s="1821" t="s">
        <v>721</v>
      </c>
      <c r="F42" s="1780" t="n">
        <f aca="false">'Dimension socio-territoriale'!I141</f>
        <v>3</v>
      </c>
      <c r="G42" s="1165" t="s">
        <v>3303</v>
      </c>
      <c r="H42" s="1814" t="n">
        <v>3</v>
      </c>
      <c r="I42" s="1820"/>
      <c r="J42" s="1778"/>
      <c r="K42" s="1779"/>
    </row>
    <row r="43" ht="14.1" customHeight="1">
      <c r="A43" s="1809"/>
      <c r="B43" s="1817"/>
      <c r="C43" s="1817"/>
      <c r="D43" s="1818" t="s">
        <v>3347</v>
      </c>
      <c r="E43" s="1821" t="s">
        <v>701</v>
      </c>
      <c r="F43" s="1801" t="n">
        <f aca="false">'Dimension socio-territoriale'!I154</f>
        <v>2</v>
      </c>
      <c r="G43" s="1165" t="s">
        <v>3303</v>
      </c>
      <c r="H43" s="1814" t="n">
        <v>3</v>
      </c>
      <c r="I43" s="1820"/>
      <c r="J43" s="1778"/>
      <c r="K43" s="1779"/>
    </row>
    <row r="44" ht="13.5" customHeight="1">
      <c r="A44" s="1809"/>
      <c r="B44" s="1817"/>
      <c r="C44" s="1817"/>
      <c r="D44" s="1822" t="s">
        <v>3348</v>
      </c>
      <c r="E44" s="1821" t="s">
        <v>3349</v>
      </c>
      <c r="F44" s="1783" t="n">
        <f aca="false">'Dimension socio-territoriale'!I162</f>
        <v>3</v>
      </c>
      <c r="G44" s="1755" t="s">
        <v>3303</v>
      </c>
      <c r="H44" s="1816" t="n">
        <v>3</v>
      </c>
      <c r="I44" s="1820"/>
      <c r="J44" s="1778"/>
      <c r="K44" s="1779"/>
    </row>
    <row r="45" ht="14.1" customHeight="1">
      <c r="A45" s="1809"/>
      <c r="B45" s="1823" t="s">
        <v>3137</v>
      </c>
      <c r="C45" s="1823"/>
      <c r="D45" s="1818" t="s">
        <v>3350</v>
      </c>
      <c r="E45" s="550" t="s">
        <v>756</v>
      </c>
      <c r="F45" s="1774" t="n">
        <f aca="false">'Dimension socio-territoriale'!I172</f>
        <v>6</v>
      </c>
      <c r="G45" s="1775" t="s">
        <v>3303</v>
      </c>
      <c r="H45" s="1812" t="n">
        <v>6</v>
      </c>
      <c r="I45" s="1813" t="n">
        <f aca="false">MIN(25,SUM(F45:F49))</f>
        <v>20</v>
      </c>
      <c r="J45" s="1778" t="s">
        <v>3303</v>
      </c>
      <c r="K45" s="1779" t="n">
        <v>25</v>
      </c>
    </row>
    <row r="46" ht="14.1" customHeight="1">
      <c r="A46" s="1809"/>
      <c r="B46" s="1823"/>
      <c r="C46" s="1823"/>
      <c r="D46" s="1818" t="s">
        <v>3351</v>
      </c>
      <c r="E46" s="1821" t="s">
        <v>669</v>
      </c>
      <c r="F46" s="1780" t="n">
        <f aca="false">'Dimension socio-territoriale'!I186</f>
        <v>2</v>
      </c>
      <c r="G46" s="1165" t="s">
        <v>3303</v>
      </c>
      <c r="H46" s="1814" t="n">
        <v>6</v>
      </c>
      <c r="I46" s="1813"/>
      <c r="J46" s="1778"/>
      <c r="K46" s="1779"/>
    </row>
    <row r="47" ht="14.1" customHeight="1">
      <c r="A47" s="1809"/>
      <c r="B47" s="1823"/>
      <c r="C47" s="1823"/>
      <c r="D47" s="1818" t="s">
        <v>3352</v>
      </c>
      <c r="E47" s="1821" t="s">
        <v>774</v>
      </c>
      <c r="F47" s="1780" t="n">
        <f aca="false">'Dimension socio-territoriale'!I195</f>
        <v>5</v>
      </c>
      <c r="G47" s="1165" t="s">
        <v>3303</v>
      </c>
      <c r="H47" s="1814" t="n">
        <v>6</v>
      </c>
      <c r="I47" s="1813"/>
      <c r="J47" s="1778"/>
      <c r="K47" s="1779"/>
    </row>
    <row r="48" ht="14.1" customHeight="1">
      <c r="A48" s="1809"/>
      <c r="B48" s="1823"/>
      <c r="C48" s="1823"/>
      <c r="D48" s="1818" t="s">
        <v>3353</v>
      </c>
      <c r="E48" s="1821" t="s">
        <v>782</v>
      </c>
      <c r="F48" s="1780" t="n">
        <f aca="false">'Dimension socio-territoriale'!I210</f>
        <v>5</v>
      </c>
      <c r="G48" s="1165" t="s">
        <v>3303</v>
      </c>
      <c r="H48" s="1814" t="n">
        <v>5</v>
      </c>
      <c r="I48" s="1813"/>
      <c r="J48" s="1778"/>
      <c r="K48" s="1779"/>
    </row>
    <row r="49" ht="14.1" customHeight="1">
      <c r="A49" s="1809"/>
      <c r="B49" s="1823"/>
      <c r="C49" s="1823"/>
      <c r="D49" s="1822" t="s">
        <v>3354</v>
      </c>
      <c r="E49" s="1821" t="s">
        <v>751</v>
      </c>
      <c r="F49" s="1783" t="n">
        <f aca="false">'Dimension socio-territoriale'!I224</f>
        <v>2</v>
      </c>
      <c r="G49" s="1755" t="s">
        <v>3303</v>
      </c>
      <c r="H49" s="1816" t="n">
        <v>5</v>
      </c>
      <c r="I49" s="1813"/>
      <c r="J49" s="1778"/>
      <c r="K49" s="1779"/>
    </row>
    <row r="50" ht="14.1" customHeight="1">
      <c r="A50" s="1809"/>
      <c r="B50" s="1824" t="s">
        <v>3183</v>
      </c>
      <c r="C50" s="1824"/>
      <c r="D50" s="1825" t="s">
        <v>3355</v>
      </c>
      <c r="E50" s="1821" t="s">
        <v>791</v>
      </c>
      <c r="F50" s="1774" t="n">
        <f aca="false">'Dimension socio-territoriale'!I238</f>
        <v>4</v>
      </c>
      <c r="G50" s="1775" t="s">
        <v>3303</v>
      </c>
      <c r="H50" s="1812" t="n">
        <v>6</v>
      </c>
      <c r="I50" s="1813" t="n">
        <f aca="false">MIN(25,SUM(F50:F54))</f>
        <v>19</v>
      </c>
      <c r="J50" s="1778" t="s">
        <v>3303</v>
      </c>
      <c r="K50" s="1779" t="n">
        <v>25</v>
      </c>
    </row>
    <row r="51" ht="14.1" customHeight="1">
      <c r="A51" s="1809"/>
      <c r="B51" s="1824"/>
      <c r="C51" s="1824"/>
      <c r="D51" s="1818" t="s">
        <v>3356</v>
      </c>
      <c r="E51" s="1821" t="s">
        <v>800</v>
      </c>
      <c r="F51" s="1780" t="n">
        <f aca="false">'Dimension socio-territoriale'!I259</f>
        <v>2</v>
      </c>
      <c r="G51" s="1165" t="s">
        <v>3303</v>
      </c>
      <c r="H51" s="1814" t="n">
        <v>6</v>
      </c>
      <c r="I51" s="1813"/>
      <c r="J51" s="1778"/>
      <c r="K51" s="1779"/>
    </row>
    <row r="52" ht="14.1" customHeight="1">
      <c r="A52" s="1809"/>
      <c r="B52" s="1824"/>
      <c r="C52" s="1824"/>
      <c r="D52" s="1818" t="s">
        <v>3357</v>
      </c>
      <c r="E52" s="1821" t="s">
        <v>808</v>
      </c>
      <c r="F52" s="1780" t="n">
        <f aca="false">'Dimension socio-territoriale'!I269</f>
        <v>5</v>
      </c>
      <c r="G52" s="1165" t="s">
        <v>3303</v>
      </c>
      <c r="H52" s="1814" t="n">
        <v>6</v>
      </c>
      <c r="I52" s="1813"/>
      <c r="J52" s="1778"/>
      <c r="K52" s="1779"/>
    </row>
    <row r="53" ht="14.1" customHeight="1">
      <c r="A53" s="1809"/>
      <c r="B53" s="1824"/>
      <c r="C53" s="1824"/>
      <c r="D53" s="1818" t="s">
        <v>3358</v>
      </c>
      <c r="E53" s="1821" t="s">
        <v>811</v>
      </c>
      <c r="F53" s="1780" t="n">
        <f aca="false">'Dimension socio-territoriale'!I276</f>
        <v>3</v>
      </c>
      <c r="G53" s="1165" t="s">
        <v>3303</v>
      </c>
      <c r="H53" s="1814" t="n">
        <v>6</v>
      </c>
      <c r="I53" s="1813"/>
      <c r="J53" s="1778"/>
      <c r="K53" s="1779"/>
    </row>
    <row r="54" ht="14.1" customHeight="1">
      <c r="A54" s="1809"/>
      <c r="B54" s="1824"/>
      <c r="C54" s="1824"/>
      <c r="D54" s="1826" t="s">
        <v>3359</v>
      </c>
      <c r="E54" s="1821" t="s">
        <v>3205</v>
      </c>
      <c r="F54" s="1783" t="n">
        <f aca="false">'Dimension socio-territoriale'!I284</f>
        <v>5</v>
      </c>
      <c r="G54" s="1755" t="s">
        <v>3303</v>
      </c>
      <c r="H54" s="1816" t="n">
        <v>6</v>
      </c>
      <c r="I54" s="1813"/>
      <c r="J54" s="1778"/>
      <c r="K54" s="1779"/>
    </row>
    <row r="55" ht="14.1" customHeight="1">
      <c r="A55" s="401"/>
      <c r="B55" s="401"/>
      <c r="C55" s="401"/>
      <c r="D55" s="401"/>
      <c r="E55" s="896"/>
      <c r="F55" s="1804" t="s">
        <v>1244</v>
      </c>
      <c r="G55" s="1804"/>
      <c r="H55" s="1804"/>
      <c r="I55" s="1827" t="n">
        <f aca="false">I32+I37+I45+I50</f>
        <v>72</v>
      </c>
      <c r="J55" s="1828" t="s">
        <v>3303</v>
      </c>
      <c r="K55" s="1829" t="n">
        <v>100</v>
      </c>
    </row>
    <row r="56" ht="14.1" customHeight="1">
      <c r="A56" s="401"/>
      <c r="B56" s="401"/>
      <c r="C56" s="401"/>
      <c r="D56" s="401"/>
      <c r="E56" s="896"/>
      <c r="F56" s="1830"/>
      <c r="T56" s="1808"/>
      <c r="U56" s="1808"/>
    </row>
    <row r="57" ht="14.1" customHeight="1">
      <c r="A57" s="401"/>
      <c r="B57" s="401"/>
      <c r="C57" s="401"/>
      <c r="D57" s="401"/>
      <c r="E57" s="401"/>
      <c r="F57" s="648"/>
      <c r="T57" s="1808"/>
      <c r="U57" s="1808"/>
    </row>
    <row r="58" ht="14.1" customHeight="1">
      <c r="A58" s="1831" t="s">
        <v>3360</v>
      </c>
      <c r="B58" s="1832" t="s">
        <v>3223</v>
      </c>
      <c r="C58" s="1832"/>
      <c r="D58" s="1833" t="s">
        <v>3361</v>
      </c>
      <c r="E58" s="889" t="s">
        <v>840</v>
      </c>
      <c r="F58" s="1774" t="n">
        <f aca="false">'Dimension économique'!H6</f>
        <v>16</v>
      </c>
      <c r="G58" s="1775" t="s">
        <v>3303</v>
      </c>
      <c r="H58" s="1776" t="n">
        <v>20</v>
      </c>
      <c r="I58" s="1834" t="n">
        <f aca="false">MIN(35,SUM(F58:F60))</f>
        <v>22</v>
      </c>
      <c r="J58" s="1778" t="s">
        <v>3303</v>
      </c>
      <c r="K58" s="1779" t="n">
        <v>35</v>
      </c>
    </row>
    <row r="59" ht="14.1" customHeight="1">
      <c r="A59" s="1831"/>
      <c r="B59" s="1832"/>
      <c r="C59" s="1832"/>
      <c r="D59" s="401" t="s">
        <v>3233</v>
      </c>
      <c r="E59" s="889" t="s">
        <v>865</v>
      </c>
      <c r="F59" s="1780" t="n">
        <f aca="false">'Dimension économique'!H15</f>
        <v>0</v>
      </c>
      <c r="G59" s="1165" t="s">
        <v>3303</v>
      </c>
      <c r="H59" s="1781" t="n">
        <v>12</v>
      </c>
      <c r="I59" s="1834"/>
      <c r="J59" s="1778"/>
      <c r="K59" s="1779"/>
    </row>
    <row r="60" ht="14.1" customHeight="1">
      <c r="A60" s="1831"/>
      <c r="B60" s="1832"/>
      <c r="C60" s="1832"/>
      <c r="D60" s="1059" t="s">
        <v>3362</v>
      </c>
      <c r="E60" s="889" t="s">
        <v>859</v>
      </c>
      <c r="F60" s="1783" t="n">
        <f aca="false">'Dimension économique'!H22</f>
        <v>6</v>
      </c>
      <c r="G60" s="1755" t="s">
        <v>3303</v>
      </c>
      <c r="H60" s="1784" t="n">
        <v>6</v>
      </c>
      <c r="I60" s="1834"/>
      <c r="J60" s="1778"/>
      <c r="K60" s="1779"/>
    </row>
    <row r="61" ht="14.1" customHeight="1">
      <c r="A61" s="1831"/>
      <c r="B61" s="1835" t="s">
        <v>3238</v>
      </c>
      <c r="C61" s="1835"/>
      <c r="D61" s="1833" t="s">
        <v>3363</v>
      </c>
      <c r="E61" s="889" t="s">
        <v>3239</v>
      </c>
      <c r="F61" s="1774" t="n">
        <f aca="false">'Dimension économique'!H29</f>
        <v>6</v>
      </c>
      <c r="G61" s="1775" t="s">
        <v>3303</v>
      </c>
      <c r="H61" s="1776" t="n">
        <v>10</v>
      </c>
      <c r="I61" s="1834" t="n">
        <f aca="false">MIN(25,SUM(F61:F64))</f>
        <v>20</v>
      </c>
      <c r="J61" s="1778" t="s">
        <v>3303</v>
      </c>
      <c r="K61" s="1779" t="n">
        <v>25</v>
      </c>
    </row>
    <row r="62" ht="14.1" customHeight="1">
      <c r="A62" s="1831"/>
      <c r="B62" s="1835"/>
      <c r="C62" s="1835"/>
      <c r="D62" s="401" t="s">
        <v>3364</v>
      </c>
      <c r="E62" s="889" t="s">
        <v>945</v>
      </c>
      <c r="F62" s="1780" t="n">
        <f aca="false">'Dimension économique'!H40</f>
        <v>4</v>
      </c>
      <c r="G62" s="1165" t="s">
        <v>3303</v>
      </c>
      <c r="H62" s="1781" t="n">
        <v>10</v>
      </c>
      <c r="I62" s="1834"/>
      <c r="J62" s="1778"/>
      <c r="K62" s="1779"/>
    </row>
    <row r="63" ht="14.1" customHeight="1">
      <c r="A63" s="1831"/>
      <c r="B63" s="1835"/>
      <c r="C63" s="1835"/>
      <c r="D63" s="401" t="s">
        <v>3365</v>
      </c>
      <c r="E63" s="889" t="s">
        <v>851</v>
      </c>
      <c r="F63" s="1780" t="n">
        <f aca="false">'Dimension économique'!H53</f>
        <v>6</v>
      </c>
      <c r="G63" s="1165" t="s">
        <v>3303</v>
      </c>
      <c r="H63" s="1781" t="n">
        <v>6</v>
      </c>
      <c r="I63" s="1834"/>
      <c r="J63" s="1778"/>
      <c r="K63" s="1779"/>
    </row>
    <row r="64" ht="14.1" customHeight="1">
      <c r="A64" s="1831"/>
      <c r="B64" s="1835"/>
      <c r="C64" s="1835"/>
      <c r="D64" s="1059" t="s">
        <v>3366</v>
      </c>
      <c r="E64" s="889" t="s">
        <v>874</v>
      </c>
      <c r="F64" s="1783" t="n">
        <f aca="false">'Dimension économique'!H60</f>
        <v>4</v>
      </c>
      <c r="G64" s="1755" t="s">
        <v>3303</v>
      </c>
      <c r="H64" s="1784" t="n">
        <v>4</v>
      </c>
      <c r="I64" s="1834"/>
      <c r="J64" s="1778"/>
      <c r="K64" s="1779"/>
    </row>
    <row r="65" ht="14.1" customHeight="1">
      <c r="A65" s="1831"/>
      <c r="B65" s="1836" t="s">
        <v>3264</v>
      </c>
      <c r="C65" s="1836"/>
      <c r="D65" s="1833" t="s">
        <v>3367</v>
      </c>
      <c r="E65" s="889" t="s">
        <v>868</v>
      </c>
      <c r="F65" s="1819" t="n">
        <f aca="false">'Dimension économique'!H67</f>
        <v>6</v>
      </c>
      <c r="G65" s="1775" t="s">
        <v>3303</v>
      </c>
      <c r="H65" s="1776" t="n">
        <v>15</v>
      </c>
      <c r="I65" s="1837" t="n">
        <f aca="false">MIN(20,SUM(F65:F66))</f>
        <v>14</v>
      </c>
      <c r="J65" s="1778" t="s">
        <v>3303</v>
      </c>
      <c r="K65" s="1779" t="n">
        <v>20</v>
      </c>
    </row>
    <row r="66" ht="14.1" customHeight="1">
      <c r="A66" s="1831"/>
      <c r="B66" s="1836"/>
      <c r="C66" s="1836"/>
      <c r="D66" s="1059" t="s">
        <v>3368</v>
      </c>
      <c r="E66" s="889" t="s">
        <v>878</v>
      </c>
      <c r="F66" s="1838" t="n">
        <f aca="false">'Dimension économique'!H76</f>
        <v>8</v>
      </c>
      <c r="G66" s="1755" t="s">
        <v>3303</v>
      </c>
      <c r="H66" s="1784" t="n">
        <v>8</v>
      </c>
      <c r="I66" s="1837"/>
      <c r="J66" s="1778"/>
      <c r="K66" s="1779"/>
    </row>
    <row r="67" ht="14.1" customHeight="1">
      <c r="A67" s="1831"/>
      <c r="B67" s="1839" t="s">
        <v>3285</v>
      </c>
      <c r="C67" s="1839"/>
      <c r="D67" s="1833" t="s">
        <v>3369</v>
      </c>
      <c r="E67" s="889" t="s">
        <v>826</v>
      </c>
      <c r="F67" s="1819" t="n">
        <f aca="false">'Dimension économique'!H88</f>
        <v>12</v>
      </c>
      <c r="G67" s="1775" t="s">
        <v>3303</v>
      </c>
      <c r="H67" s="1776" t="n">
        <v>12</v>
      </c>
      <c r="I67" s="1837" t="n">
        <f aca="false">MIN(20,SUM(F67:F68))</f>
        <v>12</v>
      </c>
      <c r="J67" s="1778" t="s">
        <v>3303</v>
      </c>
      <c r="K67" s="1779" t="n">
        <v>20</v>
      </c>
    </row>
    <row r="68" ht="14.1" customHeight="1">
      <c r="A68" s="1831"/>
      <c r="B68" s="1839"/>
      <c r="C68" s="1839"/>
      <c r="D68" s="1059" t="s">
        <v>3370</v>
      </c>
      <c r="E68" s="889" t="s">
        <v>833</v>
      </c>
      <c r="F68" s="1838" t="n">
        <f aca="false">'Dimension économique'!H96</f>
        <v>0</v>
      </c>
      <c r="G68" s="1755" t="s">
        <v>3303</v>
      </c>
      <c r="H68" s="1784" t="n">
        <v>8</v>
      </c>
      <c r="I68" s="1837"/>
      <c r="J68" s="1778"/>
      <c r="K68" s="1779"/>
    </row>
    <row r="69" ht="14.1" customHeight="1">
      <c r="A69" s="401"/>
      <c r="B69" s="401"/>
      <c r="C69" s="401"/>
      <c r="D69" s="401"/>
      <c r="E69" s="896"/>
      <c r="F69" s="1804" t="s">
        <v>1244</v>
      </c>
      <c r="G69" s="1804"/>
      <c r="H69" s="1804"/>
      <c r="I69" s="1805" t="n">
        <f aca="false">I58+I61+I65+I67</f>
        <v>68</v>
      </c>
      <c r="J69" s="1806" t="s">
        <v>3303</v>
      </c>
      <c r="K69" s="1807" t="n">
        <v>100</v>
      </c>
    </row>
    <row r="70" ht="14.1" customHeight="1">
      <c r="E70" s="896"/>
      <c r="F70" s="1819"/>
    </row>
    <row r="71" ht="14.1" customHeight="1"/>
    <row r="72" ht="14.1" customHeight="1">
      <c r="E72" s="1840" t="s">
        <v>3371</v>
      </c>
      <c r="F72" s="1840"/>
      <c r="G72" s="1840"/>
      <c r="H72" s="1840"/>
      <c r="I72" s="1805" t="n">
        <f aca="false">MIN(I29,I55,I69)</f>
        <v>52</v>
      </c>
      <c r="J72" s="1806" t="s">
        <v>3303</v>
      </c>
      <c r="K72" s="1807" t="n">
        <v>100</v>
      </c>
    </row>
    <row r="73" ht="14.1" customHeight="1">
      <c r="E73" s="401"/>
      <c r="F73" s="648"/>
    </row>
    <row r="74" ht="14.1" customHeight="1">
      <c r="E74" s="401"/>
      <c r="F74" s="648"/>
    </row>
    <row r="75" ht="29.25" customHeight="1">
      <c r="A75" s="1763" t="s">
        <v>3372</v>
      </c>
      <c r="B75" s="1763"/>
      <c r="C75" s="1763"/>
      <c r="D75" s="1763"/>
      <c r="E75" s="1763"/>
      <c r="F75" s="1763"/>
      <c r="G75" s="1763"/>
      <c r="H75" s="1763"/>
      <c r="I75" s="1763"/>
      <c r="J75" s="1763"/>
      <c r="K75" s="1763"/>
    </row>
    <row r="76" ht="14.1" customHeight="1"/>
    <row r="77" ht="14.1" customHeight="1"/>
    <row r="80" ht="12.75" customHeight="1">
      <c r="D80" s="1841" t="s">
        <v>3373</v>
      </c>
    </row>
    <row r="81" ht="12.75" customHeight="1">
      <c r="D81" s="1841"/>
    </row>
    <row r="82" ht="12.75" customHeight="1">
      <c r="D82" s="1842"/>
    </row>
    <row r="83" ht="12.75" customHeight="1">
      <c r="D83" s="1842"/>
    </row>
    <row r="84" ht="12.75" customHeight="1">
      <c r="D84" s="1843" t="s">
        <v>3040</v>
      </c>
      <c r="E84" s="401"/>
      <c r="F84" s="401"/>
    </row>
    <row r="85" ht="12.75" customHeight="1">
      <c r="D85" s="1841" t="s">
        <v>3374</v>
      </c>
      <c r="E85" s="1841" t="n">
        <f aca="false">I29</f>
        <v>52</v>
      </c>
      <c r="F85" s="1844" t="s">
        <v>3375</v>
      </c>
    </row>
    <row r="86" ht="12.75" customHeight="1">
      <c r="C86" s="401"/>
      <c r="D86" s="1841" t="s">
        <v>3376</v>
      </c>
      <c r="E86" s="1845" t="n">
        <f aca="false">I55</f>
        <v>72</v>
      </c>
      <c r="F86" s="1844" t="s">
        <v>3375</v>
      </c>
    </row>
    <row r="87" ht="12.75" customHeight="1">
      <c r="C87" s="401"/>
      <c r="D87" s="1841" t="s">
        <v>3377</v>
      </c>
      <c r="E87" s="1845" t="n">
        <f aca="false">I69</f>
        <v>68</v>
      </c>
      <c r="F87" s="1844" t="s">
        <v>3375</v>
      </c>
    </row>
    <row r="88" ht="12.75" customHeight="1">
      <c r="D88" s="1841" t="s">
        <v>3371</v>
      </c>
      <c r="E88" s="1845" t="n">
        <f aca="false">MIN(E85:E87)</f>
        <v>52</v>
      </c>
      <c r="F88" s="1846" t="s">
        <v>3375</v>
      </c>
    </row>
    <row r="105" ht="29.25" customHeight="1">
      <c r="A105" s="1763" t="s">
        <v>3378</v>
      </c>
      <c r="B105" s="1763"/>
      <c r="C105" s="1763"/>
      <c r="D105" s="1763"/>
      <c r="E105" s="1763"/>
      <c r="F105" s="1763"/>
      <c r="G105" s="1763"/>
      <c r="H105" s="1763"/>
      <c r="I105" s="1763"/>
      <c r="J105" s="1763"/>
      <c r="K105" s="1763"/>
      <c r="L105" s="1763"/>
      <c r="M105" s="1763"/>
      <c r="N105" s="1763"/>
      <c r="O105" s="1763"/>
      <c r="P105" s="1763"/>
      <c r="Q105" s="1763"/>
      <c r="R105" s="1763"/>
      <c r="S105" s="1763"/>
      <c r="T105" s="1763"/>
      <c r="U105" s="1763"/>
      <c r="V105" s="1763"/>
      <c r="W105" s="1763"/>
      <c r="X105" s="1763"/>
      <c r="Y105" s="1763"/>
      <c r="Z105" s="1763"/>
      <c r="AA105" s="1763"/>
      <c r="AB105" s="1763"/>
      <c r="AC105" s="1763"/>
      <c r="AD105" s="1763"/>
    </row>
    <row r="112" ht="12.75" customHeight="1">
      <c r="D112" s="1841" t="s">
        <v>3373</v>
      </c>
    </row>
    <row r="114" ht="26.45" customHeight="1">
      <c r="D114" s="1847" t="s">
        <v>3379</v>
      </c>
      <c r="M114" s="1848" t="s">
        <v>3380</v>
      </c>
      <c r="N114" s="1848"/>
      <c r="O114" s="1848"/>
    </row>
    <row r="115" ht="12.75" customHeight="1">
      <c r="D115" s="1841" t="s">
        <v>2819</v>
      </c>
      <c r="F115" s="1849" t="n">
        <f aca="false">I10</f>
        <v>8</v>
      </c>
      <c r="G115" s="1850" t="s">
        <v>3303</v>
      </c>
      <c r="H115" s="1844" t="n">
        <v>20</v>
      </c>
      <c r="K115" s="1844" t="n">
        <f aca="false">H115-F115</f>
        <v>12</v>
      </c>
      <c r="M115" s="1851" t="n">
        <f aca="false">(F115/H115)*100</f>
        <v>40</v>
      </c>
      <c r="N115" s="1850" t="s">
        <v>3303</v>
      </c>
      <c r="O115" s="1844" t="n">
        <v>100</v>
      </c>
    </row>
    <row r="116" ht="12.75" customHeight="1">
      <c r="D116" s="1841" t="s">
        <v>2911</v>
      </c>
      <c r="F116" s="1849" t="n">
        <f aca="false">I15</f>
        <v>5</v>
      </c>
      <c r="G116" s="1850" t="s">
        <v>3303</v>
      </c>
      <c r="H116" s="1844" t="n">
        <v>20</v>
      </c>
      <c r="K116" s="1844" t="n">
        <f aca="false">H116-F116</f>
        <v>15</v>
      </c>
      <c r="M116" s="1851" t="n">
        <f aca="false">(F116/H116)*100</f>
        <v>25</v>
      </c>
      <c r="N116" s="1850" t="s">
        <v>3303</v>
      </c>
      <c r="O116" s="1844" t="n">
        <v>100</v>
      </c>
    </row>
    <row r="117" ht="12.75" customHeight="1">
      <c r="D117" s="1841" t="s">
        <v>2933</v>
      </c>
      <c r="F117" s="1849" t="n">
        <f aca="false">I18</f>
        <v>11</v>
      </c>
      <c r="G117" s="1850" t="s">
        <v>3303</v>
      </c>
      <c r="H117" s="1844" t="n">
        <v>20</v>
      </c>
      <c r="K117" s="1844" t="n">
        <f aca="false">H117-F117</f>
        <v>9</v>
      </c>
      <c r="M117" s="1851" t="n">
        <f aca="false">(F117/H117)*100</f>
        <v>55</v>
      </c>
      <c r="N117" s="1850" t="s">
        <v>3303</v>
      </c>
      <c r="O117" s="1844" t="n">
        <v>100</v>
      </c>
    </row>
    <row r="118" ht="12.75" customHeight="1">
      <c r="D118" s="1841" t="s">
        <v>2944</v>
      </c>
      <c r="F118" s="1849" t="n">
        <f aca="false">I21</f>
        <v>16</v>
      </c>
      <c r="G118" s="1850" t="s">
        <v>3303</v>
      </c>
      <c r="H118" s="1844" t="n">
        <v>20</v>
      </c>
      <c r="K118" s="1844" t="n">
        <f aca="false">H118-F118</f>
        <v>4</v>
      </c>
      <c r="M118" s="1851" t="n">
        <f aca="false">(F118/H118)*100</f>
        <v>80</v>
      </c>
      <c r="N118" s="1850" t="s">
        <v>3303</v>
      </c>
      <c r="O118" s="1844" t="n">
        <v>100</v>
      </c>
    </row>
    <row r="119" ht="12.75" customHeight="1">
      <c r="D119" s="1841" t="s">
        <v>3381</v>
      </c>
      <c r="F119" s="1849" t="n">
        <f aca="false">I25</f>
        <v>12</v>
      </c>
      <c r="G119" s="1850" t="s">
        <v>3303</v>
      </c>
      <c r="H119" s="1844" t="n">
        <v>20</v>
      </c>
      <c r="K119" s="1844" t="n">
        <f aca="false">H119-F119</f>
        <v>8</v>
      </c>
      <c r="M119" s="1851" t="n">
        <f aca="false">(F119/H119)*100</f>
        <v>60</v>
      </c>
      <c r="N119" s="1850" t="s">
        <v>3303</v>
      </c>
      <c r="O119" s="1844" t="n">
        <v>100</v>
      </c>
    </row>
    <row r="120" ht="12.75" customHeight="1">
      <c r="D120" s="1841" t="s">
        <v>3042</v>
      </c>
      <c r="F120" s="1852" t="n">
        <f aca="false">I32</f>
        <v>17</v>
      </c>
      <c r="G120" s="1850" t="s">
        <v>3303</v>
      </c>
      <c r="H120" s="1844" t="n">
        <v>25</v>
      </c>
      <c r="K120" s="1844" t="n">
        <f aca="false">H120-F120</f>
        <v>8</v>
      </c>
      <c r="M120" s="1851" t="n">
        <f aca="false">(F120/H120)*100</f>
        <v>68</v>
      </c>
      <c r="N120" s="1850" t="s">
        <v>3303</v>
      </c>
      <c r="O120" s="1844" t="n">
        <v>100</v>
      </c>
    </row>
    <row r="121" ht="12.75" customHeight="1">
      <c r="D121" s="1841" t="s">
        <v>3079</v>
      </c>
      <c r="F121" s="1852" t="n">
        <f aca="false">I37</f>
        <v>16</v>
      </c>
      <c r="G121" s="1850" t="s">
        <v>3303</v>
      </c>
      <c r="H121" s="1844" t="n">
        <v>25</v>
      </c>
      <c r="K121" s="1844" t="n">
        <f aca="false">H121-F121</f>
        <v>9</v>
      </c>
      <c r="M121" s="1851" t="n">
        <f aca="false">(F121/H121)*100</f>
        <v>64</v>
      </c>
      <c r="N121" s="1850" t="s">
        <v>3303</v>
      </c>
      <c r="O121" s="1844" t="n">
        <v>100</v>
      </c>
    </row>
    <row r="122" ht="12.75" customHeight="1">
      <c r="D122" s="1841" t="s">
        <v>3137</v>
      </c>
      <c r="F122" s="1852" t="n">
        <f aca="false">I45</f>
        <v>20</v>
      </c>
      <c r="G122" s="1850" t="s">
        <v>3303</v>
      </c>
      <c r="H122" s="1844" t="n">
        <v>25</v>
      </c>
      <c r="K122" s="1844" t="n">
        <f aca="false">H122-F122</f>
        <v>5</v>
      </c>
      <c r="M122" s="1851" t="n">
        <f aca="false">(F122/H122)*100</f>
        <v>80</v>
      </c>
      <c r="N122" s="1850" t="s">
        <v>3303</v>
      </c>
      <c r="O122" s="1844" t="n">
        <v>100</v>
      </c>
    </row>
    <row r="123" ht="12.75" customHeight="1">
      <c r="D123" s="1841" t="s">
        <v>3183</v>
      </c>
      <c r="F123" s="1849" t="n">
        <f aca="false">I50</f>
        <v>19</v>
      </c>
      <c r="G123" s="1850" t="s">
        <v>3303</v>
      </c>
      <c r="H123" s="1844" t="n">
        <v>25</v>
      </c>
      <c r="K123" s="1844" t="n">
        <f aca="false">H123-F123</f>
        <v>6</v>
      </c>
      <c r="M123" s="1851" t="n">
        <f aca="false">(F123/H123)*100</f>
        <v>76</v>
      </c>
      <c r="N123" s="1850" t="s">
        <v>3303</v>
      </c>
      <c r="O123" s="1844" t="n">
        <v>100</v>
      </c>
    </row>
    <row r="124" ht="12.75" customHeight="1">
      <c r="D124" s="1841" t="s">
        <v>3223</v>
      </c>
      <c r="F124" s="1849" t="n">
        <f aca="false">I58</f>
        <v>22</v>
      </c>
      <c r="G124" s="1850" t="s">
        <v>3303</v>
      </c>
      <c r="H124" s="1844" t="n">
        <v>35</v>
      </c>
      <c r="K124" s="1844" t="n">
        <f aca="false">H124-F124</f>
        <v>13</v>
      </c>
      <c r="M124" s="1851" t="n">
        <f aca="false">(F124/H124)*100</f>
        <v>62.8571428571429</v>
      </c>
      <c r="N124" s="1850" t="s">
        <v>3303</v>
      </c>
      <c r="O124" s="1844" t="n">
        <v>100</v>
      </c>
    </row>
    <row r="125" ht="12.75" customHeight="1">
      <c r="D125" s="1841" t="s">
        <v>3238</v>
      </c>
      <c r="F125" s="1852" t="n">
        <f aca="false">I61</f>
        <v>20</v>
      </c>
      <c r="G125" s="1850" t="s">
        <v>3303</v>
      </c>
      <c r="H125" s="1844" t="n">
        <v>25</v>
      </c>
      <c r="K125" s="1844" t="n">
        <f aca="false">H125-F125</f>
        <v>5</v>
      </c>
      <c r="M125" s="1851" t="n">
        <f aca="false">(F125/H125)*100</f>
        <v>80</v>
      </c>
      <c r="N125" s="1850" t="s">
        <v>3303</v>
      </c>
      <c r="O125" s="1844" t="n">
        <v>100</v>
      </c>
    </row>
    <row r="126" ht="12.75" customHeight="1">
      <c r="B126" s="401"/>
      <c r="C126" s="401"/>
      <c r="D126" s="1841" t="s">
        <v>3264</v>
      </c>
      <c r="F126" s="1852" t="n">
        <f aca="false">I65</f>
        <v>14</v>
      </c>
      <c r="G126" s="1850" t="s">
        <v>3303</v>
      </c>
      <c r="H126" s="1844" t="n">
        <v>20</v>
      </c>
      <c r="K126" s="1844" t="n">
        <f aca="false">H126-F126</f>
        <v>6</v>
      </c>
      <c r="M126" s="1851" t="n">
        <f aca="false">(F126/H126)*100</f>
        <v>70</v>
      </c>
      <c r="N126" s="1850" t="s">
        <v>3303</v>
      </c>
      <c r="O126" s="1844" t="n">
        <v>100</v>
      </c>
    </row>
    <row r="127" ht="12.75" customHeight="1">
      <c r="D127" s="1841" t="s">
        <v>3285</v>
      </c>
      <c r="F127" s="1852" t="n">
        <f aca="false">I67</f>
        <v>12</v>
      </c>
      <c r="G127" s="1850" t="s">
        <v>3303</v>
      </c>
      <c r="H127" s="1844" t="n">
        <v>20</v>
      </c>
      <c r="K127" s="1844" t="n">
        <f aca="false">H127-F127</f>
        <v>8</v>
      </c>
      <c r="M127" s="1851" t="n">
        <f aca="false">(F127/H127)*100</f>
        <v>60</v>
      </c>
      <c r="N127" s="1850" t="s">
        <v>3303</v>
      </c>
      <c r="O127" s="1844" t="n">
        <v>100</v>
      </c>
    </row>
    <row r="128" ht="12.75" customHeight="1">
      <c r="G128" s="1853"/>
    </row>
    <row r="145" ht="29.25" customHeight="1">
      <c r="A145" s="1763" t="s">
        <v>3382</v>
      </c>
      <c r="B145" s="1763"/>
      <c r="C145" s="1763"/>
      <c r="D145" s="1763"/>
      <c r="E145" s="1763"/>
      <c r="F145" s="1763"/>
      <c r="G145" s="1763"/>
      <c r="H145" s="1763"/>
      <c r="I145" s="1763"/>
      <c r="J145" s="1763"/>
      <c r="K145" s="1763"/>
      <c r="L145" s="1763"/>
      <c r="M145" s="1763"/>
      <c r="N145" s="1763"/>
      <c r="O145" s="1763"/>
      <c r="P145" s="1763"/>
      <c r="Q145" s="1763"/>
      <c r="R145" s="1763"/>
      <c r="S145" s="1763"/>
      <c r="T145" s="1763"/>
      <c r="U145" s="1763"/>
      <c r="V145" s="1763"/>
      <c r="W145" s="1763"/>
      <c r="X145" s="1763"/>
      <c r="Y145" s="1763"/>
      <c r="Z145" s="1763"/>
      <c r="AA145" s="1763"/>
      <c r="AB145" s="1763"/>
      <c r="AC145" s="1763"/>
      <c r="AD145" s="1763"/>
    </row>
    <row r="147" ht="10.15" customHeight="1">
      <c r="D147" s="1403"/>
      <c r="E147" s="1403"/>
      <c r="F147" s="1854"/>
      <c r="G147" s="1855"/>
      <c r="H147" s="1856"/>
      <c r="I147" s="1857"/>
      <c r="J147" s="1858"/>
      <c r="K147" s="1859"/>
      <c r="L147" s="1403"/>
    </row>
    <row r="148" ht="10.15" customHeight="1">
      <c r="D148" s="1403"/>
      <c r="E148" s="1403"/>
      <c r="F148" s="1854"/>
      <c r="G148" s="1855"/>
      <c r="H148" s="1856"/>
      <c r="I148" s="1857"/>
      <c r="J148" s="1858"/>
      <c r="K148" s="1859"/>
      <c r="L148" s="1403"/>
    </row>
    <row r="149" ht="10.15" customHeight="1">
      <c r="D149" s="1860" t="s">
        <v>3373</v>
      </c>
      <c r="E149" s="1403"/>
      <c r="F149" s="1854"/>
      <c r="G149" s="1855"/>
      <c r="H149" s="1856"/>
      <c r="I149" s="1857"/>
      <c r="J149" s="1858"/>
      <c r="K149" s="1859"/>
      <c r="L149" s="1403"/>
    </row>
    <row r="150" ht="10.15" customHeight="1">
      <c r="D150" s="1861"/>
      <c r="E150" s="1862" t="s">
        <v>3383</v>
      </c>
      <c r="F150" s="1862"/>
      <c r="G150" s="1862"/>
      <c r="H150" s="1862"/>
      <c r="I150" s="1863" t="s">
        <v>3384</v>
      </c>
      <c r="J150" s="1863"/>
      <c r="K150" s="1863"/>
      <c r="L150" s="1403"/>
    </row>
    <row r="151" ht="10.15" customHeight="1">
      <c r="D151" s="1861" t="str">
        <f aca="false">D10</f>
        <v>Diversité des espèces cultivées</v>
      </c>
      <c r="E151" s="1403"/>
      <c r="F151" s="1861" t="n">
        <f aca="false">F10</f>
        <v>3</v>
      </c>
      <c r="G151" s="1864" t="s">
        <v>3303</v>
      </c>
      <c r="H151" s="1861" t="n">
        <f aca="false">H10</f>
        <v>5</v>
      </c>
      <c r="I151" s="1857"/>
      <c r="J151" s="1858"/>
      <c r="K151" s="1861" t="n">
        <f aca="false">H151-F151</f>
        <v>2</v>
      </c>
      <c r="L151" s="1403"/>
    </row>
    <row r="152" ht="10.15" customHeight="1">
      <c r="D152" s="1861" t="str">
        <f aca="false">D11</f>
        <v>Diversité génétique</v>
      </c>
      <c r="E152" s="1403"/>
      <c r="F152" s="1861" t="n">
        <f aca="false">F11</f>
        <v>2</v>
      </c>
      <c r="G152" s="1864" t="s">
        <v>3303</v>
      </c>
      <c r="H152" s="1861" t="n">
        <f aca="false">H11</f>
        <v>5</v>
      </c>
      <c r="I152" s="1857"/>
      <c r="J152" s="1858"/>
      <c r="K152" s="1861" t="n">
        <f aca="false">H152-F152</f>
        <v>3</v>
      </c>
      <c r="L152" s="1403"/>
    </row>
    <row r="153" ht="10.15" customHeight="1">
      <c r="D153" s="1861" t="str">
        <f aca="false">D12</f>
        <v>Diversité temporelle des cultures</v>
      </c>
      <c r="E153" s="1403"/>
      <c r="F153" s="1861" t="n">
        <f aca="false">F12</f>
        <v>0</v>
      </c>
      <c r="G153" s="1864" t="s">
        <v>3303</v>
      </c>
      <c r="H153" s="1861" t="n">
        <f aca="false">H12</f>
        <v>5</v>
      </c>
      <c r="I153" s="1857"/>
      <c r="J153" s="1858"/>
      <c r="K153" s="1861" t="n">
        <f aca="false">H153-F153</f>
        <v>5</v>
      </c>
      <c r="L153" s="1403"/>
    </row>
    <row r="154" ht="10.15" customHeight="1">
      <c r="D154" s="1861" t="str">
        <f aca="false">D13</f>
        <v>Qualité de l'organisation spatiale</v>
      </c>
      <c r="E154" s="1403"/>
      <c r="F154" s="1861" t="n">
        <f aca="false">F13</f>
        <v>1</v>
      </c>
      <c r="G154" s="1864" t="s">
        <v>3303</v>
      </c>
      <c r="H154" s="1861" t="n">
        <f aca="false">H13</f>
        <v>5</v>
      </c>
      <c r="I154" s="1857"/>
      <c r="J154" s="1858"/>
      <c r="K154" s="1861" t="n">
        <f aca="false">H154-F154</f>
        <v>4</v>
      </c>
      <c r="L154" s="1403"/>
    </row>
    <row r="155" ht="10.15" customHeight="1">
      <c r="D155" s="1861" t="str">
        <f aca="false">D14</f>
        <v>Gestion des insectes pollinisateurs et des auxiliaires des cultures</v>
      </c>
      <c r="E155" s="1403"/>
      <c r="F155" s="1861" t="n">
        <f aca="false">F14</f>
        <v>2</v>
      </c>
      <c r="G155" s="1864" t="s">
        <v>3303</v>
      </c>
      <c r="H155" s="1861" t="n">
        <f aca="false">H14</f>
        <v>5</v>
      </c>
      <c r="I155" s="1857"/>
      <c r="J155" s="1858"/>
      <c r="K155" s="1861" t="n">
        <f aca="false">H155-F155</f>
        <v>3</v>
      </c>
      <c r="L155" s="1403"/>
    </row>
    <row r="156" ht="10.15" customHeight="1">
      <c r="D156" s="1861" t="str">
        <f aca="false">D15</f>
        <v>Autonomie en énergie, matériaux, matériels, semences et plants</v>
      </c>
      <c r="E156" s="1403"/>
      <c r="F156" s="1861" t="n">
        <f aca="false">F15</f>
        <v>2</v>
      </c>
      <c r="G156" s="1864" t="s">
        <v>3303</v>
      </c>
      <c r="H156" s="1861" t="n">
        <f aca="false">H15</f>
        <v>8</v>
      </c>
      <c r="I156" s="1857"/>
      <c r="J156" s="1858"/>
      <c r="K156" s="1861" t="n">
        <f aca="false">H156-F156</f>
        <v>6</v>
      </c>
      <c r="L156" s="1403"/>
    </row>
    <row r="157" ht="10.15" customHeight="1">
      <c r="D157" s="1861" t="str">
        <f aca="false">D16</f>
        <v>Autonomie alimentaire de l’élevage</v>
      </c>
      <c r="E157" s="1403"/>
      <c r="F157" s="1861" t="n">
        <f aca="false">F16</f>
        <v>0</v>
      </c>
      <c r="G157" s="1864" t="s">
        <v>3303</v>
      </c>
      <c r="H157" s="1861" t="n">
        <f aca="false">H16</f>
        <v>8</v>
      </c>
      <c r="I157" s="1857"/>
      <c r="J157" s="1858"/>
      <c r="K157" s="1861" t="n">
        <f aca="false">H157-F157</f>
        <v>8</v>
      </c>
      <c r="L157" s="1403"/>
    </row>
    <row r="158" ht="10.15" customHeight="1">
      <c r="D158" s="1861" t="str">
        <f aca="false">D17</f>
        <v>Autonomie en azote</v>
      </c>
      <c r="E158" s="1403"/>
      <c r="F158" s="1861" t="n">
        <f aca="false">F17</f>
        <v>3</v>
      </c>
      <c r="G158" s="1864" t="s">
        <v>3303</v>
      </c>
      <c r="H158" s="1861" t="n">
        <f aca="false">H17</f>
        <v>8</v>
      </c>
      <c r="I158" s="1857"/>
      <c r="J158" s="1858"/>
      <c r="K158" s="1861" t="n">
        <f aca="false">H158-F158</f>
        <v>5</v>
      </c>
      <c r="L158" s="1403"/>
    </row>
    <row r="159" ht="10.15" customHeight="1">
      <c r="D159" s="1861" t="str">
        <f aca="false">D18</f>
        <v>Sobriété dans l'usage de l'eau et partage de la ressource</v>
      </c>
      <c r="E159" s="1403"/>
      <c r="F159" s="1861" t="n">
        <f aca="false">F18</f>
        <v>0</v>
      </c>
      <c r="G159" s="1864" t="s">
        <v>3303</v>
      </c>
      <c r="H159" s="1861" t="n">
        <f aca="false">H18</f>
        <v>8</v>
      </c>
      <c r="I159" s="1857"/>
      <c r="J159" s="1858"/>
      <c r="K159" s="1861" t="n">
        <f aca="false">H159-F159</f>
        <v>8</v>
      </c>
      <c r="L159" s="1403"/>
    </row>
    <row r="160" ht="10.15" customHeight="1">
      <c r="D160" s="1861" t="str">
        <f aca="false">D19</f>
        <v>Sobriété dans l'utilisation du phosphore</v>
      </c>
      <c r="E160" s="1403"/>
      <c r="F160" s="1861" t="n">
        <f aca="false">F19</f>
        <v>6</v>
      </c>
      <c r="G160" s="1864" t="s">
        <v>3303</v>
      </c>
      <c r="H160" s="1861" t="n">
        <f aca="false">H19</f>
        <v>8</v>
      </c>
      <c r="I160" s="1857"/>
      <c r="J160" s="1858"/>
      <c r="K160" s="1861" t="n">
        <f aca="false">H160-F160</f>
        <v>2</v>
      </c>
      <c r="L160" s="1403"/>
    </row>
    <row r="161" ht="10.15" customHeight="1">
      <c r="D161" s="1861" t="str">
        <f aca="false">D20</f>
        <v>Sobriété dans la consommation en énergie</v>
      </c>
      <c r="E161" s="1403"/>
      <c r="F161" s="1861" t="n">
        <f aca="false">F20</f>
        <v>5</v>
      </c>
      <c r="G161" s="1864" t="s">
        <v>3303</v>
      </c>
      <c r="H161" s="1861" t="n">
        <f aca="false">H20</f>
        <v>8</v>
      </c>
      <c r="I161" s="1857"/>
      <c r="J161" s="1858"/>
      <c r="K161" s="1861" t="n">
        <f aca="false">H161-F161</f>
        <v>3</v>
      </c>
      <c r="L161" s="1403"/>
    </row>
    <row r="162" ht="10.15" customHeight="1">
      <c r="D162" s="1861" t="str">
        <f aca="false">D21</f>
        <v>Raisonner l'utilisation de l'eau</v>
      </c>
      <c r="E162" s="1403"/>
      <c r="F162" s="1861" t="n">
        <f aca="false">F21</f>
        <v>8</v>
      </c>
      <c r="G162" s="1864" t="s">
        <v>3303</v>
      </c>
      <c r="H162" s="1861" t="n">
        <f aca="false">H21</f>
        <v>8</v>
      </c>
      <c r="I162" s="1857"/>
      <c r="J162" s="1858"/>
      <c r="K162" s="1861" t="n">
        <f aca="false">H162-F162</f>
        <v>0</v>
      </c>
      <c r="L162" s="1403"/>
    </row>
    <row r="163" ht="10.15" customHeight="1">
      <c r="D163" s="1861" t="str">
        <f aca="false">D22</f>
        <v>Favoriser la fertilité du sol</v>
      </c>
      <c r="E163" s="1403"/>
      <c r="F163" s="1861" t="n">
        <f aca="false">F22</f>
        <v>2</v>
      </c>
      <c r="G163" s="1864" t="s">
        <v>3303</v>
      </c>
      <c r="H163" s="1861" t="n">
        <f aca="false">H22</f>
        <v>8</v>
      </c>
      <c r="I163" s="1857"/>
      <c r="J163" s="1858"/>
      <c r="K163" s="1861" t="n">
        <f aca="false">H163-F163</f>
        <v>6</v>
      </c>
      <c r="L163" s="1403"/>
    </row>
    <row r="164" ht="10.15" customHeight="1">
      <c r="D164" s="1861" t="str">
        <f aca="false">D23</f>
        <v>Maintenir l'efficacité de la protection sanitaire 
des cultures et des animaux</v>
      </c>
      <c r="E164" s="1403"/>
      <c r="F164" s="1861" t="n">
        <f aca="false">F23</f>
        <v>2</v>
      </c>
      <c r="G164" s="1864" t="s">
        <v>3303</v>
      </c>
      <c r="H164" s="1861" t="n">
        <f aca="false">H23</f>
        <v>4</v>
      </c>
      <c r="I164" s="1857"/>
      <c r="J164" s="1858"/>
      <c r="K164" s="1861" t="n">
        <f aca="false">H164-F164</f>
        <v>2</v>
      </c>
      <c r="L164" s="1403"/>
    </row>
    <row r="165" ht="10.15" customHeight="1">
      <c r="D165" s="1861" t="str">
        <f aca="false">D24</f>
        <v>Sécuriser la disponibilité des moyens matériels de production</v>
      </c>
      <c r="E165" s="1403"/>
      <c r="F165" s="1861" t="n">
        <f aca="false">F24</f>
        <v>4</v>
      </c>
      <c r="G165" s="1864" t="s">
        <v>3303</v>
      </c>
      <c r="H165" s="1861" t="n">
        <f aca="false">H24</f>
        <v>4</v>
      </c>
      <c r="I165" s="1857"/>
      <c r="J165" s="1858"/>
      <c r="K165" s="1861" t="n">
        <f aca="false">H165-F165</f>
        <v>0</v>
      </c>
      <c r="L165" s="1403"/>
    </row>
    <row r="166" ht="10.15" customHeight="1">
      <c r="D166" s="1861" t="str">
        <f aca="false">D25</f>
        <v>Réduire l'impact des pratiques sur la qualité de l'eau</v>
      </c>
      <c r="E166" s="1403"/>
      <c r="F166" s="1861" t="n">
        <f aca="false">F25</f>
        <v>1</v>
      </c>
      <c r="G166" s="1864" t="s">
        <v>3303</v>
      </c>
      <c r="H166" s="1861" t="n">
        <f aca="false">H25</f>
        <v>6</v>
      </c>
      <c r="I166" s="1857"/>
      <c r="J166" s="1858"/>
      <c r="K166" s="1861" t="n">
        <f aca="false">H166-F166</f>
        <v>5</v>
      </c>
      <c r="L166" s="1403"/>
    </row>
    <row r="167" ht="10.15" customHeight="1">
      <c r="D167" s="1861" t="str">
        <f aca="false">D26</f>
        <v>Réduire l'impact des pratiques sur la qualité de l'air</v>
      </c>
      <c r="E167" s="1403"/>
      <c r="F167" s="1861" t="n">
        <f aca="false">F26</f>
        <v>3</v>
      </c>
      <c r="G167" s="1864" t="s">
        <v>3303</v>
      </c>
      <c r="H167" s="1861" t="n">
        <f aca="false">H26</f>
        <v>6</v>
      </c>
      <c r="I167" s="1857"/>
      <c r="J167" s="1858"/>
      <c r="K167" s="1861" t="n">
        <f aca="false">H167-F167</f>
        <v>3</v>
      </c>
      <c r="L167" s="1403"/>
    </row>
    <row r="168" ht="10.15" customHeight="1">
      <c r="D168" s="1861" t="str">
        <f aca="false">D27</f>
        <v>Réduire l'impact des pratiques sur le changement climatique</v>
      </c>
      <c r="E168" s="1403"/>
      <c r="F168" s="1861" t="n">
        <f aca="false">F27</f>
        <v>5</v>
      </c>
      <c r="G168" s="1864" t="s">
        <v>3303</v>
      </c>
      <c r="H168" s="1861" t="n">
        <f aca="false">H27</f>
        <v>6</v>
      </c>
      <c r="I168" s="1857"/>
      <c r="J168" s="1858"/>
      <c r="K168" s="1861" t="n">
        <f aca="false">H168-F168</f>
        <v>1</v>
      </c>
      <c r="L168" s="1403"/>
    </row>
    <row r="169" ht="10.15" customHeight="1">
      <c r="D169" s="1861" t="str">
        <f aca="false">D28</f>
        <v>Réduire l'usage des produits phytosanitaires 
et des traitements vétérinaires</v>
      </c>
      <c r="E169" s="1403"/>
      <c r="F169" s="1861" t="n">
        <f aca="false">F28</f>
        <v>3</v>
      </c>
      <c r="G169" s="1864" t="s">
        <v>3303</v>
      </c>
      <c r="H169" s="1861" t="n">
        <f aca="false">H28</f>
        <v>6</v>
      </c>
      <c r="I169" s="1857"/>
      <c r="J169" s="1858"/>
      <c r="K169" s="1861" t="n">
        <f aca="false">H169-F169</f>
        <v>3</v>
      </c>
      <c r="L169" s="1403"/>
    </row>
    <row r="170" ht="10.15" customHeight="1">
      <c r="D170" s="1861"/>
      <c r="E170" s="1403"/>
      <c r="F170" s="1854"/>
      <c r="G170" s="1855"/>
      <c r="H170" s="1856"/>
      <c r="I170" s="1857"/>
      <c r="J170" s="1858"/>
      <c r="K170" s="1861"/>
      <c r="L170" s="1403"/>
    </row>
    <row r="171" ht="10.15" customHeight="1">
      <c r="D171" s="1861"/>
      <c r="E171" s="1403"/>
      <c r="F171" s="1854"/>
      <c r="G171" s="1855"/>
      <c r="H171" s="1861"/>
      <c r="I171" s="1861"/>
      <c r="J171" s="1403"/>
      <c r="K171" s="1861"/>
      <c r="L171" s="1403"/>
    </row>
    <row r="172" ht="10.15" customHeight="1">
      <c r="D172" s="1861"/>
      <c r="E172" s="1403"/>
      <c r="F172" s="1854"/>
      <c r="G172" s="1855"/>
      <c r="H172" s="1856"/>
      <c r="I172" s="1857"/>
      <c r="J172" s="1403"/>
      <c r="K172" s="1861"/>
      <c r="L172" s="1403"/>
    </row>
    <row r="173" ht="10.15" customHeight="1">
      <c r="D173" s="1861" t="str">
        <f aca="false">D32</f>
        <v>Production alimentaire de l'exploitation</v>
      </c>
      <c r="E173" s="1403"/>
      <c r="F173" s="1861" t="n">
        <f aca="false">F32</f>
        <v>6</v>
      </c>
      <c r="G173" s="1864" t="s">
        <v>3303</v>
      </c>
      <c r="H173" s="1861" t="n">
        <f aca="false">H32</f>
        <v>6</v>
      </c>
      <c r="I173" s="1857"/>
      <c r="J173" s="1403"/>
      <c r="K173" s="1861" t="n">
        <f aca="false">H173-F173</f>
        <v>0</v>
      </c>
      <c r="L173" s="1403"/>
    </row>
    <row r="174" ht="10.15" customHeight="1">
      <c r="D174" s="1861" t="str">
        <f aca="false">D33</f>
        <v>Contribution à l’équilibre alimentaire mondial</v>
      </c>
      <c r="E174" s="1403"/>
      <c r="F174" s="1861" t="n">
        <f aca="false">F33</f>
        <v>6</v>
      </c>
      <c r="G174" s="1864" t="s">
        <v>3303</v>
      </c>
      <c r="H174" s="1861" t="n">
        <f aca="false">H33</f>
        <v>6</v>
      </c>
      <c r="I174" s="1857"/>
      <c r="J174" s="1403"/>
      <c r="K174" s="1861" t="n">
        <f aca="false">H174-F174</f>
        <v>0</v>
      </c>
      <c r="L174" s="1403"/>
    </row>
    <row r="175" ht="10.15" customHeight="1">
      <c r="D175" s="1861" t="str">
        <f aca="false">D34</f>
        <v>Qualités de la production</v>
      </c>
      <c r="E175" s="1403"/>
      <c r="F175" s="1861" t="n">
        <f aca="false">F34</f>
        <v>0</v>
      </c>
      <c r="G175" s="1864" t="s">
        <v>3303</v>
      </c>
      <c r="H175" s="1861" t="n">
        <f aca="false">H34</f>
        <v>6</v>
      </c>
      <c r="I175" s="1857"/>
      <c r="J175" s="1403"/>
      <c r="K175" s="1861" t="n">
        <f aca="false">H175-F175</f>
        <v>6</v>
      </c>
      <c r="L175" s="1403"/>
    </row>
    <row r="176" ht="10.15" customHeight="1">
      <c r="D176" s="1861" t="str">
        <f aca="false">D35</f>
        <v>Pertes et gaspillage</v>
      </c>
      <c r="E176" s="1403"/>
      <c r="F176" s="1861" t="n">
        <f aca="false">F35</f>
        <v>2</v>
      </c>
      <c r="G176" s="1864" t="s">
        <v>3303</v>
      </c>
      <c r="H176" s="1861" t="n">
        <f aca="false">H35</f>
        <v>6</v>
      </c>
      <c r="I176" s="1857"/>
      <c r="J176" s="1403"/>
      <c r="K176" s="1861" t="n">
        <f aca="false">H176-F176</f>
        <v>4</v>
      </c>
      <c r="L176" s="1403"/>
    </row>
    <row r="177" ht="10.15" customHeight="1">
      <c r="D177" s="1861" t="str">
        <f aca="false">D36</f>
        <v>Liens sociaux, hédoniques et culturels à l'alimentation</v>
      </c>
      <c r="E177" s="1403"/>
      <c r="F177" s="1861" t="n">
        <f aca="false">F36</f>
        <v>3</v>
      </c>
      <c r="G177" s="1864" t="s">
        <v>3303</v>
      </c>
      <c r="H177" s="1861" t="n">
        <f aca="false">H36</f>
        <v>6</v>
      </c>
      <c r="I177" s="1857"/>
      <c r="J177" s="1403"/>
      <c r="K177" s="1861" t="n">
        <f aca="false">H177-F177</f>
        <v>3</v>
      </c>
      <c r="L177" s="1403"/>
    </row>
    <row r="178" ht="10.15" customHeight="1">
      <c r="D178" s="1861" t="str">
        <f aca="false">D37</f>
        <v>Engagement dans des démarches 
environnementales contractualisées et territoriales</v>
      </c>
      <c r="E178" s="1403"/>
      <c r="F178" s="1861" t="n">
        <f aca="false">F37</f>
        <v>0</v>
      </c>
      <c r="G178" s="1864" t="s">
        <v>3303</v>
      </c>
      <c r="H178" s="1861" t="n">
        <f aca="false">H37</f>
        <v>5</v>
      </c>
      <c r="I178" s="1857"/>
      <c r="J178" s="1403"/>
      <c r="K178" s="1861" t="n">
        <f aca="false">H178-F178</f>
        <v>5</v>
      </c>
      <c r="L178" s="1403"/>
    </row>
    <row r="179" ht="10.15" customHeight="1">
      <c r="D179" s="1861" t="str">
        <f aca="false">D38</f>
        <v>Services marchands au territoire</v>
      </c>
      <c r="E179" s="1403"/>
      <c r="F179" s="1861" t="n">
        <f aca="false">F38</f>
        <v>0</v>
      </c>
      <c r="G179" s="1864" t="s">
        <v>3303</v>
      </c>
      <c r="H179" s="1861" t="n">
        <f aca="false">H38</f>
        <v>3</v>
      </c>
      <c r="I179" s="1857"/>
      <c r="J179" s="1403"/>
      <c r="K179" s="1861" t="n">
        <f aca="false">H179-F179</f>
        <v>3</v>
      </c>
      <c r="L179" s="1403"/>
    </row>
    <row r="180" ht="10.15" customHeight="1">
      <c r="D180" s="1861" t="str">
        <f aca="false">D39</f>
        <v>Valorisation par filières courtes ou de proximité</v>
      </c>
      <c r="E180" s="1403"/>
      <c r="F180" s="1861" t="n">
        <f aca="false">F39</f>
        <v>0</v>
      </c>
      <c r="G180" s="1864" t="s">
        <v>3303</v>
      </c>
      <c r="H180" s="1861" t="n">
        <f aca="false">H39</f>
        <v>5</v>
      </c>
      <c r="I180" s="1857"/>
      <c r="J180" s="1403"/>
      <c r="K180" s="1861" t="n">
        <f aca="false">H180-F180</f>
        <v>5</v>
      </c>
      <c r="L180" s="1403"/>
    </row>
    <row r="181" ht="10.15" customHeight="1">
      <c r="D181" s="1861" t="str">
        <f aca="false">D40</f>
        <v>Valorisation des ressources locales</v>
      </c>
      <c r="E181" s="1403"/>
      <c r="F181" s="1861" t="n">
        <f aca="false">F40</f>
        <v>5</v>
      </c>
      <c r="G181" s="1864" t="s">
        <v>3303</v>
      </c>
      <c r="H181" s="1861" t="n">
        <f aca="false">H40</f>
        <v>5</v>
      </c>
      <c r="I181" s="1857"/>
      <c r="J181" s="1403"/>
      <c r="K181" s="1861" t="n">
        <f aca="false">H181-F181</f>
        <v>0</v>
      </c>
      <c r="L181" s="1403"/>
    </row>
    <row r="182" ht="10.15" customHeight="1">
      <c r="D182" s="1861" t="str">
        <f aca="false">D41</f>
        <v>Valorisation et qualité du patrimoine 
(bâti, paysage et savoir-faire) et ressources naturelles</v>
      </c>
      <c r="E182" s="1403"/>
      <c r="F182" s="1861" t="n">
        <f aca="false">F41</f>
        <v>3</v>
      </c>
      <c r="G182" s="1864" t="s">
        <v>3303</v>
      </c>
      <c r="H182" s="1861" t="n">
        <f aca="false">H41</f>
        <v>3</v>
      </c>
      <c r="I182" s="1857"/>
      <c r="J182" s="1403"/>
      <c r="K182" s="1861" t="n">
        <f aca="false">H182-F182</f>
        <v>0</v>
      </c>
      <c r="L182" s="1403"/>
    </row>
    <row r="183" ht="10.15" customHeight="1">
      <c r="D183" s="1861" t="str">
        <f aca="false">D42</f>
        <v>Accessibilité de l’espace</v>
      </c>
      <c r="E183" s="1403"/>
      <c r="F183" s="1861" t="n">
        <f aca="false">F42</f>
        <v>3</v>
      </c>
      <c r="G183" s="1864" t="s">
        <v>3303</v>
      </c>
      <c r="H183" s="1861" t="n">
        <f aca="false">H42</f>
        <v>3</v>
      </c>
      <c r="I183" s="1857"/>
      <c r="J183" s="1403"/>
      <c r="K183" s="1861" t="n">
        <f aca="false">H183-F183</f>
        <v>0</v>
      </c>
      <c r="L183" s="1403"/>
    </row>
    <row r="184" ht="10.15" customHeight="1">
      <c r="D184" s="1861" t="str">
        <f aca="false">D43</f>
        <v>Gestion des déchets non organiques</v>
      </c>
      <c r="E184" s="1403"/>
      <c r="F184" s="1861" t="n">
        <f aca="false">F43</f>
        <v>2</v>
      </c>
      <c r="G184" s="1864" t="s">
        <v>3303</v>
      </c>
      <c r="H184" s="1861" t="n">
        <f aca="false">H43</f>
        <v>3</v>
      </c>
      <c r="I184" s="1857"/>
      <c r="J184" s="1403"/>
      <c r="K184" s="1861" t="n">
        <f aca="false">H184-F184</f>
        <v>1</v>
      </c>
      <c r="L184" s="1403"/>
    </row>
    <row r="185" ht="10.15" customHeight="1">
      <c r="D185" s="1861" t="str">
        <f aca="false">D44</f>
        <v>Réseaux d'innovation et mutualisation du matériel</v>
      </c>
      <c r="E185" s="1403"/>
      <c r="F185" s="1861" t="n">
        <f aca="false">F44</f>
        <v>3</v>
      </c>
      <c r="G185" s="1864" t="s">
        <v>3303</v>
      </c>
      <c r="H185" s="1861" t="n">
        <f aca="false">H44</f>
        <v>3</v>
      </c>
      <c r="I185" s="1857"/>
      <c r="J185" s="1403"/>
      <c r="K185" s="1861" t="n">
        <f aca="false">H185-F185</f>
        <v>0</v>
      </c>
      <c r="L185" s="1403"/>
    </row>
    <row r="186" ht="10.15" customHeight="1">
      <c r="D186" s="1861" t="str">
        <f aca="false">D45</f>
        <v>Contribution à l'emploi et gestion du salariat</v>
      </c>
      <c r="E186" s="1403"/>
      <c r="F186" s="1861" t="n">
        <f aca="false">F45</f>
        <v>6</v>
      </c>
      <c r="G186" s="1864" t="s">
        <v>3303</v>
      </c>
      <c r="H186" s="1861" t="n">
        <f aca="false">H45</f>
        <v>6</v>
      </c>
      <c r="I186" s="1857"/>
      <c r="J186" s="1403"/>
      <c r="K186" s="1861" t="n">
        <f aca="false">H186-F186</f>
        <v>0</v>
      </c>
      <c r="L186" s="1403"/>
    </row>
    <row r="187" ht="10.15" customHeight="1">
      <c r="D187" s="1861" t="str">
        <f aca="false">D46</f>
        <v>Mutualisation du travail</v>
      </c>
      <c r="E187" s="1403"/>
      <c r="F187" s="1861" t="n">
        <f aca="false">F46</f>
        <v>2</v>
      </c>
      <c r="G187" s="1864" t="s">
        <v>3303</v>
      </c>
      <c r="H187" s="1861" t="n">
        <f aca="false">H46</f>
        <v>6</v>
      </c>
      <c r="I187" s="1857"/>
      <c r="J187" s="1403"/>
      <c r="K187" s="1861" t="n">
        <f aca="false">H187-F187</f>
        <v>4</v>
      </c>
      <c r="L187" s="1403"/>
    </row>
    <row r="188" ht="10.15" customHeight="1">
      <c r="D188" s="1861" t="str">
        <f aca="false">D47</f>
        <v>Intensité et qualité au travail</v>
      </c>
      <c r="E188" s="1403"/>
      <c r="F188" s="1861" t="n">
        <f aca="false">F47</f>
        <v>5</v>
      </c>
      <c r="G188" s="1864" t="s">
        <v>3303</v>
      </c>
      <c r="H188" s="1861" t="n">
        <f aca="false">H47</f>
        <v>6</v>
      </c>
      <c r="I188" s="1857"/>
      <c r="J188" s="1403"/>
      <c r="K188" s="1861" t="n">
        <f aca="false">H188-F188</f>
        <v>1</v>
      </c>
      <c r="L188" s="1403"/>
    </row>
    <row r="189" ht="10.15" customHeight="1">
      <c r="D189" s="1861" t="str">
        <f aca="false">D48</f>
        <v>Accueil, hygiène et sécurité</v>
      </c>
      <c r="E189" s="1403"/>
      <c r="F189" s="1861" t="n">
        <f aca="false">F48</f>
        <v>5</v>
      </c>
      <c r="G189" s="1864" t="s">
        <v>3303</v>
      </c>
      <c r="H189" s="1861" t="n">
        <f aca="false">H48</f>
        <v>5</v>
      </c>
      <c r="I189" s="1857"/>
      <c r="J189" s="1403"/>
      <c r="K189" s="1861" t="n">
        <f aca="false">H189-F189</f>
        <v>0</v>
      </c>
      <c r="L189" s="1403"/>
    </row>
    <row r="190" ht="10.15" customHeight="1">
      <c r="D190" s="1861" t="str">
        <f aca="false">D49</f>
        <v>Formation</v>
      </c>
      <c r="E190" s="1403"/>
      <c r="F190" s="1861" t="n">
        <f aca="false">F49</f>
        <v>2</v>
      </c>
      <c r="G190" s="1864" t="s">
        <v>3303</v>
      </c>
      <c r="H190" s="1861" t="n">
        <f aca="false">H49</f>
        <v>5</v>
      </c>
      <c r="I190" s="1857"/>
      <c r="J190" s="1403"/>
      <c r="K190" s="1861" t="n">
        <f aca="false">H190-F190</f>
        <v>3</v>
      </c>
      <c r="L190" s="1403"/>
    </row>
    <row r="191" ht="10.15" customHeight="1">
      <c r="D191" s="1861" t="str">
        <f aca="false">D50</f>
        <v>Implication sociale territoriale et solidarités</v>
      </c>
      <c r="E191" s="1403"/>
      <c r="F191" s="1861" t="n">
        <f aca="false">F50</f>
        <v>4</v>
      </c>
      <c r="G191" s="1864" t="s">
        <v>3303</v>
      </c>
      <c r="H191" s="1861" t="n">
        <f aca="false">H50</f>
        <v>6</v>
      </c>
      <c r="I191" s="1857"/>
      <c r="J191" s="1403"/>
      <c r="K191" s="1861" t="n">
        <f aca="false">H191-F191</f>
        <v>2</v>
      </c>
      <c r="L191" s="1403"/>
    </row>
    <row r="192" ht="10.15" customHeight="1">
      <c r="D192" s="1861" t="str">
        <f aca="false">D51</f>
        <v>Démarche de transparence</v>
      </c>
      <c r="E192" s="1403"/>
      <c r="F192" s="1861" t="n">
        <f aca="false">F51</f>
        <v>2</v>
      </c>
      <c r="G192" s="1864" t="s">
        <v>3303</v>
      </c>
      <c r="H192" s="1861" t="n">
        <f aca="false">H51</f>
        <v>6</v>
      </c>
      <c r="I192" s="1857"/>
      <c r="J192" s="1403"/>
      <c r="K192" s="1861" t="n">
        <f aca="false">H192-F192</f>
        <v>4</v>
      </c>
      <c r="L192" s="1403"/>
    </row>
    <row r="193" ht="10.15" customHeight="1">
      <c r="D193" s="1861" t="str">
        <f aca="false">D52</f>
        <v>Qualité de la vie</v>
      </c>
      <c r="E193" s="1403"/>
      <c r="F193" s="1861" t="n">
        <f aca="false">F52</f>
        <v>5</v>
      </c>
      <c r="G193" s="1864" t="s">
        <v>3303</v>
      </c>
      <c r="H193" s="1861" t="n">
        <f aca="false">H52</f>
        <v>6</v>
      </c>
      <c r="I193" s="1857"/>
      <c r="J193" s="1403"/>
      <c r="K193" s="1861" t="n">
        <f aca="false">H193-F193</f>
        <v>1</v>
      </c>
      <c r="L193" s="1403"/>
    </row>
    <row r="194" ht="10.15" customHeight="1">
      <c r="D194" s="1861" t="str">
        <f aca="false">D53</f>
        <v>Isolement</v>
      </c>
      <c r="E194" s="1403"/>
      <c r="F194" s="1861" t="n">
        <f aca="false">F53</f>
        <v>3</v>
      </c>
      <c r="G194" s="1864" t="s">
        <v>3303</v>
      </c>
      <c r="H194" s="1861" t="n">
        <f aca="false">H53</f>
        <v>6</v>
      </c>
      <c r="I194" s="1857"/>
      <c r="J194" s="1403"/>
      <c r="K194" s="1861" t="n">
        <f aca="false">H194-F194</f>
        <v>3</v>
      </c>
      <c r="L194" s="1403"/>
    </row>
    <row r="195" ht="10.15" customHeight="1">
      <c r="D195" s="1861" t="str">
        <f aca="false">D54</f>
        <v>Bien-être animal</v>
      </c>
      <c r="E195" s="1403"/>
      <c r="F195" s="1861" t="n">
        <f aca="false">F54</f>
        <v>5</v>
      </c>
      <c r="G195" s="1864" t="s">
        <v>3303</v>
      </c>
      <c r="H195" s="1861" t="n">
        <f aca="false">H54</f>
        <v>6</v>
      </c>
      <c r="I195" s="1857"/>
      <c r="J195" s="1403"/>
      <c r="K195" s="1861" t="n">
        <f aca="false">H195-F195</f>
        <v>1</v>
      </c>
      <c r="L195" s="1403"/>
    </row>
    <row r="196" ht="10.15" customHeight="1">
      <c r="D196" s="1861"/>
      <c r="E196" s="1403"/>
      <c r="F196" s="1854"/>
      <c r="G196" s="1855"/>
      <c r="H196" s="1856"/>
      <c r="I196" s="1857"/>
      <c r="J196" s="1858"/>
      <c r="K196" s="1861"/>
      <c r="L196" s="1403"/>
    </row>
    <row r="197" ht="10.15" customHeight="1">
      <c r="D197" s="1861"/>
      <c r="E197" s="1403"/>
      <c r="F197" s="1854"/>
      <c r="G197" s="1855"/>
      <c r="H197" s="1856"/>
      <c r="I197" s="1857"/>
      <c r="J197" s="1858"/>
      <c r="K197" s="1861"/>
      <c r="L197" s="1403"/>
    </row>
    <row r="198" ht="10.15" customHeight="1">
      <c r="D198" s="1861"/>
      <c r="E198" s="1403"/>
      <c r="F198" s="1854"/>
      <c r="G198" s="1855"/>
      <c r="H198" s="1856"/>
      <c r="I198" s="1857"/>
      <c r="J198" s="1858"/>
      <c r="K198" s="1861"/>
      <c r="L198" s="1403"/>
    </row>
    <row r="199" ht="10.15" customHeight="1">
      <c r="D199" s="1861" t="str">
        <f aca="false">D58</f>
        <v>Capacité économique</v>
      </c>
      <c r="E199" s="1403"/>
      <c r="F199" s="1861" t="n">
        <f aca="false">F58</f>
        <v>16</v>
      </c>
      <c r="G199" s="1864" t="s">
        <v>3303</v>
      </c>
      <c r="H199" s="1861" t="n">
        <f aca="false">H58</f>
        <v>20</v>
      </c>
      <c r="I199" s="1857"/>
      <c r="J199" s="1858"/>
      <c r="K199" s="1861" t="n">
        <f aca="false">H199-F199</f>
        <v>4</v>
      </c>
      <c r="L199" s="1403"/>
    </row>
    <row r="200" ht="10.15" customHeight="1">
      <c r="D200" s="1861" t="str">
        <f aca="false">D59</f>
        <v>Poids de la dette</v>
      </c>
      <c r="E200" s="1403"/>
      <c r="F200" s="1861" t="n">
        <f aca="false">F59</f>
        <v>0</v>
      </c>
      <c r="G200" s="1864" t="s">
        <v>3303</v>
      </c>
      <c r="H200" s="1861" t="n">
        <f aca="false">H59</f>
        <v>12</v>
      </c>
      <c r="I200" s="1857"/>
      <c r="J200" s="1858"/>
      <c r="K200" s="1861" t="n">
        <f aca="false">H200-F200</f>
        <v>12</v>
      </c>
      <c r="L200" s="1403"/>
    </row>
    <row r="201" ht="10.15" customHeight="1">
      <c r="D201" s="1861" t="str">
        <f aca="false">D60</f>
        <v>Taux d'endettement structurel</v>
      </c>
      <c r="E201" s="1403"/>
      <c r="F201" s="1861" t="n">
        <f aca="false">F60</f>
        <v>6</v>
      </c>
      <c r="G201" s="1864" t="s">
        <v>3303</v>
      </c>
      <c r="H201" s="1861" t="n">
        <f aca="false">H60</f>
        <v>6</v>
      </c>
      <c r="I201" s="1857"/>
      <c r="J201" s="1858"/>
      <c r="K201" s="1861" t="n">
        <f aca="false">H201-F201</f>
        <v>0</v>
      </c>
      <c r="L201" s="1403"/>
    </row>
    <row r="202" ht="10.15" customHeight="1">
      <c r="D202" s="1861" t="str">
        <f aca="false">D61</f>
        <v>Diversification productive</v>
      </c>
      <c r="E202" s="1403"/>
      <c r="F202" s="1861" t="n">
        <f aca="false">F61</f>
        <v>6</v>
      </c>
      <c r="G202" s="1864" t="s">
        <v>3303</v>
      </c>
      <c r="H202" s="1861" t="n">
        <f aca="false">H61</f>
        <v>10</v>
      </c>
      <c r="I202" s="1857"/>
      <c r="J202" s="1858"/>
      <c r="K202" s="1861" t="n">
        <f aca="false">H202-F202</f>
        <v>4</v>
      </c>
      <c r="L202" s="1403"/>
    </row>
    <row r="203" ht="10.15" customHeight="1">
      <c r="D203" s="1861" t="str">
        <f aca="false">D62</f>
        <v>Diversification et relations contractuelles</v>
      </c>
      <c r="E203" s="1403"/>
      <c r="F203" s="1861" t="n">
        <f aca="false">F62</f>
        <v>4</v>
      </c>
      <c r="G203" s="1864" t="s">
        <v>3303</v>
      </c>
      <c r="H203" s="1861" t="n">
        <f aca="false">H62</f>
        <v>10</v>
      </c>
      <c r="I203" s="1857"/>
      <c r="J203" s="1858"/>
      <c r="K203" s="1861" t="n">
        <f aca="false">H203-F203</f>
        <v>6</v>
      </c>
      <c r="L203" s="1403"/>
    </row>
    <row r="204" ht="10.15" customHeight="1">
      <c r="D204" s="1861" t="str">
        <f aca="false">D63</f>
        <v>Sensibilité aux aides</v>
      </c>
      <c r="E204" s="1403"/>
      <c r="F204" s="1861" t="n">
        <f aca="false">F63</f>
        <v>6</v>
      </c>
      <c r="G204" s="1864" t="s">
        <v>3303</v>
      </c>
      <c r="H204" s="1861" t="n">
        <f aca="false">H63</f>
        <v>6</v>
      </c>
      <c r="I204" s="1857"/>
      <c r="J204" s="1858"/>
      <c r="K204" s="1861" t="n">
        <f aca="false">H204-F204</f>
        <v>0</v>
      </c>
      <c r="L204" s="1403"/>
    </row>
    <row r="205" ht="10.15" customHeight="1">
      <c r="D205" s="1861" t="str">
        <f aca="false">D64</f>
        <v>Contribution de revenus extérieurs à l'indépendance</v>
      </c>
      <c r="E205" s="1403"/>
      <c r="F205" s="1861" t="n">
        <f aca="false">F64</f>
        <v>4</v>
      </c>
      <c r="G205" s="1864" t="s">
        <v>3303</v>
      </c>
      <c r="H205" s="1861" t="n">
        <f aca="false">H64</f>
        <v>4</v>
      </c>
      <c r="I205" s="1857"/>
      <c r="J205" s="1858"/>
      <c r="K205" s="1861" t="n">
        <f aca="false">H205-F205</f>
        <v>0</v>
      </c>
      <c r="L205" s="1403"/>
    </row>
    <row r="206" ht="10.15" customHeight="1">
      <c r="D206" s="1861" t="str">
        <f aca="false">D65</f>
        <v>Transmissibilité économique</v>
      </c>
      <c r="E206" s="1403"/>
      <c r="F206" s="1861" t="n">
        <f aca="false">F65</f>
        <v>6</v>
      </c>
      <c r="G206" s="1864" t="s">
        <v>3303</v>
      </c>
      <c r="H206" s="1861" t="n">
        <f aca="false">H65</f>
        <v>15</v>
      </c>
      <c r="I206" s="1857"/>
      <c r="J206" s="1858"/>
      <c r="K206" s="1861" t="n">
        <f aca="false">H206-F206</f>
        <v>9</v>
      </c>
      <c r="L206" s="1403"/>
    </row>
    <row r="207" ht="10.15" customHeight="1">
      <c r="D207" s="1861" t="str">
        <f aca="false">D66</f>
        <v>Pérennité probable</v>
      </c>
      <c r="E207" s="1403"/>
      <c r="F207" s="1861" t="n">
        <f aca="false">F66</f>
        <v>8</v>
      </c>
      <c r="G207" s="1864" t="s">
        <v>3303</v>
      </c>
      <c r="H207" s="1861" t="n">
        <f aca="false">H66</f>
        <v>8</v>
      </c>
      <c r="I207" s="1857"/>
      <c r="J207" s="1858"/>
      <c r="K207" s="1861" t="n">
        <f aca="false">H207-F207</f>
        <v>0</v>
      </c>
      <c r="L207" s="1403"/>
    </row>
    <row r="208" ht="10.15" customHeight="1">
      <c r="D208" s="1861" t="str">
        <f aca="false">D67</f>
        <v>Efficience brute du processus productif</v>
      </c>
      <c r="E208" s="1403"/>
      <c r="F208" s="1861" t="n">
        <f aca="false">F67</f>
        <v>12</v>
      </c>
      <c r="G208" s="1864" t="s">
        <v>3303</v>
      </c>
      <c r="H208" s="1861" t="n">
        <f aca="false">H67</f>
        <v>12</v>
      </c>
      <c r="I208" s="1857"/>
      <c r="J208" s="1858"/>
      <c r="K208" s="1861" t="n">
        <f aca="false">H208-F208</f>
        <v>0</v>
      </c>
      <c r="L208" s="1403"/>
    </row>
    <row r="209" ht="10.15" customHeight="1">
      <c r="D209" s="1861" t="str">
        <f aca="false">D68</f>
        <v>Sobriété en intrants dans le processus productif</v>
      </c>
      <c r="E209" s="1403"/>
      <c r="F209" s="1861" t="n">
        <f aca="false">F68</f>
        <v>0</v>
      </c>
      <c r="G209" s="1864" t="s">
        <v>3303</v>
      </c>
      <c r="H209" s="1861" t="n">
        <f aca="false">H68</f>
        <v>8</v>
      </c>
      <c r="I209" s="1857"/>
      <c r="J209" s="1858"/>
      <c r="K209" s="1861" t="n">
        <f aca="false">H209-F209</f>
        <v>8</v>
      </c>
      <c r="L209" s="1403"/>
    </row>
    <row r="210" ht="10.15" customHeight="1">
      <c r="D210" s="1861"/>
      <c r="E210" s="1403"/>
      <c r="F210" s="1854"/>
      <c r="G210" s="1855"/>
      <c r="H210" s="1856"/>
      <c r="I210" s="1857"/>
      <c r="J210" s="1858"/>
      <c r="K210" s="1859"/>
      <c r="L210" s="1403"/>
    </row>
    <row r="211" ht="10.15" customHeight="1">
      <c r="D211" s="1861"/>
      <c r="E211" s="1403"/>
      <c r="F211" s="1854"/>
      <c r="G211" s="1855"/>
      <c r="H211" s="1856"/>
      <c r="I211" s="1857"/>
      <c r="J211" s="1858"/>
      <c r="K211" s="1859"/>
      <c r="L211" s="1403"/>
    </row>
  </sheetData>
  <mergeCells count="73">
    <mergeCell ref="A1:K1"/>
    <mergeCell ref="A4:K4"/>
    <mergeCell ref="B7:C7"/>
    <mergeCell ref="D7:H7"/>
    <mergeCell ref="I7:K7"/>
    <mergeCell ref="B8:C8"/>
    <mergeCell ref="F8:H8"/>
    <mergeCell ref="I8:K8"/>
    <mergeCell ref="A10:A28"/>
    <mergeCell ref="B10:C14"/>
    <mergeCell ref="I10:I14"/>
    <mergeCell ref="J10:J14"/>
    <mergeCell ref="K10:K14"/>
    <mergeCell ref="B15:C17"/>
    <mergeCell ref="I15:I17"/>
    <mergeCell ref="J15:J17"/>
    <mergeCell ref="K15:K17"/>
    <mergeCell ref="B18:C20"/>
    <mergeCell ref="I18:I20"/>
    <mergeCell ref="J18:J20"/>
    <mergeCell ref="K18:K20"/>
    <mergeCell ref="B21:C24"/>
    <mergeCell ref="I21:I24"/>
    <mergeCell ref="J21:J24"/>
    <mergeCell ref="K21:K24"/>
    <mergeCell ref="B25:C28"/>
    <mergeCell ref="I25:I28"/>
    <mergeCell ref="J25:J28"/>
    <mergeCell ref="K25:K28"/>
    <mergeCell ref="F29:H29"/>
    <mergeCell ref="A32:A54"/>
    <mergeCell ref="B32:C36"/>
    <mergeCell ref="I32:I36"/>
    <mergeCell ref="J32:J36"/>
    <mergeCell ref="K32:K36"/>
    <mergeCell ref="B37:C44"/>
    <mergeCell ref="I37:I44"/>
    <mergeCell ref="J37:J44"/>
    <mergeCell ref="K37:K44"/>
    <mergeCell ref="B45:C49"/>
    <mergeCell ref="I45:I49"/>
    <mergeCell ref="J45:J49"/>
    <mergeCell ref="K45:K49"/>
    <mergeCell ref="B50:C54"/>
    <mergeCell ref="I50:I54"/>
    <mergeCell ref="J50:J54"/>
    <mergeCell ref="K50:K54"/>
    <mergeCell ref="F55:H55"/>
    <mergeCell ref="A58:A68"/>
    <mergeCell ref="B58:C60"/>
    <mergeCell ref="I58:I60"/>
    <mergeCell ref="J58:J60"/>
    <mergeCell ref="K58:K60"/>
    <mergeCell ref="B61:C64"/>
    <mergeCell ref="I61:I64"/>
    <mergeCell ref="J61:J64"/>
    <mergeCell ref="K61:K64"/>
    <mergeCell ref="B65:C66"/>
    <mergeCell ref="I65:I66"/>
    <mergeCell ref="J65:J66"/>
    <mergeCell ref="K65:K66"/>
    <mergeCell ref="B67:C68"/>
    <mergeCell ref="I67:I68"/>
    <mergeCell ref="J67:J68"/>
    <mergeCell ref="K67:K68"/>
    <mergeCell ref="F69:H69"/>
    <mergeCell ref="E72:H72"/>
    <mergeCell ref="A75:K75"/>
    <mergeCell ref="A105:AD105"/>
    <mergeCell ref="M114:O114"/>
    <mergeCell ref="A145:AD145"/>
    <mergeCell ref="E150:H150"/>
    <mergeCell ref="I150:K150"/>
  </mergeCells>
  <pageMargins left="0.7" right="0.7" top="0.75" bottom="0.75"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OddEven="0" differentFirst="0" scaleWithDoc="0" alignWithMargins="0">
    <oddHeader/>
    <oddFooter/>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0" showOutlineSymbols="true" defaultGridColor="true" view="normal" topLeftCell="A1" colorId="64" zoomScale="100" zoomScaleNormal="100" zoomScalePageLayoutView="100" workbookViewId="0">
      <selection pane="topLeft" activeCell="D14" activeCellId="0" sqref="D14"/>
    </sheetView>
  </sheetViews>
  <sheetFormatPr defaultRowHeight="15.0" baseColWidth="10" outlineLevelCol="1"/>
  <cols>
    <col min="1" max="1" width="11.04" hidden="false" outlineLevel="1" customWidth="1"/>
    <col min="2" max="2" width="31.96" hidden="false" outlineLevel="1" customWidth="1"/>
    <col min="3" max="3" width="30.54" hidden="false" outlineLevel="1" customWidth="1"/>
    <col min="4" max="4" width="43.51" hidden="false" outlineLevel="1" customWidth="1"/>
    <col min="5" max="5" width="48.23" hidden="false" outlineLevel="1" customWidth="1"/>
    <col min="6" max="6" width="9.13" hidden="false" outlineLevel="1" customWidth="1"/>
    <col min="7" max="7" width="33.38" hidden="false" outlineLevel="1" customWidth="1"/>
    <col min="8" max="8" width="11.04" hidden="false" outlineLevel="1" customWidth="1"/>
    <col min="9" max="9" width="13.97" hidden="false" outlineLevel="1" customWidth="1"/>
    <col min="10" max="10" width="23.39" hidden="false" outlineLevel="1" customWidth="1"/>
    <col min="11" max="11" width="20.54" hidden="false" outlineLevel="1" customWidth="1"/>
    <col min="12" max="12" width="11.04" hidden="false" outlineLevel="1" customWidth="1"/>
    <col min="13" max="13" width="11.04" hidden="false" outlineLevel="1" customWidth="1"/>
    <col min="14" max="14" width="11.04" hidden="false" outlineLevel="1" customWidth="1"/>
    <col min="15" max="15" width="11.04" hidden="false" outlineLevel="1" customWidth="1"/>
    <col min="16" max="16" width="11.04" hidden="false" outlineLevel="1" customWidth="1"/>
    <col min="17" max="17" width="11.04" hidden="false" outlineLevel="1" customWidth="1"/>
    <col min="18" max="18" width="11.04" hidden="false" outlineLevel="1" customWidth="1"/>
    <col min="19" max="19" width="11.04" hidden="false" outlineLevel="1" customWidth="1"/>
    <col min="20" max="20" width="11.04" hidden="false" outlineLevel="1" customWidth="1"/>
    <col min="21" max="21" width="11.04" hidden="false" outlineLevel="1" customWidth="1"/>
    <col min="22" max="22" width="11.04" hidden="false" outlineLevel="1" customWidth="1"/>
    <col min="23" max="23" width="11.04" hidden="false" outlineLevel="1" customWidth="1"/>
    <col min="24" max="24" width="11.04" hidden="false" outlineLevel="1" customWidth="1"/>
    <col min="25" max="25" width="11.04" hidden="false" outlineLevel="1" customWidth="1"/>
    <col min="26" max="26" width="11.04" hidden="false" outlineLevel="1" customWidth="1"/>
    <col min="27" max="27" width="11.04" hidden="false" outlineLevel="1" customWidth="1"/>
    <col min="28" max="28" width="11.04" hidden="false" outlineLevel="1" customWidth="1"/>
    <col min="29" max="29" width="11.04" hidden="false" outlineLevel="1" customWidth="1"/>
    <col min="30" max="30" width="11.04" hidden="false" outlineLevel="1" customWidth="1"/>
    <col min="31" max="31" width="11.04" hidden="false" outlineLevel="1" customWidth="1"/>
    <col min="32" max="32" width="11.04" hidden="false" outlineLevel="1" customWidth="1"/>
    <col min="33" max="33" width="11.04" hidden="false" outlineLevel="1" customWidth="1"/>
    <col min="34" max="34" width="11.04" hidden="false" outlineLevel="1" customWidth="1"/>
    <col min="35" max="35" width="11.04" hidden="false" outlineLevel="1" customWidth="1"/>
    <col min="36" max="36" width="11.04" hidden="false" outlineLevel="1" customWidth="1"/>
    <col min="37" max="37" width="11.04" hidden="false" outlineLevel="1" customWidth="1"/>
    <col min="38" max="38" width="11.04" hidden="false" outlineLevel="1" customWidth="1"/>
    <col min="39" max="39" width="11.04" hidden="false" outlineLevel="1" customWidth="1"/>
    <col min="40" max="40" width="11.04" hidden="false" outlineLevel="1" customWidth="1"/>
    <col min="41" max="41" width="11.04" hidden="false" outlineLevel="1" customWidth="1"/>
    <col min="42" max="42" width="11.04" hidden="false" outlineLevel="1" customWidth="1"/>
    <col min="43" max="43" width="11.04" hidden="false" outlineLevel="1" customWidth="1"/>
    <col min="44" max="44" width="11.04" hidden="false" outlineLevel="1" customWidth="1"/>
    <col min="45" max="45" width="11.04" hidden="false" outlineLevel="1" customWidth="1"/>
    <col min="46" max="46" width="11.04" hidden="false" outlineLevel="1" customWidth="1"/>
    <col min="47" max="47" width="11.04" hidden="false" outlineLevel="1" customWidth="1"/>
    <col min="48" max="48" width="11.04" hidden="false" outlineLevel="1" customWidth="1"/>
    <col min="49" max="49" width="11.04" hidden="false" outlineLevel="1" customWidth="1"/>
    <col min="50" max="50" width="11.04" hidden="false" outlineLevel="1" customWidth="1"/>
    <col min="51" max="51" width="11.04" hidden="false" outlineLevel="1" customWidth="1"/>
    <col min="52" max="52" width="11.04" hidden="false" outlineLevel="1" customWidth="1"/>
    <col min="53" max="53" width="11.04" hidden="false" outlineLevel="1" customWidth="1"/>
    <col min="54" max="54" width="11.04" hidden="false" outlineLevel="1" customWidth="1"/>
    <col min="55" max="55" width="11.04" hidden="false" outlineLevel="1" customWidth="1"/>
    <col min="56" max="56" width="11.04" hidden="false" outlineLevel="1" customWidth="1"/>
    <col min="57" max="57" width="11.04" hidden="false" outlineLevel="1" customWidth="1"/>
    <col min="58" max="58" width="11.04" hidden="false" outlineLevel="1" customWidth="1"/>
    <col min="59" max="59" width="11.04" hidden="false" outlineLevel="1" customWidth="1"/>
    <col min="60" max="60" width="11.04" hidden="false" outlineLevel="1" customWidth="1"/>
    <col min="61" max="61" width="11.04" hidden="false" outlineLevel="1" customWidth="1"/>
    <col min="62" max="62" width="11.04" hidden="false" outlineLevel="1" customWidth="1"/>
    <col min="63" max="63" width="11.04" hidden="false" outlineLevel="1" customWidth="1"/>
    <col min="64" max="64" width="11.04" hidden="false" outlineLevel="1" customWidth="1"/>
    <col min="65" max="65" width="11.04" hidden="false" outlineLevel="1" customWidth="1"/>
    <col min="66" max="66" width="11.04" hidden="false" outlineLevel="1" customWidth="1"/>
    <col min="67" max="67" width="11.04" hidden="false" outlineLevel="1" customWidth="1"/>
    <col min="68" max="68" width="11.04" hidden="false" outlineLevel="1" customWidth="1"/>
    <col min="69" max="69" width="11.04" hidden="false" outlineLevel="1" customWidth="1"/>
    <col min="70" max="70" width="11.04" hidden="false" outlineLevel="1" customWidth="1"/>
    <col min="71" max="71" width="11.04" hidden="false" outlineLevel="1" customWidth="1"/>
    <col min="72" max="72" width="11.04" hidden="false" outlineLevel="1" customWidth="1"/>
    <col min="73" max="73" width="11.04" hidden="false" outlineLevel="1" customWidth="1"/>
    <col min="74" max="74" width="11.04" hidden="false" outlineLevel="1" customWidth="1"/>
    <col min="75" max="75" width="11.04" hidden="false" outlineLevel="1" customWidth="1"/>
    <col min="76" max="76" width="11.04" hidden="false" outlineLevel="1" customWidth="1"/>
    <col min="77" max="77" width="11.04" hidden="false" outlineLevel="1" customWidth="1"/>
    <col min="78" max="78" width="11.04" hidden="false" outlineLevel="1" customWidth="1"/>
    <col min="79" max="79" width="11.04" hidden="false" outlineLevel="1" customWidth="1"/>
    <col min="80" max="80" width="11.04" hidden="false" outlineLevel="1" customWidth="1"/>
    <col min="81" max="81" width="11.04" hidden="false" outlineLevel="1" customWidth="1"/>
    <col min="82" max="82" width="11.04" hidden="false" outlineLevel="1" customWidth="1"/>
    <col min="83" max="83" width="11.04" hidden="false" outlineLevel="1" customWidth="1"/>
    <col min="84" max="84" width="11.04" hidden="false" outlineLevel="1" customWidth="1"/>
    <col min="85" max="85" width="11.04" hidden="false" outlineLevel="1" customWidth="1"/>
    <col min="86" max="86" width="11.04" hidden="false" outlineLevel="1" customWidth="1"/>
    <col min="87" max="87" width="11.04" hidden="false" outlineLevel="1" customWidth="1"/>
    <col min="88" max="88" width="11.04" hidden="false" outlineLevel="1" customWidth="1"/>
    <col min="89" max="89" width="11.04" hidden="false" outlineLevel="1" customWidth="1"/>
    <col min="90" max="90" width="11.04" hidden="false" outlineLevel="1" customWidth="1"/>
    <col min="91" max="91" width="11.04" hidden="false" outlineLevel="1" customWidth="1"/>
    <col min="92" max="92" width="11.04" hidden="false" outlineLevel="1" customWidth="1"/>
    <col min="93" max="93" width="11.04" hidden="false" outlineLevel="1" customWidth="1"/>
    <col min="94" max="94" width="11.04" hidden="false" outlineLevel="1" customWidth="1"/>
    <col min="95" max="95" width="11.04" hidden="false" outlineLevel="1" customWidth="1"/>
    <col min="96" max="96" width="11.04" hidden="false" outlineLevel="1" customWidth="1"/>
    <col min="97" max="97" width="11.04" hidden="false" outlineLevel="1" customWidth="1"/>
    <col min="98" max="98" width="11.04" hidden="false" outlineLevel="1" customWidth="1"/>
    <col min="99" max="99" width="11.04" hidden="false" outlineLevel="1" customWidth="1"/>
    <col min="100" max="100" width="11.04" hidden="false" outlineLevel="1" customWidth="1"/>
    <col min="101" max="101" width="11.04" hidden="false" outlineLevel="1" customWidth="1"/>
    <col min="102" max="102" width="11.04" hidden="false" outlineLevel="1" customWidth="1"/>
    <col min="103" max="103" width="11.04" hidden="false" outlineLevel="1" customWidth="1"/>
    <col min="104" max="104" width="11.04" hidden="false" outlineLevel="1" customWidth="1"/>
    <col min="105" max="105" width="11.04" hidden="false" outlineLevel="1" customWidth="1"/>
    <col min="106" max="106" width="11.04" hidden="false" outlineLevel="1" customWidth="1"/>
    <col min="107" max="107" width="11.04" hidden="false" outlineLevel="1" customWidth="1"/>
    <col min="108" max="108" width="11.04" hidden="false" outlineLevel="1" customWidth="1"/>
    <col min="109" max="109" width="11.04" hidden="false" outlineLevel="1" customWidth="1"/>
    <col min="110" max="110" width="11.04" hidden="false" outlineLevel="1" customWidth="1"/>
    <col min="111" max="111" width="11.04" hidden="false" outlineLevel="1" customWidth="1"/>
    <col min="112" max="112" width="11.04" hidden="false" outlineLevel="1" customWidth="1"/>
    <col min="113" max="113" width="11.04" hidden="false" outlineLevel="1" customWidth="1"/>
    <col min="114" max="114" width="11.04" hidden="false" outlineLevel="1" customWidth="1"/>
    <col min="115" max="115" width="11.04" hidden="false" outlineLevel="1" customWidth="1"/>
    <col min="116" max="116" width="11.04" hidden="false" outlineLevel="1" customWidth="1"/>
    <col min="117" max="117" width="11.04" hidden="false" outlineLevel="1" customWidth="1"/>
    <col min="118" max="118" width="11.04" hidden="false" outlineLevel="1" customWidth="1"/>
    <col min="119" max="119" width="11.04" hidden="false" outlineLevel="1" customWidth="1"/>
    <col min="120" max="120" width="11.04" hidden="false" outlineLevel="1" customWidth="1"/>
    <col min="121" max="121" width="11.04" hidden="false" outlineLevel="1" customWidth="1"/>
    <col min="122" max="122" width="11.04" hidden="false" outlineLevel="1" customWidth="1"/>
    <col min="123" max="123" width="11.04" hidden="false" outlineLevel="1" customWidth="1"/>
    <col min="124" max="124" width="11.04" hidden="false" outlineLevel="1" customWidth="1"/>
    <col min="125" max="125" width="11.04" hidden="false" outlineLevel="1" customWidth="1"/>
    <col min="126" max="126" width="11.04" hidden="false" outlineLevel="1" customWidth="1"/>
    <col min="127" max="127" width="11.04" hidden="false" outlineLevel="1" customWidth="1"/>
    <col min="128" max="128" width="11.04" hidden="false" outlineLevel="1" customWidth="1"/>
    <col min="129" max="129" width="11.04" hidden="false" outlineLevel="1" customWidth="1"/>
    <col min="130" max="130" width="11.04" hidden="false" outlineLevel="1" customWidth="1"/>
    <col min="131" max="131" width="11.04" hidden="false" outlineLevel="1" customWidth="1"/>
    <col min="132" max="132" width="11.04" hidden="false" outlineLevel="1" customWidth="1"/>
    <col min="133" max="133" width="11.04" hidden="false" outlineLevel="1" customWidth="1"/>
    <col min="134" max="134" width="11.04" hidden="false" outlineLevel="1" customWidth="1"/>
    <col min="135" max="135" width="11.04" hidden="false" outlineLevel="1" customWidth="1"/>
    <col min="136" max="136" width="11.04" hidden="false" outlineLevel="1" customWidth="1"/>
    <col min="137" max="137" width="11.04" hidden="false" outlineLevel="1" customWidth="1"/>
    <col min="138" max="138" width="11.04" hidden="false" outlineLevel="1" customWidth="1"/>
    <col min="139" max="139" width="11.04" hidden="false" outlineLevel="1" customWidth="1"/>
    <col min="140" max="140" width="11.04" hidden="false" outlineLevel="1" customWidth="1"/>
    <col min="141" max="141" width="11.04" hidden="false" outlineLevel="1" customWidth="1"/>
    <col min="142" max="142" width="11.04" hidden="false" outlineLevel="1" customWidth="1"/>
    <col min="143" max="143" width="11.04" hidden="false" outlineLevel="1" customWidth="1"/>
    <col min="144" max="144" width="11.04" hidden="false" outlineLevel="1" customWidth="1"/>
    <col min="145" max="145" width="11.04" hidden="false" outlineLevel="1" customWidth="1"/>
    <col min="146" max="146" width="11.04" hidden="false" outlineLevel="1" customWidth="1"/>
    <col min="147" max="147" width="11.04" hidden="false" outlineLevel="1" customWidth="1"/>
    <col min="148" max="148" width="11.04" hidden="false" outlineLevel="1" customWidth="1"/>
    <col min="149" max="149" width="11.04" hidden="false" outlineLevel="1" customWidth="1"/>
    <col min="150" max="150" width="11.04" hidden="false" outlineLevel="1" customWidth="1"/>
    <col min="151" max="151" width="11.04" hidden="false" outlineLevel="1" customWidth="1"/>
    <col min="152" max="152" width="11.04" hidden="false" outlineLevel="1" customWidth="1"/>
    <col min="153" max="153" width="11.04" hidden="false" outlineLevel="1" customWidth="1"/>
    <col min="154" max="154" width="11.04" hidden="false" outlineLevel="1" customWidth="1"/>
    <col min="155" max="155" width="11.04" hidden="false" outlineLevel="1" customWidth="1"/>
    <col min="156" max="156" width="11.04" hidden="false" outlineLevel="1" customWidth="1"/>
    <col min="157" max="157" width="11.04" hidden="false" outlineLevel="1" customWidth="1"/>
    <col min="158" max="158" width="11.04" hidden="false" outlineLevel="1" customWidth="1"/>
    <col min="159" max="159" width="11.04" hidden="false" outlineLevel="1" customWidth="1"/>
    <col min="160" max="160" width="11.04" hidden="false" outlineLevel="1" customWidth="1"/>
    <col min="161" max="161" width="11.04" hidden="false" outlineLevel="1" customWidth="1"/>
    <col min="162" max="162" width="11.04" hidden="false" outlineLevel="1" customWidth="1"/>
    <col min="163" max="163" width="11.04" hidden="false" outlineLevel="1" customWidth="1"/>
    <col min="164" max="164" width="11.04" hidden="false" outlineLevel="1" customWidth="1"/>
    <col min="165" max="165" width="11.04" hidden="false" outlineLevel="1" customWidth="1"/>
    <col min="166" max="166" width="11.04" hidden="false" outlineLevel="1" customWidth="1"/>
    <col min="167" max="167" width="11.04" hidden="false" outlineLevel="1" customWidth="1"/>
    <col min="168" max="168" width="11.04" hidden="false" outlineLevel="1" customWidth="1"/>
    <col min="169" max="169" width="11.04" hidden="false" outlineLevel="1" customWidth="1"/>
    <col min="170" max="170" width="11.04" hidden="false" outlineLevel="1" customWidth="1"/>
    <col min="171" max="171" width="11.04" hidden="false" outlineLevel="1" customWidth="1"/>
    <col min="172" max="172" width="11.04" hidden="false" outlineLevel="1" customWidth="1"/>
    <col min="173" max="173" width="11.04" hidden="false" outlineLevel="1" customWidth="1"/>
    <col min="174" max="174" width="11.04" hidden="false" outlineLevel="1" customWidth="1"/>
    <col min="175" max="175" width="11.04" hidden="false" outlineLevel="1" customWidth="1"/>
    <col min="176" max="176" width="11.04" hidden="false" outlineLevel="1" customWidth="1"/>
    <col min="177" max="177" width="11.04" hidden="false" outlineLevel="1" customWidth="1"/>
    <col min="178" max="178" width="11.04" hidden="false" outlineLevel="1" customWidth="1"/>
    <col min="179" max="179" width="11.04" hidden="false" outlineLevel="1" customWidth="1"/>
    <col min="180" max="180" width="11.04" hidden="false" outlineLevel="1" customWidth="1"/>
    <col min="181" max="181" width="11.04" hidden="false" outlineLevel="1" customWidth="1"/>
    <col min="182" max="182" width="11.04" hidden="false" outlineLevel="1" customWidth="1"/>
    <col min="183" max="183" width="11.04" hidden="false" outlineLevel="1" customWidth="1"/>
    <col min="184" max="184" width="11.04" hidden="false" outlineLevel="1" customWidth="1"/>
    <col min="185" max="185" width="11.04" hidden="false" outlineLevel="1" customWidth="1"/>
    <col min="186" max="186" width="11.04" hidden="false" outlineLevel="1" customWidth="1"/>
    <col min="187" max="187" width="11.04" hidden="false" outlineLevel="1" customWidth="1"/>
    <col min="188" max="188" width="11.04" hidden="false" outlineLevel="1" customWidth="1"/>
    <col min="189" max="189" width="11.04" hidden="false" outlineLevel="1" customWidth="1"/>
    <col min="190" max="190" width="11.04" hidden="false" outlineLevel="1" customWidth="1"/>
    <col min="191" max="191" width="11.04" hidden="false" outlineLevel="1" customWidth="1"/>
    <col min="192" max="192" width="11.04" hidden="false" outlineLevel="1" customWidth="1"/>
    <col min="193" max="193" width="11.04" hidden="false" outlineLevel="1" customWidth="1"/>
    <col min="194" max="194" width="11.04" hidden="false" outlineLevel="1" customWidth="1"/>
    <col min="195" max="195" width="11.04" hidden="false" outlineLevel="1" customWidth="1"/>
    <col min="196" max="196" width="11.04" hidden="false" outlineLevel="1" customWidth="1"/>
    <col min="197" max="197" width="11.04" hidden="false" outlineLevel="1" customWidth="1"/>
    <col min="198" max="198" width="11.04" hidden="false" outlineLevel="1" customWidth="1"/>
    <col min="199" max="199" width="11.04" hidden="false" outlineLevel="1" customWidth="1"/>
    <col min="200" max="200" width="11.04" hidden="false" outlineLevel="1" customWidth="1"/>
    <col min="201" max="201" width="11.04" hidden="false" outlineLevel="1" customWidth="1"/>
    <col min="202" max="202" width="11.04" hidden="false" outlineLevel="1" customWidth="1"/>
    <col min="203" max="203" width="11.04" hidden="false" outlineLevel="1" customWidth="1"/>
    <col min="204" max="204" width="11.04" hidden="false" outlineLevel="1" customWidth="1"/>
    <col min="205" max="205" width="11.04" hidden="false" outlineLevel="1" customWidth="1"/>
    <col min="206" max="206" width="11.04" hidden="false" outlineLevel="1" customWidth="1"/>
    <col min="207" max="207" width="11.04" hidden="false" outlineLevel="1" customWidth="1"/>
    <col min="208" max="208" width="11.04" hidden="false" outlineLevel="1" customWidth="1"/>
    <col min="209" max="209" width="11.04" hidden="false" outlineLevel="1" customWidth="1"/>
    <col min="210" max="210" width="11.04" hidden="false" outlineLevel="1" customWidth="1"/>
    <col min="211" max="211" width="11.04" hidden="false" outlineLevel="1" customWidth="1"/>
    <col min="212" max="212" width="11.04" hidden="false" outlineLevel="1" customWidth="1"/>
    <col min="213" max="213" width="11.04" hidden="false" outlineLevel="1" customWidth="1"/>
    <col min="214" max="214" width="11.04" hidden="false" outlineLevel="1" customWidth="1"/>
    <col min="215" max="215" width="11.04" hidden="false" outlineLevel="1" customWidth="1"/>
    <col min="216" max="216" width="11.04" hidden="false" outlineLevel="1" customWidth="1"/>
    <col min="217" max="217" width="11.04" hidden="false" outlineLevel="1" customWidth="1"/>
    <col min="218" max="218" width="11.04" hidden="false" outlineLevel="1" customWidth="1"/>
    <col min="219" max="219" width="11.04" hidden="false" outlineLevel="1" customWidth="1"/>
    <col min="220" max="220" width="11.04" hidden="false" outlineLevel="1" customWidth="1"/>
    <col min="221" max="221" width="11.04" hidden="false" outlineLevel="1" customWidth="1"/>
    <col min="222" max="222" width="11.04" hidden="false" outlineLevel="1" customWidth="1"/>
    <col min="223" max="223" width="11.04" hidden="false" outlineLevel="1" customWidth="1"/>
    <col min="224" max="224" width="11.04" hidden="false" outlineLevel="1" customWidth="1"/>
    <col min="225" max="225" width="11.04" hidden="false" outlineLevel="1" customWidth="1"/>
    <col min="226" max="226" width="11.04" hidden="false" outlineLevel="1" customWidth="1"/>
    <col min="227" max="227" width="11.04" hidden="false" outlineLevel="1" customWidth="1"/>
    <col min="228" max="228" width="11.04" hidden="false" outlineLevel="1" customWidth="1"/>
    <col min="229" max="229" width="11.04" hidden="false" outlineLevel="1" customWidth="1"/>
    <col min="230" max="230" width="11.04" hidden="false" outlineLevel="1" customWidth="1"/>
    <col min="231" max="231" width="11.04" hidden="false" outlineLevel="1" customWidth="1"/>
    <col min="232" max="232" width="11.04" hidden="false" outlineLevel="1" customWidth="1"/>
    <col min="233" max="233" width="11.04" hidden="false" outlineLevel="1" customWidth="1"/>
    <col min="234" max="234" width="11.04" hidden="false" outlineLevel="1" customWidth="1"/>
    <col min="235" max="235" width="11.04" hidden="false" outlineLevel="1" customWidth="1"/>
    <col min="236" max="236" width="11.04" hidden="false" outlineLevel="1" customWidth="1"/>
    <col min="237" max="237" width="11.04" hidden="false" outlineLevel="1" customWidth="1"/>
    <col min="238" max="238" width="11.04" hidden="false" outlineLevel="1" customWidth="1"/>
    <col min="239" max="239" width="11.04" hidden="false" outlineLevel="1" customWidth="1"/>
    <col min="240" max="240" width="11.04" hidden="false" outlineLevel="1" customWidth="1"/>
    <col min="241" max="241" width="11.04" hidden="false" outlineLevel="1" customWidth="1"/>
    <col min="242" max="242" width="11.04" hidden="false" outlineLevel="1" customWidth="1"/>
    <col min="243" max="243" width="11.04" hidden="false" outlineLevel="1" customWidth="1"/>
    <col min="244" max="244" width="11.04" hidden="false" outlineLevel="1" customWidth="1"/>
    <col min="245" max="245" width="11.04" hidden="false" outlineLevel="1" customWidth="1"/>
    <col min="246" max="246" width="11.04" hidden="false" outlineLevel="1" customWidth="1"/>
    <col min="247" max="247" width="11.04" hidden="false" outlineLevel="1" customWidth="1"/>
    <col min="248" max="248" width="11.04" hidden="false" outlineLevel="1" customWidth="1"/>
    <col min="249" max="249" width="11.04" hidden="false" outlineLevel="1" customWidth="1"/>
    <col min="250" max="250" width="11.04" hidden="false" outlineLevel="1" customWidth="1"/>
    <col min="251" max="251" width="11.04" hidden="false" outlineLevel="1" customWidth="1"/>
    <col min="252" max="252" width="11.04" hidden="false" outlineLevel="1" customWidth="1"/>
    <col min="253" max="253" width="11.04" hidden="false" outlineLevel="1" customWidth="1"/>
    <col min="254" max="254" width="11.04" hidden="false" outlineLevel="1" customWidth="1"/>
    <col min="255" max="255" width="11.04" hidden="false" outlineLevel="1" customWidth="1"/>
    <col min="256" max="256" width="11.04" hidden="false" outlineLevel="1" customWidth="1"/>
    <col min="257" max="257" width="11.04" hidden="false" outlineLevel="1" customWidth="1"/>
    <col min="258" max="258" width="11.04" hidden="false" outlineLevel="1" customWidth="1"/>
    <col min="259" max="259" width="11.04" hidden="false" outlineLevel="1" customWidth="1"/>
    <col min="260" max="260" width="11.04" hidden="false" outlineLevel="1" customWidth="1"/>
    <col min="261" max="261" width="11.04" hidden="false" outlineLevel="1" customWidth="1"/>
    <col min="262" max="262" width="11.04" hidden="false" outlineLevel="1" customWidth="1"/>
    <col min="263" max="263" width="11.04" hidden="false" outlineLevel="1" customWidth="1"/>
    <col min="264" max="264" width="11.04" hidden="false" outlineLevel="1" customWidth="1"/>
    <col min="265" max="265" width="11.04" hidden="false" outlineLevel="1" customWidth="1"/>
    <col min="266" max="266" width="11.04" hidden="false" outlineLevel="1" customWidth="1"/>
    <col min="267" max="267" width="11.04" hidden="false" outlineLevel="1" customWidth="1"/>
    <col min="268" max="268" width="11.04" hidden="false" outlineLevel="1" customWidth="1"/>
    <col min="269" max="269" width="11.04" hidden="false" outlineLevel="1" customWidth="1"/>
    <col min="270" max="270" width="11.04" hidden="false" outlineLevel="1" customWidth="1"/>
    <col min="271" max="271" width="11.04" hidden="false" outlineLevel="1" customWidth="1"/>
    <col min="272" max="272" width="11.04" hidden="false" outlineLevel="1" customWidth="1"/>
    <col min="273" max="273" width="11.04" hidden="false" outlineLevel="1" customWidth="1"/>
    <col min="274" max="274" width="11.04" hidden="false" outlineLevel="1" customWidth="1"/>
    <col min="275" max="275" width="11.04" hidden="false" outlineLevel="1" customWidth="1"/>
    <col min="276" max="276" width="11.04" hidden="false" outlineLevel="1" customWidth="1"/>
    <col min="277" max="277" width="11.04" hidden="false" outlineLevel="1" customWidth="1"/>
    <col min="278" max="278" width="11.04" hidden="false" outlineLevel="1" customWidth="1"/>
    <col min="279" max="279" width="11.04" hidden="false" outlineLevel="1" customWidth="1"/>
    <col min="280" max="280" width="11.04" hidden="false" outlineLevel="1" customWidth="1"/>
    <col min="281" max="281" width="11.04" hidden="false" outlineLevel="1" customWidth="1"/>
    <col min="282" max="282" width="11.04" hidden="false" outlineLevel="1" customWidth="1"/>
    <col min="283" max="283" width="11.04" hidden="false" outlineLevel="1" customWidth="1"/>
    <col min="284" max="284" width="11.04" hidden="false" outlineLevel="1" customWidth="1"/>
    <col min="285" max="285" width="11.04" hidden="false" outlineLevel="1" customWidth="1"/>
    <col min="286" max="286" width="11.04" hidden="false" outlineLevel="1" customWidth="1"/>
    <col min="287" max="287" width="11.04" hidden="false" outlineLevel="1" customWidth="1"/>
    <col min="288" max="288" width="11.04" hidden="false" outlineLevel="1" customWidth="1"/>
    <col min="289" max="289" width="11.04" hidden="false" outlineLevel="1" customWidth="1"/>
    <col min="290" max="290" width="11.04" hidden="false" outlineLevel="1" customWidth="1"/>
    <col min="291" max="291" width="11.04" hidden="false" outlineLevel="1" customWidth="1"/>
    <col min="292" max="292" width="11.04" hidden="false" outlineLevel="1" customWidth="1"/>
    <col min="293" max="293" width="11.04" hidden="false" outlineLevel="1" customWidth="1"/>
    <col min="294" max="294" width="11.04" hidden="false" outlineLevel="1" customWidth="1"/>
    <col min="295" max="295" width="11.04" hidden="false" outlineLevel="1" customWidth="1"/>
    <col min="296" max="296" width="11.04" hidden="false" outlineLevel="1" customWidth="1"/>
    <col min="297" max="297" width="11.04" hidden="false" outlineLevel="1" customWidth="1"/>
    <col min="298" max="298" width="11.04" hidden="false" outlineLevel="1" customWidth="1"/>
    <col min="299" max="299" width="11.04" hidden="false" outlineLevel="1" customWidth="1"/>
    <col min="300" max="300" width="11.04" hidden="false" outlineLevel="1" customWidth="1"/>
    <col min="301" max="301" width="11.04" hidden="false" outlineLevel="1" customWidth="1"/>
    <col min="302" max="302" width="11.04" hidden="false" outlineLevel="1" customWidth="1"/>
    <col min="303" max="303" width="11.04" hidden="false" outlineLevel="1" customWidth="1"/>
    <col min="304" max="304" width="11.04" hidden="false" outlineLevel="1" customWidth="1"/>
    <col min="305" max="305" width="11.04" hidden="false" outlineLevel="1" customWidth="1"/>
    <col min="306" max="306" width="11.04" hidden="false" outlineLevel="1" customWidth="1"/>
    <col min="307" max="307" width="11.04" hidden="false" outlineLevel="1" customWidth="1"/>
    <col min="308" max="308" width="11.04" hidden="false" outlineLevel="1" customWidth="1"/>
    <col min="309" max="309" width="11.04" hidden="false" outlineLevel="1" customWidth="1"/>
    <col min="310" max="310" width="11.04" hidden="false" outlineLevel="1" customWidth="1"/>
    <col min="311" max="311" width="11.04" hidden="false" outlineLevel="1" customWidth="1"/>
    <col min="312" max="312" width="11.04" hidden="false" outlineLevel="1" customWidth="1"/>
    <col min="313" max="313" width="11.04" hidden="false" outlineLevel="1" customWidth="1"/>
    <col min="314" max="314" width="11.04" hidden="false" outlineLevel="1" customWidth="1"/>
    <col min="315" max="315" width="11.04" hidden="false" outlineLevel="1" customWidth="1"/>
    <col min="316" max="316" width="11.04" hidden="false" outlineLevel="1" customWidth="1"/>
    <col min="317" max="317" width="11.04" hidden="false" outlineLevel="1" customWidth="1"/>
    <col min="318" max="318" width="11.04" hidden="false" outlineLevel="1" customWidth="1"/>
    <col min="319" max="319" width="11.04" hidden="false" outlineLevel="1" customWidth="1"/>
    <col min="320" max="320" width="11.04" hidden="false" outlineLevel="1" customWidth="1"/>
    <col min="321" max="321" width="11.04" hidden="false" outlineLevel="1" customWidth="1"/>
    <col min="322" max="322" width="11.04" hidden="false" outlineLevel="1" customWidth="1"/>
    <col min="323" max="323" width="11.04" hidden="false" outlineLevel="1" customWidth="1"/>
    <col min="324" max="324" width="11.04" hidden="false" outlineLevel="1" customWidth="1"/>
    <col min="325" max="325" width="11.04" hidden="false" outlineLevel="1" customWidth="1"/>
    <col min="326" max="326" width="11.04" hidden="false" outlineLevel="1" customWidth="1"/>
    <col min="327" max="327" width="11.04" hidden="false" outlineLevel="1" customWidth="1"/>
    <col min="328" max="328" width="11.04" hidden="false" outlineLevel="1" customWidth="1"/>
    <col min="329" max="329" width="11.04" hidden="false" outlineLevel="1" customWidth="1"/>
    <col min="330" max="330" width="11.04" hidden="false" outlineLevel="1" customWidth="1"/>
    <col min="331" max="331" width="11.04" hidden="false" outlineLevel="1" customWidth="1"/>
    <col min="332" max="332" width="11.04" hidden="false" outlineLevel="1" customWidth="1"/>
    <col min="333" max="333" width="11.04" hidden="false" outlineLevel="1" customWidth="1"/>
    <col min="334" max="334" width="11.04" hidden="false" outlineLevel="1" customWidth="1"/>
    <col min="335" max="335" width="11.04" hidden="false" outlineLevel="1" customWidth="1"/>
    <col min="336" max="336" width="11.04" hidden="false" outlineLevel="1" customWidth="1"/>
    <col min="337" max="337" width="11.04" hidden="false" outlineLevel="1" customWidth="1"/>
    <col min="338" max="338" width="11.04" hidden="false" outlineLevel="1" customWidth="1"/>
    <col min="339" max="339" width="11.04" hidden="false" outlineLevel="1" customWidth="1"/>
    <col min="340" max="340" width="11.04" hidden="false" outlineLevel="1" customWidth="1"/>
    <col min="341" max="341" width="11.04" hidden="false" outlineLevel="1" customWidth="1"/>
    <col min="342" max="342" width="11.04" hidden="false" outlineLevel="1" customWidth="1"/>
    <col min="343" max="343" width="11.04" hidden="false" outlineLevel="1" customWidth="1"/>
    <col min="344" max="344" width="11.04" hidden="false" outlineLevel="1" customWidth="1"/>
    <col min="345" max="345" width="11.04" hidden="false" outlineLevel="1" customWidth="1"/>
    <col min="346" max="346" width="11.04" hidden="false" outlineLevel="1" customWidth="1"/>
    <col min="347" max="347" width="11.04" hidden="false" outlineLevel="1" customWidth="1"/>
    <col min="348" max="348" width="11.04" hidden="false" outlineLevel="1" customWidth="1"/>
    <col min="349" max="349" width="11.04" hidden="false" outlineLevel="1" customWidth="1"/>
    <col min="350" max="350" width="11.04" hidden="false" outlineLevel="1" customWidth="1"/>
    <col min="351" max="351" width="11.04" hidden="false" outlineLevel="1" customWidth="1"/>
    <col min="352" max="352" width="11.04" hidden="false" outlineLevel="1" customWidth="1"/>
    <col min="353" max="353" width="11.04" hidden="false" outlineLevel="1" customWidth="1"/>
    <col min="354" max="354" width="11.04" hidden="false" outlineLevel="1" customWidth="1"/>
    <col min="355" max="355" width="11.04" hidden="false" outlineLevel="1" customWidth="1"/>
    <col min="356" max="356" width="11.04" hidden="false" outlineLevel="1" customWidth="1"/>
    <col min="357" max="357" width="11.04" hidden="false" outlineLevel="1" customWidth="1"/>
    <col min="358" max="358" width="11.04" hidden="false" outlineLevel="1" customWidth="1"/>
    <col min="359" max="359" width="11.04" hidden="false" outlineLevel="1" customWidth="1"/>
    <col min="360" max="360" width="11.04" hidden="false" outlineLevel="1" customWidth="1"/>
    <col min="361" max="361" width="11.04" hidden="false" outlineLevel="1" customWidth="1"/>
    <col min="362" max="362" width="11.04" hidden="false" outlineLevel="1" customWidth="1"/>
    <col min="363" max="363" width="11.04" hidden="false" outlineLevel="1" customWidth="1"/>
    <col min="364" max="364" width="11.04" hidden="false" outlineLevel="1" customWidth="1"/>
    <col min="365" max="365" width="11.04" hidden="false" outlineLevel="1" customWidth="1"/>
    <col min="366" max="366" width="11.04" hidden="false" outlineLevel="1" customWidth="1"/>
    <col min="367" max="367" width="11.04" hidden="false" outlineLevel="1" customWidth="1"/>
    <col min="368" max="368" width="11.04" hidden="false" outlineLevel="1" customWidth="1"/>
    <col min="369" max="369" width="11.04" hidden="false" outlineLevel="1" customWidth="1"/>
    <col min="370" max="370" width="11.04" hidden="false" outlineLevel="1" customWidth="1"/>
    <col min="371" max="371" width="11.04" hidden="false" outlineLevel="1" customWidth="1"/>
    <col min="372" max="372" width="11.04" hidden="false" outlineLevel="1" customWidth="1"/>
    <col min="373" max="373" width="11.04" hidden="false" outlineLevel="1" customWidth="1"/>
    <col min="374" max="374" width="11.04" hidden="false" outlineLevel="1" customWidth="1"/>
    <col min="375" max="375" width="11.04" hidden="false" outlineLevel="1" customWidth="1"/>
    <col min="376" max="376" width="11.04" hidden="false" outlineLevel="1" customWidth="1"/>
    <col min="377" max="377" width="11.04" hidden="false" outlineLevel="1" customWidth="1"/>
    <col min="378" max="378" width="11.04" hidden="false" outlineLevel="1" customWidth="1"/>
    <col min="379" max="379" width="11.04" hidden="false" outlineLevel="1" customWidth="1"/>
    <col min="380" max="380" width="11.04" hidden="false" outlineLevel="1" customWidth="1"/>
    <col min="381" max="381" width="11.04" hidden="false" outlineLevel="1" customWidth="1"/>
    <col min="382" max="382" width="11.04" hidden="false" outlineLevel="1" customWidth="1"/>
    <col min="383" max="383" width="11.04" hidden="false" outlineLevel="1" customWidth="1"/>
    <col min="384" max="384" width="11.04" hidden="false" outlineLevel="1" customWidth="1"/>
    <col min="385" max="385" width="11.04" hidden="false" outlineLevel="1" customWidth="1"/>
    <col min="386" max="386" width="11.04" hidden="false" outlineLevel="1" customWidth="1"/>
    <col min="387" max="387" width="11.04" hidden="false" outlineLevel="1" customWidth="1"/>
    <col min="388" max="388" width="11.04" hidden="false" outlineLevel="1" customWidth="1"/>
    <col min="389" max="389" width="11.04" hidden="false" outlineLevel="1" customWidth="1"/>
    <col min="390" max="390" width="11.04" hidden="false" outlineLevel="1" customWidth="1"/>
    <col min="391" max="391" width="11.04" hidden="false" outlineLevel="1" customWidth="1"/>
    <col min="392" max="392" width="11.04" hidden="false" outlineLevel="1" customWidth="1"/>
    <col min="393" max="393" width="11.04" hidden="false" outlineLevel="1" customWidth="1"/>
    <col min="394" max="394" width="11.04" hidden="false" outlineLevel="1" customWidth="1"/>
    <col min="395" max="395" width="11.04" hidden="false" outlineLevel="1" customWidth="1"/>
    <col min="396" max="396" width="11.04" hidden="false" outlineLevel="1" customWidth="1"/>
    <col min="397" max="397" width="11.04" hidden="false" outlineLevel="1" customWidth="1"/>
    <col min="398" max="398" width="11.04" hidden="false" outlineLevel="1" customWidth="1"/>
    <col min="399" max="399" width="11.04" hidden="false" outlineLevel="1" customWidth="1"/>
    <col min="400" max="400" width="11.04" hidden="false" outlineLevel="1" customWidth="1"/>
    <col min="401" max="401" width="11.04" hidden="false" outlineLevel="1" customWidth="1"/>
    <col min="402" max="402" width="11.04" hidden="false" outlineLevel="1" customWidth="1"/>
    <col min="403" max="403" width="11.04" hidden="false" outlineLevel="1" customWidth="1"/>
    <col min="404" max="404" width="11.04" hidden="false" outlineLevel="1" customWidth="1"/>
    <col min="405" max="405" width="11.04" hidden="false" outlineLevel="1" customWidth="1"/>
    <col min="406" max="406" width="11.04" hidden="false" outlineLevel="1" customWidth="1"/>
    <col min="407" max="407" width="11.04" hidden="false" outlineLevel="1" customWidth="1"/>
    <col min="408" max="408" width="11.04" hidden="false" outlineLevel="1" customWidth="1"/>
    <col min="409" max="409" width="11.04" hidden="false" outlineLevel="1" customWidth="1"/>
    <col min="410" max="410" width="11.04" hidden="false" outlineLevel="1" customWidth="1"/>
    <col min="411" max="411" width="11.04" hidden="false" outlineLevel="1" customWidth="1"/>
    <col min="412" max="412" width="11.04" hidden="false" outlineLevel="1" customWidth="1"/>
    <col min="413" max="413" width="11.04" hidden="false" outlineLevel="1" customWidth="1"/>
    <col min="414" max="414" width="11.04" hidden="false" outlineLevel="1" customWidth="1"/>
    <col min="415" max="415" width="11.04" hidden="false" outlineLevel="1" customWidth="1"/>
    <col min="416" max="416" width="11.04" hidden="false" outlineLevel="1" customWidth="1"/>
    <col min="417" max="417" width="11.04" hidden="false" outlineLevel="1" customWidth="1"/>
    <col min="418" max="418" width="11.04" hidden="false" outlineLevel="1" customWidth="1"/>
    <col min="419" max="419" width="11.04" hidden="false" outlineLevel="1" customWidth="1"/>
    <col min="420" max="420" width="11.04" hidden="false" outlineLevel="1" customWidth="1"/>
    <col min="421" max="421" width="11.04" hidden="false" outlineLevel="1" customWidth="1"/>
    <col min="422" max="422" width="11.04" hidden="false" outlineLevel="1" customWidth="1"/>
    <col min="423" max="423" width="11.04" hidden="false" outlineLevel="1" customWidth="1"/>
    <col min="424" max="424" width="11.04" hidden="false" outlineLevel="1" customWidth="1"/>
    <col min="425" max="425" width="11.04" hidden="false" outlineLevel="1" customWidth="1"/>
    <col min="426" max="426" width="11.04" hidden="false" outlineLevel="1" customWidth="1"/>
    <col min="427" max="427" width="11.04" hidden="false" outlineLevel="1" customWidth="1"/>
    <col min="428" max="428" width="11.04" hidden="false" outlineLevel="1" customWidth="1"/>
    <col min="429" max="429" width="11.04" hidden="false" outlineLevel="1" customWidth="1"/>
    <col min="430" max="430" width="11.04" hidden="false" outlineLevel="1" customWidth="1"/>
    <col min="431" max="431" width="11.04" hidden="false" outlineLevel="1" customWidth="1"/>
    <col min="432" max="432" width="11.04" hidden="false" outlineLevel="1" customWidth="1"/>
    <col min="433" max="433" width="11.04" hidden="false" outlineLevel="1" customWidth="1"/>
    <col min="434" max="434" width="11.04" hidden="false" outlineLevel="1" customWidth="1"/>
    <col min="435" max="435" width="11.04" hidden="false" outlineLevel="1" customWidth="1"/>
    <col min="436" max="436" width="11.04" hidden="false" outlineLevel="1" customWidth="1"/>
    <col min="437" max="437" width="11.04" hidden="false" outlineLevel="1" customWidth="1"/>
    <col min="438" max="438" width="11.04" hidden="false" outlineLevel="1" customWidth="1"/>
    <col min="439" max="439" width="11.04" hidden="false" outlineLevel="1" customWidth="1"/>
    <col min="440" max="440" width="11.04" hidden="false" outlineLevel="1" customWidth="1"/>
    <col min="441" max="441" width="11.04" hidden="false" outlineLevel="1" customWidth="1"/>
    <col min="442" max="442" width="11.04" hidden="false" outlineLevel="1" customWidth="1"/>
    <col min="443" max="443" width="11.04" hidden="false" outlineLevel="1" customWidth="1"/>
    <col min="444" max="444" width="11.04" hidden="false" outlineLevel="1" customWidth="1"/>
    <col min="445" max="445" width="11.04" hidden="false" outlineLevel="1" customWidth="1"/>
    <col min="446" max="446" width="11.04" hidden="false" outlineLevel="1" customWidth="1"/>
    <col min="447" max="447" width="11.04" hidden="false" outlineLevel="1" customWidth="1"/>
    <col min="448" max="448" width="11.04" hidden="false" outlineLevel="1" customWidth="1"/>
    <col min="449" max="449" width="11.04" hidden="false" outlineLevel="1" customWidth="1"/>
    <col min="450" max="450" width="11.04" hidden="false" outlineLevel="1" customWidth="1"/>
    <col min="451" max="451" width="11.04" hidden="false" outlineLevel="1" customWidth="1"/>
    <col min="452" max="452" width="11.04" hidden="false" outlineLevel="1" customWidth="1"/>
    <col min="453" max="453" width="11.04" hidden="false" outlineLevel="1" customWidth="1"/>
    <col min="454" max="454" width="11.04" hidden="false" outlineLevel="1" customWidth="1"/>
    <col min="455" max="455" width="11.04" hidden="false" outlineLevel="1" customWidth="1"/>
    <col min="456" max="456" width="11.04" hidden="false" outlineLevel="1" customWidth="1"/>
    <col min="457" max="457" width="11.04" hidden="false" outlineLevel="1" customWidth="1"/>
    <col min="458" max="458" width="11.04" hidden="false" outlineLevel="1" customWidth="1"/>
    <col min="459" max="459" width="11.04" hidden="false" outlineLevel="1" customWidth="1"/>
    <col min="460" max="460" width="11.04" hidden="false" outlineLevel="1" customWidth="1"/>
    <col min="461" max="461" width="11.04" hidden="false" outlineLevel="1" customWidth="1"/>
    <col min="462" max="462" width="11.04" hidden="false" outlineLevel="1" customWidth="1"/>
    <col min="463" max="463" width="11.04" hidden="false" outlineLevel="1" customWidth="1"/>
    <col min="464" max="464" width="11.04" hidden="false" outlineLevel="1" customWidth="1"/>
    <col min="465" max="465" width="11.04" hidden="false" outlineLevel="1" customWidth="1"/>
    <col min="466" max="466" width="11.04" hidden="false" outlineLevel="1" customWidth="1"/>
    <col min="467" max="467" width="11.04" hidden="false" outlineLevel="1" customWidth="1"/>
    <col min="468" max="468" width="11.04" hidden="false" outlineLevel="1" customWidth="1"/>
    <col min="469" max="469" width="11.04" hidden="false" outlineLevel="1" customWidth="1"/>
    <col min="470" max="470" width="11.04" hidden="false" outlineLevel="1" customWidth="1"/>
    <col min="471" max="471" width="11.04" hidden="false" outlineLevel="1" customWidth="1"/>
    <col min="472" max="472" width="11.04" hidden="false" outlineLevel="1" customWidth="1"/>
    <col min="473" max="473" width="11.04" hidden="false" outlineLevel="1" customWidth="1"/>
    <col min="474" max="474" width="11.04" hidden="false" outlineLevel="1" customWidth="1"/>
    <col min="475" max="475" width="11.04" hidden="false" outlineLevel="1" customWidth="1"/>
    <col min="476" max="476" width="11.04" hidden="false" outlineLevel="1" customWidth="1"/>
    <col min="477" max="477" width="11.04" hidden="false" outlineLevel="1" customWidth="1"/>
    <col min="478" max="478" width="11.04" hidden="false" outlineLevel="1" customWidth="1"/>
    <col min="479" max="479" width="11.04" hidden="false" outlineLevel="1" customWidth="1"/>
    <col min="480" max="480" width="11.04" hidden="false" outlineLevel="1" customWidth="1"/>
    <col min="481" max="481" width="11.04" hidden="false" outlineLevel="1" customWidth="1"/>
    <col min="482" max="482" width="11.04" hidden="false" outlineLevel="1" customWidth="1"/>
    <col min="483" max="483" width="11.04" hidden="false" outlineLevel="1" customWidth="1"/>
    <col min="484" max="484" width="11.04" hidden="false" outlineLevel="1" customWidth="1"/>
    <col min="485" max="485" width="11.04" hidden="false" outlineLevel="1" customWidth="1"/>
    <col min="486" max="486" width="11.04" hidden="false" outlineLevel="1" customWidth="1"/>
    <col min="487" max="487" width="11.04" hidden="false" outlineLevel="1" customWidth="1"/>
    <col min="488" max="488" width="11.04" hidden="false" outlineLevel="1" customWidth="1"/>
    <col min="489" max="489" width="11.04" hidden="false" outlineLevel="1" customWidth="1"/>
    <col min="490" max="490" width="11.04" hidden="false" outlineLevel="1" customWidth="1"/>
    <col min="491" max="491" width="11.04" hidden="false" outlineLevel="1" customWidth="1"/>
    <col min="492" max="492" width="11.04" hidden="false" outlineLevel="1" customWidth="1"/>
    <col min="493" max="493" width="11.04" hidden="false" outlineLevel="1" customWidth="1"/>
    <col min="494" max="494" width="11.04" hidden="false" outlineLevel="1" customWidth="1"/>
    <col min="495" max="495" width="11.04" hidden="false" outlineLevel="1" customWidth="1"/>
    <col min="496" max="496" width="11.04" hidden="false" outlineLevel="1" customWidth="1"/>
    <col min="497" max="497" width="11.04" hidden="false" outlineLevel="1" customWidth="1"/>
    <col min="498" max="498" width="11.04" hidden="false" outlineLevel="1" customWidth="1"/>
    <col min="499" max="499" width="11.04" hidden="false" outlineLevel="1" customWidth="1"/>
    <col min="500" max="500" width="11.04" hidden="false" outlineLevel="1" customWidth="1"/>
    <col min="501" max="501" width="11.04" hidden="false" outlineLevel="1" customWidth="1"/>
    <col min="502" max="502" width="11.04" hidden="false" outlineLevel="1" customWidth="1"/>
    <col min="503" max="503" width="11.04" hidden="false" outlineLevel="1" customWidth="1"/>
    <col min="504" max="504" width="11.04" hidden="false" outlineLevel="1" customWidth="1"/>
    <col min="505" max="505" width="11.04" hidden="false" outlineLevel="1" customWidth="1"/>
    <col min="506" max="506" width="11.04" hidden="false" outlineLevel="1" customWidth="1"/>
    <col min="507" max="507" width="11.04" hidden="false" outlineLevel="1" customWidth="1"/>
    <col min="508" max="508" width="11.04" hidden="false" outlineLevel="1" customWidth="1"/>
    <col min="509" max="509" width="11.04" hidden="false" outlineLevel="1" customWidth="1"/>
    <col min="510" max="510" width="11.04" hidden="false" outlineLevel="1" customWidth="1"/>
    <col min="511" max="511" width="11.04" hidden="false" outlineLevel="1" customWidth="1"/>
    <col min="512" max="512" width="11.04" hidden="false" outlineLevel="1" customWidth="1"/>
    <col min="513" max="513" width="11.04" hidden="false" outlineLevel="1" customWidth="1"/>
    <col min="514" max="514" width="11.04" hidden="false" outlineLevel="1" customWidth="1"/>
    <col min="515" max="515" width="11.04" hidden="false" outlineLevel="1" customWidth="1"/>
    <col min="516" max="516" width="11.04" hidden="false" outlineLevel="1" customWidth="1"/>
    <col min="517" max="517" width="11.04" hidden="false" outlineLevel="1" customWidth="1"/>
    <col min="518" max="518" width="11.04" hidden="false" outlineLevel="1" customWidth="1"/>
    <col min="519" max="519" width="11.04" hidden="false" outlineLevel="1" customWidth="1"/>
    <col min="520" max="520" width="11.04" hidden="false" outlineLevel="1" customWidth="1"/>
    <col min="521" max="521" width="11.04" hidden="false" outlineLevel="1" customWidth="1"/>
    <col min="522" max="522" width="11.04" hidden="false" outlineLevel="1" customWidth="1"/>
    <col min="523" max="523" width="11.04" hidden="false" outlineLevel="1" customWidth="1"/>
    <col min="524" max="524" width="11.04" hidden="false" outlineLevel="1" customWidth="1"/>
    <col min="525" max="525" width="11.04" hidden="false" outlineLevel="1" customWidth="1"/>
    <col min="526" max="526" width="11.04" hidden="false" outlineLevel="1" customWidth="1"/>
    <col min="527" max="527" width="11.04" hidden="false" outlineLevel="1" customWidth="1"/>
    <col min="528" max="528" width="11.04" hidden="false" outlineLevel="1" customWidth="1"/>
    <col min="529" max="529" width="11.04" hidden="false" outlineLevel="1" customWidth="1"/>
    <col min="530" max="530" width="11.04" hidden="false" outlineLevel="1" customWidth="1"/>
    <col min="531" max="531" width="11.04" hidden="false" outlineLevel="1" customWidth="1"/>
    <col min="532" max="532" width="11.04" hidden="false" outlineLevel="1" customWidth="1"/>
    <col min="533" max="533" width="11.04" hidden="false" outlineLevel="1" customWidth="1"/>
    <col min="534" max="534" width="11.04" hidden="false" outlineLevel="1" customWidth="1"/>
    <col min="535" max="535" width="11.04" hidden="false" outlineLevel="1" customWidth="1"/>
    <col min="536" max="536" width="11.04" hidden="false" outlineLevel="1" customWidth="1"/>
    <col min="537" max="537" width="11.04" hidden="false" outlineLevel="1" customWidth="1"/>
    <col min="538" max="538" width="11.04" hidden="false" outlineLevel="1" customWidth="1"/>
    <col min="539" max="539" width="11.04" hidden="false" outlineLevel="1" customWidth="1"/>
    <col min="540" max="540" width="11.04" hidden="false" outlineLevel="1" customWidth="1"/>
    <col min="541" max="541" width="11.04" hidden="false" outlineLevel="1" customWidth="1"/>
    <col min="542" max="542" width="11.04" hidden="false" outlineLevel="1" customWidth="1"/>
    <col min="543" max="543" width="11.04" hidden="false" outlineLevel="1" customWidth="1"/>
    <col min="544" max="544" width="11.04" hidden="false" outlineLevel="1" customWidth="1"/>
    <col min="545" max="545" width="11.04" hidden="false" outlineLevel="1" customWidth="1"/>
    <col min="546" max="546" width="11.04" hidden="false" outlineLevel="1" customWidth="1"/>
    <col min="547" max="547" width="11.04" hidden="false" outlineLevel="1" customWidth="1"/>
    <col min="548" max="548" width="11.04" hidden="false" outlineLevel="1" customWidth="1"/>
    <col min="549" max="549" width="11.04" hidden="false" outlineLevel="1" customWidth="1"/>
    <col min="550" max="550" width="11.04" hidden="false" outlineLevel="1" customWidth="1"/>
    <col min="551" max="551" width="11.04" hidden="false" outlineLevel="1" customWidth="1"/>
    <col min="552" max="552" width="11.04" hidden="false" outlineLevel="1" customWidth="1"/>
    <col min="553" max="553" width="11.04" hidden="false" outlineLevel="1" customWidth="1"/>
    <col min="554" max="554" width="11.04" hidden="false" outlineLevel="1" customWidth="1"/>
    <col min="555" max="555" width="11.04" hidden="false" outlineLevel="1" customWidth="1"/>
    <col min="556" max="556" width="11.04" hidden="false" outlineLevel="1" customWidth="1"/>
    <col min="557" max="557" width="11.04" hidden="false" outlineLevel="1" customWidth="1"/>
    <col min="558" max="558" width="11.04" hidden="false" outlineLevel="1" customWidth="1"/>
    <col min="559" max="559" width="11.04" hidden="false" outlineLevel="1" customWidth="1"/>
    <col min="560" max="560" width="11.04" hidden="false" outlineLevel="1" customWidth="1"/>
    <col min="561" max="561" width="11.04" hidden="false" outlineLevel="1" customWidth="1"/>
    <col min="562" max="562" width="11.04" hidden="false" outlineLevel="1" customWidth="1"/>
    <col min="563" max="563" width="11.04" hidden="false" outlineLevel="1" customWidth="1"/>
    <col min="564" max="564" width="11.04" hidden="false" outlineLevel="1" customWidth="1"/>
    <col min="565" max="565" width="11.04" hidden="false" outlineLevel="1" customWidth="1"/>
    <col min="566" max="566" width="11.04" hidden="false" outlineLevel="1" customWidth="1"/>
    <col min="567" max="567" width="11.04" hidden="false" outlineLevel="1" customWidth="1"/>
    <col min="568" max="568" width="11.04" hidden="false" outlineLevel="1" customWidth="1"/>
    <col min="569" max="569" width="11.04" hidden="false" outlineLevel="1" customWidth="1"/>
    <col min="570" max="570" width="11.04" hidden="false" outlineLevel="1" customWidth="1"/>
    <col min="571" max="571" width="11.04" hidden="false" outlineLevel="1" customWidth="1"/>
    <col min="572" max="572" width="11.04" hidden="false" outlineLevel="1" customWidth="1"/>
    <col min="573" max="573" width="11.04" hidden="false" outlineLevel="1" customWidth="1"/>
    <col min="574" max="574" width="11.04" hidden="false" outlineLevel="1" customWidth="1"/>
    <col min="575" max="575" width="11.04" hidden="false" outlineLevel="1" customWidth="1"/>
    <col min="576" max="576" width="11.04" hidden="false" outlineLevel="1" customWidth="1"/>
    <col min="577" max="577" width="11.04" hidden="false" outlineLevel="1" customWidth="1"/>
    <col min="578" max="578" width="11.04" hidden="false" outlineLevel="1" customWidth="1"/>
    <col min="579" max="579" width="11.04" hidden="false" outlineLevel="1" customWidth="1"/>
    <col min="580" max="580" width="11.04" hidden="false" outlineLevel="1" customWidth="1"/>
    <col min="581" max="581" width="11.04" hidden="false" outlineLevel="1" customWidth="1"/>
    <col min="582" max="582" width="11.04" hidden="false" outlineLevel="1" customWidth="1"/>
    <col min="583" max="583" width="11.04" hidden="false" outlineLevel="1" customWidth="1"/>
    <col min="584" max="584" width="11.04" hidden="false" outlineLevel="1" customWidth="1"/>
    <col min="585" max="585" width="11.04" hidden="false" outlineLevel="1" customWidth="1"/>
    <col min="586" max="586" width="11.04" hidden="false" outlineLevel="1" customWidth="1"/>
    <col min="587" max="587" width="11.04" hidden="false" outlineLevel="1" customWidth="1"/>
    <col min="588" max="588" width="11.04" hidden="false" outlineLevel="1" customWidth="1"/>
    <col min="589" max="589" width="11.04" hidden="false" outlineLevel="1" customWidth="1"/>
    <col min="590" max="590" width="11.04" hidden="false" outlineLevel="1" customWidth="1"/>
    <col min="591" max="591" width="11.04" hidden="false" outlineLevel="1" customWidth="1"/>
    <col min="592" max="592" width="11.04" hidden="false" outlineLevel="1" customWidth="1"/>
    <col min="593" max="593" width="11.04" hidden="false" outlineLevel="1" customWidth="1"/>
    <col min="594" max="594" width="11.04" hidden="false" outlineLevel="1" customWidth="1"/>
    <col min="595" max="595" width="11.04" hidden="false" outlineLevel="1" customWidth="1"/>
    <col min="596" max="596" width="11.04" hidden="false" outlineLevel="1" customWidth="1"/>
    <col min="597" max="597" width="11.04" hidden="false" outlineLevel="1" customWidth="1"/>
    <col min="598" max="598" width="11.04" hidden="false" outlineLevel="1" customWidth="1"/>
    <col min="599" max="599" width="11.04" hidden="false" outlineLevel="1" customWidth="1"/>
    <col min="600" max="600" width="11.04" hidden="false" outlineLevel="1" customWidth="1"/>
    <col min="601" max="601" width="11.04" hidden="false" outlineLevel="1" customWidth="1"/>
    <col min="602" max="602" width="11.04" hidden="false" outlineLevel="1" customWidth="1"/>
    <col min="603" max="603" width="11.04" hidden="false" outlineLevel="1" customWidth="1"/>
    <col min="604" max="604" width="11.04" hidden="false" outlineLevel="1" customWidth="1"/>
    <col min="605" max="605" width="11.04" hidden="false" outlineLevel="1" customWidth="1"/>
    <col min="606" max="606" width="11.04" hidden="false" outlineLevel="1" customWidth="1"/>
    <col min="607" max="607" width="11.04" hidden="false" outlineLevel="1" customWidth="1"/>
    <col min="608" max="608" width="11.04" hidden="false" outlineLevel="1" customWidth="1"/>
    <col min="609" max="609" width="11.04" hidden="false" outlineLevel="1" customWidth="1"/>
    <col min="610" max="610" width="11.04" hidden="false" outlineLevel="1" customWidth="1"/>
    <col min="611" max="611" width="11.04" hidden="false" outlineLevel="1" customWidth="1"/>
    <col min="612" max="612" width="11.04" hidden="false" outlineLevel="1" customWidth="1"/>
    <col min="613" max="613" width="11.04" hidden="false" outlineLevel="1" customWidth="1"/>
    <col min="614" max="614" width="11.04" hidden="false" outlineLevel="1" customWidth="1"/>
    <col min="615" max="615" width="11.04" hidden="false" outlineLevel="1" customWidth="1"/>
    <col min="616" max="616" width="11.04" hidden="false" outlineLevel="1" customWidth="1"/>
    <col min="617" max="617" width="11.04" hidden="false" outlineLevel="1" customWidth="1"/>
    <col min="618" max="618" width="11.04" hidden="false" outlineLevel="1" customWidth="1"/>
    <col min="619" max="619" width="11.04" hidden="false" outlineLevel="1" customWidth="1"/>
    <col min="620" max="620" width="11.04" hidden="false" outlineLevel="1" customWidth="1"/>
    <col min="621" max="621" width="11.04" hidden="false" outlineLevel="1" customWidth="1"/>
    <col min="622" max="622" width="11.04" hidden="false" outlineLevel="1" customWidth="1"/>
    <col min="623" max="623" width="11.04" hidden="false" outlineLevel="1" customWidth="1"/>
    <col min="624" max="624" width="11.04" hidden="false" outlineLevel="1" customWidth="1"/>
    <col min="625" max="625" width="11.04" hidden="false" outlineLevel="1" customWidth="1"/>
    <col min="626" max="626" width="11.04" hidden="false" outlineLevel="1" customWidth="1"/>
    <col min="627" max="627" width="11.04" hidden="false" outlineLevel="1" customWidth="1"/>
    <col min="628" max="628" width="11.04" hidden="false" outlineLevel="1" customWidth="1"/>
    <col min="629" max="629" width="11.04" hidden="false" outlineLevel="1" customWidth="1"/>
    <col min="630" max="630" width="11.04" hidden="false" outlineLevel="1" customWidth="1"/>
    <col min="631" max="631" width="11.04" hidden="false" outlineLevel="1" customWidth="1"/>
    <col min="632" max="632" width="11.04" hidden="false" outlineLevel="1" customWidth="1"/>
    <col min="633" max="633" width="11.04" hidden="false" outlineLevel="1" customWidth="1"/>
    <col min="634" max="634" width="11.04" hidden="false" outlineLevel="1" customWidth="1"/>
    <col min="635" max="635" width="11.04" hidden="false" outlineLevel="1" customWidth="1"/>
    <col min="636" max="636" width="11.04" hidden="false" outlineLevel="1" customWidth="1"/>
    <col min="637" max="637" width="11.04" hidden="false" outlineLevel="1" customWidth="1"/>
    <col min="638" max="638" width="11.04" hidden="false" outlineLevel="1" customWidth="1"/>
    <col min="639" max="639" width="11.04" hidden="false" outlineLevel="1" customWidth="1"/>
    <col min="640" max="640" width="11.04" hidden="false" outlineLevel="1" customWidth="1"/>
    <col min="641" max="641" width="11.04" hidden="false" outlineLevel="1" customWidth="1"/>
    <col min="642" max="642" width="11.04" hidden="false" outlineLevel="1" customWidth="1"/>
    <col min="643" max="643" width="11.04" hidden="false" outlineLevel="1" customWidth="1"/>
    <col min="644" max="644" width="11.04" hidden="false" outlineLevel="1" customWidth="1"/>
    <col min="645" max="645" width="11.04" hidden="false" outlineLevel="1" customWidth="1"/>
    <col min="646" max="646" width="11.04" hidden="false" outlineLevel="1" customWidth="1"/>
    <col min="647" max="647" width="11.04" hidden="false" outlineLevel="1" customWidth="1"/>
    <col min="648" max="648" width="11.04" hidden="false" outlineLevel="1" customWidth="1"/>
    <col min="649" max="649" width="11.04" hidden="false" outlineLevel="1" customWidth="1"/>
    <col min="650" max="650" width="11.04" hidden="false" outlineLevel="1" customWidth="1"/>
    <col min="651" max="651" width="11.04" hidden="false" outlineLevel="1" customWidth="1"/>
    <col min="652" max="652" width="11.04" hidden="false" outlineLevel="1" customWidth="1"/>
    <col min="653" max="653" width="11.04" hidden="false" outlineLevel="1" customWidth="1"/>
    <col min="654" max="654" width="11.04" hidden="false" outlineLevel="1" customWidth="1"/>
    <col min="655" max="655" width="11.04" hidden="false" outlineLevel="1" customWidth="1"/>
    <col min="656" max="656" width="11.04" hidden="false" outlineLevel="1" customWidth="1"/>
    <col min="657" max="657" width="11.04" hidden="false" outlineLevel="1" customWidth="1"/>
    <col min="658" max="658" width="11.04" hidden="false" outlineLevel="1" customWidth="1"/>
    <col min="659" max="659" width="11.04" hidden="false" outlineLevel="1" customWidth="1"/>
    <col min="660" max="660" width="11.04" hidden="false" outlineLevel="1" customWidth="1"/>
    <col min="661" max="661" width="11.04" hidden="false" outlineLevel="1" customWidth="1"/>
    <col min="662" max="662" width="11.04" hidden="false" outlineLevel="1" customWidth="1"/>
    <col min="663" max="663" width="11.04" hidden="false" outlineLevel="1" customWidth="1"/>
    <col min="664" max="664" width="11.04" hidden="false" outlineLevel="1" customWidth="1"/>
    <col min="665" max="665" width="11.04" hidden="false" outlineLevel="1" customWidth="1"/>
    <col min="666" max="666" width="11.04" hidden="false" outlineLevel="1" customWidth="1"/>
    <col min="667" max="667" width="11.04" hidden="false" outlineLevel="1" customWidth="1"/>
    <col min="668" max="668" width="11.04" hidden="false" outlineLevel="1" customWidth="1"/>
    <col min="669" max="669" width="11.04" hidden="false" outlineLevel="1" customWidth="1"/>
    <col min="670" max="670" width="11.04" hidden="false" outlineLevel="1" customWidth="1"/>
    <col min="671" max="671" width="11.04" hidden="false" outlineLevel="1" customWidth="1"/>
    <col min="672" max="672" width="11.04" hidden="false" outlineLevel="1" customWidth="1"/>
    <col min="673" max="673" width="11.04" hidden="false" outlineLevel="1" customWidth="1"/>
    <col min="674" max="674" width="11.04" hidden="false" outlineLevel="1" customWidth="1"/>
    <col min="675" max="675" width="11.04" hidden="false" outlineLevel="1" customWidth="1"/>
    <col min="676" max="676" width="11.04" hidden="false" outlineLevel="1" customWidth="1"/>
    <col min="677" max="677" width="11.04" hidden="false" outlineLevel="1" customWidth="1"/>
    <col min="678" max="678" width="11.04" hidden="false" outlineLevel="1" customWidth="1"/>
    <col min="679" max="679" width="11.04" hidden="false" outlineLevel="1" customWidth="1"/>
    <col min="680" max="680" width="11.04" hidden="false" outlineLevel="1" customWidth="1"/>
    <col min="681" max="681" width="11.04" hidden="false" outlineLevel="1" customWidth="1"/>
    <col min="682" max="682" width="11.04" hidden="false" outlineLevel="1" customWidth="1"/>
    <col min="683" max="683" width="11.04" hidden="false" outlineLevel="1" customWidth="1"/>
    <col min="684" max="684" width="11.04" hidden="false" outlineLevel="1" customWidth="1"/>
    <col min="685" max="685" width="11.04" hidden="false" outlineLevel="1" customWidth="1"/>
    <col min="686" max="686" width="11.04" hidden="false" outlineLevel="1" customWidth="1"/>
    <col min="687" max="687" width="11.04" hidden="false" outlineLevel="1" customWidth="1"/>
    <col min="688" max="688" width="11.04" hidden="false" outlineLevel="1" customWidth="1"/>
    <col min="689" max="689" width="11.04" hidden="false" outlineLevel="1" customWidth="1"/>
    <col min="690" max="690" width="11.04" hidden="false" outlineLevel="1" customWidth="1"/>
    <col min="691" max="691" width="11.04" hidden="false" outlineLevel="1" customWidth="1"/>
    <col min="692" max="692" width="11.04" hidden="false" outlineLevel="1" customWidth="1"/>
    <col min="693" max="693" width="11.04" hidden="false" outlineLevel="1" customWidth="1"/>
    <col min="694" max="694" width="11.04" hidden="false" outlineLevel="1" customWidth="1"/>
    <col min="695" max="695" width="11.04" hidden="false" outlineLevel="1" customWidth="1"/>
    <col min="696" max="696" width="11.04" hidden="false" outlineLevel="1" customWidth="1"/>
    <col min="697" max="697" width="11.04" hidden="false" outlineLevel="1" customWidth="1"/>
    <col min="698" max="698" width="11.04" hidden="false" outlineLevel="1" customWidth="1"/>
    <col min="699" max="699" width="11.04" hidden="false" outlineLevel="1" customWidth="1"/>
    <col min="700" max="700" width="11.04" hidden="false" outlineLevel="1" customWidth="1"/>
    <col min="701" max="701" width="11.04" hidden="false" outlineLevel="1" customWidth="1"/>
    <col min="702" max="702" width="11.04" hidden="false" outlineLevel="1" customWidth="1"/>
    <col min="703" max="703" width="11.04" hidden="false" outlineLevel="1" customWidth="1"/>
    <col min="704" max="704" width="11.04" hidden="false" outlineLevel="1" customWidth="1"/>
    <col min="705" max="705" width="11.04" hidden="false" outlineLevel="1" customWidth="1"/>
    <col min="706" max="706" width="11.04" hidden="false" outlineLevel="1" customWidth="1"/>
    <col min="707" max="707" width="11.04" hidden="false" outlineLevel="1" customWidth="1"/>
    <col min="708" max="708" width="11.04" hidden="false" outlineLevel="1" customWidth="1"/>
    <col min="709" max="709" width="11.04" hidden="false" outlineLevel="1" customWidth="1"/>
    <col min="710" max="710" width="11.04" hidden="false" outlineLevel="1" customWidth="1"/>
    <col min="711" max="711" width="11.04" hidden="false" outlineLevel="1" customWidth="1"/>
    <col min="712" max="712" width="11.04" hidden="false" outlineLevel="1" customWidth="1"/>
    <col min="713" max="713" width="11.04" hidden="false" outlineLevel="1" customWidth="1"/>
    <col min="714" max="714" width="11.04" hidden="false" outlineLevel="1" customWidth="1"/>
    <col min="715" max="715" width="11.04" hidden="false" outlineLevel="1" customWidth="1"/>
    <col min="716" max="716" width="11.04" hidden="false" outlineLevel="1" customWidth="1"/>
    <col min="717" max="717" width="11.04" hidden="false" outlineLevel="1" customWidth="1"/>
    <col min="718" max="718" width="11.04" hidden="false" outlineLevel="1" customWidth="1"/>
    <col min="719" max="719" width="11.04" hidden="false" outlineLevel="1" customWidth="1"/>
    <col min="720" max="720" width="11.04" hidden="false" outlineLevel="1" customWidth="1"/>
    <col min="721" max="721" width="11.04" hidden="false" outlineLevel="1" customWidth="1"/>
    <col min="722" max="722" width="11.04" hidden="false" outlineLevel="1" customWidth="1"/>
    <col min="723" max="723" width="11.04" hidden="false" outlineLevel="1" customWidth="1"/>
    <col min="724" max="724" width="11.04" hidden="false" outlineLevel="1" customWidth="1"/>
    <col min="725" max="725" width="11.04" hidden="false" outlineLevel="1" customWidth="1"/>
    <col min="726" max="726" width="11.04" hidden="false" outlineLevel="1" customWidth="1"/>
    <col min="727" max="727" width="11.04" hidden="false" outlineLevel="1" customWidth="1"/>
    <col min="728" max="728" width="11.04" hidden="false" outlineLevel="1" customWidth="1"/>
    <col min="729" max="729" width="11.04" hidden="false" outlineLevel="1" customWidth="1"/>
    <col min="730" max="730" width="11.04" hidden="false" outlineLevel="1" customWidth="1"/>
    <col min="731" max="731" width="11.04" hidden="false" outlineLevel="1" customWidth="1"/>
    <col min="732" max="732" width="11.04" hidden="false" outlineLevel="1" customWidth="1"/>
    <col min="733" max="733" width="11.04" hidden="false" outlineLevel="1" customWidth="1"/>
    <col min="734" max="734" width="11.04" hidden="false" outlineLevel="1" customWidth="1"/>
    <col min="735" max="735" width="11.04" hidden="false" outlineLevel="1" customWidth="1"/>
    <col min="736" max="736" width="11.04" hidden="false" outlineLevel="1" customWidth="1"/>
    <col min="737" max="737" width="11.04" hidden="false" outlineLevel="1" customWidth="1"/>
    <col min="738" max="738" width="11.04" hidden="false" outlineLevel="1" customWidth="1"/>
    <col min="739" max="739" width="11.04" hidden="false" outlineLevel="1" customWidth="1"/>
    <col min="740" max="740" width="11.04" hidden="false" outlineLevel="1" customWidth="1"/>
    <col min="741" max="741" width="11.04" hidden="false" outlineLevel="1" customWidth="1"/>
    <col min="742" max="742" width="11.04" hidden="false" outlineLevel="1" customWidth="1"/>
    <col min="743" max="743" width="11.04" hidden="false" outlineLevel="1" customWidth="1"/>
    <col min="744" max="744" width="11.04" hidden="false" outlineLevel="1" customWidth="1"/>
    <col min="745" max="745" width="11.04" hidden="false" outlineLevel="1" customWidth="1"/>
    <col min="746" max="746" width="11.04" hidden="false" outlineLevel="1" customWidth="1"/>
    <col min="747" max="747" width="11.04" hidden="false" outlineLevel="1" customWidth="1"/>
    <col min="748" max="748" width="11.04" hidden="false" outlineLevel="1" customWidth="1"/>
    <col min="749" max="749" width="11.04" hidden="false" outlineLevel="1" customWidth="1"/>
    <col min="750" max="750" width="11.04" hidden="false" outlineLevel="1" customWidth="1"/>
    <col min="751" max="751" width="11.04" hidden="false" outlineLevel="1" customWidth="1"/>
    <col min="752" max="752" width="11.04" hidden="false" outlineLevel="1" customWidth="1"/>
    <col min="753" max="753" width="11.04" hidden="false" outlineLevel="1" customWidth="1"/>
    <col min="754" max="754" width="11.04" hidden="false" outlineLevel="1" customWidth="1"/>
    <col min="755" max="755" width="11.04" hidden="false" outlineLevel="1" customWidth="1"/>
    <col min="756" max="756" width="11.04" hidden="false" outlineLevel="1" customWidth="1"/>
    <col min="757" max="757" width="11.04" hidden="false" outlineLevel="1" customWidth="1"/>
    <col min="758" max="758" width="11.04" hidden="false" outlineLevel="1" customWidth="1"/>
    <col min="759" max="759" width="11.04" hidden="false" outlineLevel="1" customWidth="1"/>
    <col min="760" max="760" width="11.04" hidden="false" outlineLevel="1" customWidth="1"/>
    <col min="761" max="761" width="11.04" hidden="false" outlineLevel="1" customWidth="1"/>
    <col min="762" max="762" width="11.04" hidden="false" outlineLevel="1" customWidth="1"/>
    <col min="763" max="763" width="11.04" hidden="false" outlineLevel="1" customWidth="1"/>
    <col min="764" max="764" width="11.04" hidden="false" outlineLevel="1" customWidth="1"/>
    <col min="765" max="765" width="11.04" hidden="false" outlineLevel="1" customWidth="1"/>
    <col min="766" max="766" width="11.04" hidden="false" outlineLevel="1" customWidth="1"/>
    <col min="767" max="767" width="11.04" hidden="false" outlineLevel="1" customWidth="1"/>
    <col min="768" max="768" width="11.04" hidden="false" outlineLevel="1" customWidth="1"/>
    <col min="769" max="769" width="11.04" hidden="false" outlineLevel="1" customWidth="1"/>
    <col min="770" max="770" width="11.04" hidden="false" outlineLevel="1" customWidth="1"/>
    <col min="771" max="771" width="11.04" hidden="false" outlineLevel="1" customWidth="1"/>
    <col min="772" max="772" width="11.04" hidden="false" outlineLevel="1" customWidth="1"/>
    <col min="773" max="773" width="11.04" hidden="false" outlineLevel="1" customWidth="1"/>
    <col min="774" max="774" width="11.04" hidden="false" outlineLevel="1" customWidth="1"/>
    <col min="775" max="775" width="11.04" hidden="false" outlineLevel="1" customWidth="1"/>
    <col min="776" max="776" width="11.04" hidden="false" outlineLevel="1" customWidth="1"/>
    <col min="777" max="777" width="11.04" hidden="false" outlineLevel="1" customWidth="1"/>
    <col min="778" max="778" width="11.04" hidden="false" outlineLevel="1" customWidth="1"/>
    <col min="779" max="779" width="11.04" hidden="false" outlineLevel="1" customWidth="1"/>
    <col min="780" max="780" width="11.04" hidden="false" outlineLevel="1" customWidth="1"/>
    <col min="781" max="781" width="11.04" hidden="false" outlineLevel="1" customWidth="1"/>
    <col min="782" max="782" width="11.04" hidden="false" outlineLevel="1" customWidth="1"/>
    <col min="783" max="783" width="11.04" hidden="false" outlineLevel="1" customWidth="1"/>
    <col min="784" max="784" width="11.04" hidden="false" outlineLevel="1" customWidth="1"/>
    <col min="785" max="785" width="11.04" hidden="false" outlineLevel="1" customWidth="1"/>
    <col min="786" max="786" width="11.04" hidden="false" outlineLevel="1" customWidth="1"/>
    <col min="787" max="787" width="11.04" hidden="false" outlineLevel="1" customWidth="1"/>
    <col min="788" max="788" width="11.04" hidden="false" outlineLevel="1" customWidth="1"/>
    <col min="789" max="789" width="11.04" hidden="false" outlineLevel="1" customWidth="1"/>
    <col min="790" max="790" width="11.04" hidden="false" outlineLevel="1" customWidth="1"/>
    <col min="791" max="791" width="11.04" hidden="false" outlineLevel="1" customWidth="1"/>
    <col min="792" max="792" width="11.04" hidden="false" outlineLevel="1" customWidth="1"/>
    <col min="793" max="793" width="11.04" hidden="false" outlineLevel="1" customWidth="1"/>
    <col min="794" max="794" width="11.04" hidden="false" outlineLevel="1" customWidth="1"/>
    <col min="795" max="795" width="11.04" hidden="false" outlineLevel="1" customWidth="1"/>
    <col min="796" max="796" width="11.04" hidden="false" outlineLevel="1" customWidth="1"/>
    <col min="797" max="797" width="11.04" hidden="false" outlineLevel="1" customWidth="1"/>
    <col min="798" max="798" width="11.04" hidden="false" outlineLevel="1" customWidth="1"/>
    <col min="799" max="799" width="11.04" hidden="false" outlineLevel="1" customWidth="1"/>
    <col min="800" max="800" width="11.04" hidden="false" outlineLevel="1" customWidth="1"/>
    <col min="801" max="801" width="11.04" hidden="false" outlineLevel="1" customWidth="1"/>
    <col min="802" max="802" width="11.04" hidden="false" outlineLevel="1" customWidth="1"/>
    <col min="803" max="803" width="11.04" hidden="false" outlineLevel="1" customWidth="1"/>
    <col min="804" max="804" width="11.04" hidden="false" outlineLevel="1" customWidth="1"/>
    <col min="805" max="805" width="11.04" hidden="false" outlineLevel="1" customWidth="1"/>
    <col min="806" max="806" width="11.04" hidden="false" outlineLevel="1" customWidth="1"/>
    <col min="807" max="807" width="11.04" hidden="false" outlineLevel="1" customWidth="1"/>
    <col min="808" max="808" width="11.04" hidden="false" outlineLevel="1" customWidth="1"/>
    <col min="809" max="809" width="11.04" hidden="false" outlineLevel="1" customWidth="1"/>
    <col min="810" max="810" width="11.04" hidden="false" outlineLevel="1" customWidth="1"/>
    <col min="811" max="811" width="11.04" hidden="false" outlineLevel="1" customWidth="1"/>
    <col min="812" max="812" width="11.04" hidden="false" outlineLevel="1" customWidth="1"/>
    <col min="813" max="813" width="11.04" hidden="false" outlineLevel="1" customWidth="1"/>
    <col min="814" max="814" width="11.04" hidden="false" outlineLevel="1" customWidth="1"/>
    <col min="815" max="815" width="11.04" hidden="false" outlineLevel="1" customWidth="1"/>
    <col min="816" max="816" width="11.04" hidden="false" outlineLevel="1" customWidth="1"/>
    <col min="817" max="817" width="11.04" hidden="false" outlineLevel="1" customWidth="1"/>
    <col min="818" max="818" width="11.04" hidden="false" outlineLevel="1" customWidth="1"/>
    <col min="819" max="819" width="11.04" hidden="false" outlineLevel="1" customWidth="1"/>
    <col min="820" max="820" width="11.04" hidden="false" outlineLevel="1" customWidth="1"/>
    <col min="821" max="821" width="11.04" hidden="false" outlineLevel="1" customWidth="1"/>
    <col min="822" max="822" width="11.04" hidden="false" outlineLevel="1" customWidth="1"/>
    <col min="823" max="823" width="11.04" hidden="false" outlineLevel="1" customWidth="1"/>
    <col min="824" max="824" width="11.04" hidden="false" outlineLevel="1" customWidth="1"/>
    <col min="825" max="825" width="11.04" hidden="false" outlineLevel="1" customWidth="1"/>
    <col min="826" max="826" width="11.04" hidden="false" outlineLevel="1" customWidth="1"/>
    <col min="827" max="827" width="11.04" hidden="false" outlineLevel="1" customWidth="1"/>
    <col min="828" max="828" width="11.04" hidden="false" outlineLevel="1" customWidth="1"/>
    <col min="829" max="829" width="11.04" hidden="false" outlineLevel="1" customWidth="1"/>
    <col min="830" max="830" width="11.04" hidden="false" outlineLevel="1" customWidth="1"/>
    <col min="831" max="831" width="11.04" hidden="false" outlineLevel="1" customWidth="1"/>
    <col min="832" max="832" width="11.04" hidden="false" outlineLevel="1" customWidth="1"/>
    <col min="833" max="833" width="11.04" hidden="false" outlineLevel="1" customWidth="1"/>
    <col min="834" max="834" width="11.04" hidden="false" outlineLevel="1" customWidth="1"/>
    <col min="835" max="835" width="11.04" hidden="false" outlineLevel="1" customWidth="1"/>
    <col min="836" max="836" width="11.04" hidden="false" outlineLevel="1" customWidth="1"/>
    <col min="837" max="837" width="11.04" hidden="false" outlineLevel="1" customWidth="1"/>
    <col min="838" max="838" width="11.04" hidden="false" outlineLevel="1" customWidth="1"/>
    <col min="839" max="839" width="11.04" hidden="false" outlineLevel="1" customWidth="1"/>
    <col min="840" max="840" width="11.04" hidden="false" outlineLevel="1" customWidth="1"/>
    <col min="841" max="841" width="11.04" hidden="false" outlineLevel="1" customWidth="1"/>
    <col min="842" max="842" width="11.04" hidden="false" outlineLevel="1" customWidth="1"/>
    <col min="843" max="843" width="11.04" hidden="false" outlineLevel="1" customWidth="1"/>
    <col min="844" max="844" width="11.04" hidden="false" outlineLevel="1" customWidth="1"/>
    <col min="845" max="845" width="11.04" hidden="false" outlineLevel="1" customWidth="1"/>
    <col min="846" max="846" width="11.04" hidden="false" outlineLevel="1" customWidth="1"/>
    <col min="847" max="847" width="11.04" hidden="false" outlineLevel="1" customWidth="1"/>
    <col min="848" max="848" width="11.04" hidden="false" outlineLevel="1" customWidth="1"/>
    <col min="849" max="849" width="11.04" hidden="false" outlineLevel="1" customWidth="1"/>
    <col min="850" max="850" width="11.04" hidden="false" outlineLevel="1" customWidth="1"/>
    <col min="851" max="851" width="11.04" hidden="false" outlineLevel="1" customWidth="1"/>
    <col min="852" max="852" width="11.04" hidden="false" outlineLevel="1" customWidth="1"/>
    <col min="853" max="853" width="11.04" hidden="false" outlineLevel="1" customWidth="1"/>
    <col min="854" max="854" width="11.04" hidden="false" outlineLevel="1" customWidth="1"/>
    <col min="855" max="855" width="11.04" hidden="false" outlineLevel="1" customWidth="1"/>
    <col min="856" max="856" width="11.04" hidden="false" outlineLevel="1" customWidth="1"/>
    <col min="857" max="857" width="11.04" hidden="false" outlineLevel="1" customWidth="1"/>
    <col min="858" max="858" width="11.04" hidden="false" outlineLevel="1" customWidth="1"/>
    <col min="859" max="859" width="11.04" hidden="false" outlineLevel="1" customWidth="1"/>
    <col min="860" max="860" width="11.04" hidden="false" outlineLevel="1" customWidth="1"/>
    <col min="861" max="861" width="11.04" hidden="false" outlineLevel="1" customWidth="1"/>
    <col min="862" max="862" width="11.04" hidden="false" outlineLevel="1" customWidth="1"/>
    <col min="863" max="863" width="11.04" hidden="false" outlineLevel="1" customWidth="1"/>
    <col min="864" max="864" width="11.04" hidden="false" outlineLevel="1" customWidth="1"/>
    <col min="865" max="865" width="11.04" hidden="false" outlineLevel="1" customWidth="1"/>
    <col min="866" max="866" width="11.04" hidden="false" outlineLevel="1" customWidth="1"/>
    <col min="867" max="867" width="11.04" hidden="false" outlineLevel="1" customWidth="1"/>
    <col min="868" max="868" width="11.04" hidden="false" outlineLevel="1" customWidth="1"/>
    <col min="869" max="869" width="11.04" hidden="false" outlineLevel="1" customWidth="1"/>
    <col min="870" max="870" width="11.04" hidden="false" outlineLevel="1" customWidth="1"/>
    <col min="871" max="871" width="11.04" hidden="false" outlineLevel="1" customWidth="1"/>
    <col min="872" max="872" width="11.04" hidden="false" outlineLevel="1" customWidth="1"/>
    <col min="873" max="873" width="11.04" hidden="false" outlineLevel="1" customWidth="1"/>
    <col min="874" max="874" width="11.04" hidden="false" outlineLevel="1" customWidth="1"/>
    <col min="875" max="875" width="11.04" hidden="false" outlineLevel="1" customWidth="1"/>
    <col min="876" max="876" width="11.04" hidden="false" outlineLevel="1" customWidth="1"/>
    <col min="877" max="877" width="11.04" hidden="false" outlineLevel="1" customWidth="1"/>
    <col min="878" max="878" width="11.04" hidden="false" outlineLevel="1" customWidth="1"/>
    <col min="879" max="879" width="11.04" hidden="false" outlineLevel="1" customWidth="1"/>
    <col min="880" max="880" width="11.04" hidden="false" outlineLevel="1" customWidth="1"/>
    <col min="881" max="881" width="11.04" hidden="false" outlineLevel="1" customWidth="1"/>
    <col min="882" max="882" width="11.04" hidden="false" outlineLevel="1" customWidth="1"/>
    <col min="883" max="883" width="11.04" hidden="false" outlineLevel="1" customWidth="1"/>
    <col min="884" max="884" width="11.04" hidden="false" outlineLevel="1" customWidth="1"/>
    <col min="885" max="885" width="11.04" hidden="false" outlineLevel="1" customWidth="1"/>
    <col min="886" max="886" width="11.04" hidden="false" outlineLevel="1" customWidth="1"/>
    <col min="887" max="887" width="11.04" hidden="false" outlineLevel="1" customWidth="1"/>
    <col min="888" max="888" width="11.04" hidden="false" outlineLevel="1" customWidth="1"/>
    <col min="889" max="889" width="11.04" hidden="false" outlineLevel="1" customWidth="1"/>
    <col min="890" max="890" width="11.04" hidden="false" outlineLevel="1" customWidth="1"/>
    <col min="891" max="891" width="11.04" hidden="false" outlineLevel="1" customWidth="1"/>
    <col min="892" max="892" width="11.04" hidden="false" outlineLevel="1" customWidth="1"/>
    <col min="893" max="893" width="11.04" hidden="false" outlineLevel="1" customWidth="1"/>
    <col min="894" max="894" width="11.04" hidden="false" outlineLevel="1" customWidth="1"/>
    <col min="895" max="895" width="11.04" hidden="false" outlineLevel="1" customWidth="1"/>
    <col min="896" max="896" width="11.04" hidden="false" outlineLevel="1" customWidth="1"/>
    <col min="897" max="897" width="11.04" hidden="false" outlineLevel="1" customWidth="1"/>
    <col min="898" max="898" width="11.04" hidden="false" outlineLevel="1" customWidth="1"/>
    <col min="899" max="899" width="11.04" hidden="false" outlineLevel="1" customWidth="1"/>
    <col min="900" max="900" width="11.04" hidden="false" outlineLevel="1" customWidth="1"/>
    <col min="901" max="901" width="11.04" hidden="false" outlineLevel="1" customWidth="1"/>
    <col min="902" max="902" width="11.04" hidden="false" outlineLevel="1" customWidth="1"/>
    <col min="903" max="903" width="11.04" hidden="false" outlineLevel="1" customWidth="1"/>
    <col min="904" max="904" width="11.04" hidden="false" outlineLevel="1" customWidth="1"/>
    <col min="905" max="905" width="11.04" hidden="false" outlineLevel="1" customWidth="1"/>
    <col min="906" max="906" width="11.04" hidden="false" outlineLevel="1" customWidth="1"/>
    <col min="907" max="907" width="11.04" hidden="false" outlineLevel="1" customWidth="1"/>
    <col min="908" max="908" width="11.04" hidden="false" outlineLevel="1" customWidth="1"/>
    <col min="909" max="909" width="11.04" hidden="false" outlineLevel="1" customWidth="1"/>
    <col min="910" max="910" width="11.04" hidden="false" outlineLevel="1" customWidth="1"/>
    <col min="911" max="911" width="11.04" hidden="false" outlineLevel="1" customWidth="1"/>
    <col min="912" max="912" width="11.04" hidden="false" outlineLevel="1" customWidth="1"/>
    <col min="913" max="913" width="11.04" hidden="false" outlineLevel="1" customWidth="1"/>
    <col min="914" max="914" width="11.04" hidden="false" outlineLevel="1" customWidth="1"/>
    <col min="915" max="915" width="11.04" hidden="false" outlineLevel="1" customWidth="1"/>
    <col min="916" max="916" width="11.04" hidden="false" outlineLevel="1" customWidth="1"/>
    <col min="917" max="917" width="11.04" hidden="false" outlineLevel="1" customWidth="1"/>
    <col min="918" max="918" width="11.04" hidden="false" outlineLevel="1" customWidth="1"/>
    <col min="919" max="919" width="11.04" hidden="false" outlineLevel="1" customWidth="1"/>
    <col min="920" max="920" width="11.04" hidden="false" outlineLevel="1" customWidth="1"/>
    <col min="921" max="921" width="11.04" hidden="false" outlineLevel="1" customWidth="1"/>
    <col min="922" max="922" width="11.04" hidden="false" outlineLevel="1" customWidth="1"/>
    <col min="923" max="923" width="11.04" hidden="false" outlineLevel="1" customWidth="1"/>
    <col min="924" max="924" width="11.04" hidden="false" outlineLevel="1" customWidth="1"/>
    <col min="925" max="925" width="11.04" hidden="false" outlineLevel="1" customWidth="1"/>
    <col min="926" max="926" width="11.04" hidden="false" outlineLevel="1" customWidth="1"/>
    <col min="927" max="927" width="11.04" hidden="false" outlineLevel="1" customWidth="1"/>
    <col min="928" max="928" width="11.04" hidden="false" outlineLevel="1" customWidth="1"/>
    <col min="929" max="929" width="11.04" hidden="false" outlineLevel="1" customWidth="1"/>
    <col min="930" max="930" width="11.04" hidden="false" outlineLevel="1" customWidth="1"/>
    <col min="931" max="931" width="11.04" hidden="false" outlineLevel="1" customWidth="1"/>
    <col min="932" max="932" width="11.04" hidden="false" outlineLevel="1" customWidth="1"/>
    <col min="933" max="933" width="11.04" hidden="false" outlineLevel="1" customWidth="1"/>
    <col min="934" max="934" width="11.04" hidden="false" outlineLevel="1" customWidth="1"/>
    <col min="935" max="935" width="11.04" hidden="false" outlineLevel="1" customWidth="1"/>
    <col min="936" max="936" width="11.04" hidden="false" outlineLevel="1" customWidth="1"/>
    <col min="937" max="937" width="11.04" hidden="false" outlineLevel="1" customWidth="1"/>
    <col min="938" max="938" width="11.04" hidden="false" outlineLevel="1" customWidth="1"/>
    <col min="939" max="939" width="11.04" hidden="false" outlineLevel="1" customWidth="1"/>
    <col min="940" max="940" width="11.04" hidden="false" outlineLevel="1" customWidth="1"/>
    <col min="941" max="941" width="11.04" hidden="false" outlineLevel="1" customWidth="1"/>
    <col min="942" max="942" width="11.04" hidden="false" outlineLevel="1" customWidth="1"/>
    <col min="943" max="943" width="11.04" hidden="false" outlineLevel="1" customWidth="1"/>
    <col min="944" max="944" width="11.04" hidden="false" outlineLevel="1" customWidth="1"/>
    <col min="945" max="945" width="11.04" hidden="false" outlineLevel="1" customWidth="1"/>
    <col min="946" max="946" width="11.04" hidden="false" outlineLevel="1" customWidth="1"/>
    <col min="947" max="947" width="11.04" hidden="false" outlineLevel="1" customWidth="1"/>
    <col min="948" max="948" width="11.04" hidden="false" outlineLevel="1" customWidth="1"/>
    <col min="949" max="949" width="11.04" hidden="false" outlineLevel="1" customWidth="1"/>
    <col min="950" max="950" width="11.04" hidden="false" outlineLevel="1" customWidth="1"/>
    <col min="951" max="951" width="11.04" hidden="false" outlineLevel="1" customWidth="1"/>
    <col min="952" max="952" width="11.04" hidden="false" outlineLevel="1" customWidth="1"/>
    <col min="953" max="953" width="11.04" hidden="false" outlineLevel="1" customWidth="1"/>
    <col min="954" max="954" width="11.04" hidden="false" outlineLevel="1" customWidth="1"/>
    <col min="955" max="955" width="11.04" hidden="false" outlineLevel="1" customWidth="1"/>
    <col min="956" max="956" width="11.04" hidden="false" outlineLevel="1" customWidth="1"/>
    <col min="957" max="957" width="11.04" hidden="false" outlineLevel="1" customWidth="1"/>
    <col min="958" max="958" width="11.04" hidden="false" outlineLevel="1" customWidth="1"/>
    <col min="959" max="959" width="11.04" hidden="false" outlineLevel="1" customWidth="1"/>
    <col min="960" max="960" width="11.04" hidden="false" outlineLevel="1" customWidth="1"/>
    <col min="961" max="961" width="11.04" hidden="false" outlineLevel="1" customWidth="1"/>
    <col min="962" max="962" width="11.04" hidden="false" outlineLevel="1" customWidth="1"/>
    <col min="963" max="963" width="11.04" hidden="false" outlineLevel="1" customWidth="1"/>
    <col min="964" max="964" width="11.04" hidden="false" outlineLevel="1" customWidth="1"/>
    <col min="965" max="965" width="11.04" hidden="false" outlineLevel="1" customWidth="1"/>
    <col min="966" max="966" width="11.04" hidden="false" outlineLevel="1" customWidth="1"/>
    <col min="967" max="967" width="11.04" hidden="false" outlineLevel="1" customWidth="1"/>
    <col min="968" max="968" width="11.04" hidden="false" outlineLevel="1" customWidth="1"/>
    <col min="969" max="969" width="11.04" hidden="false" outlineLevel="1" customWidth="1"/>
    <col min="970" max="970" width="11.04" hidden="false" outlineLevel="1" customWidth="1"/>
    <col min="971" max="971" width="11.04" hidden="false" outlineLevel="1" customWidth="1"/>
    <col min="972" max="972" width="11.04" hidden="false" outlineLevel="1" customWidth="1"/>
    <col min="973" max="973" width="11.04" hidden="false" outlineLevel="1" customWidth="1"/>
    <col min="974" max="974" width="11.04" hidden="false" outlineLevel="1" customWidth="1"/>
    <col min="975" max="975" width="11.04" hidden="false" outlineLevel="1" customWidth="1"/>
    <col min="976" max="976" width="11.04" hidden="false" outlineLevel="1" customWidth="1"/>
    <col min="977" max="977" width="11.04" hidden="false" outlineLevel="1" customWidth="1"/>
    <col min="978" max="978" width="11.04" hidden="false" outlineLevel="1" customWidth="1"/>
    <col min="979" max="979" width="11.04" hidden="false" outlineLevel="1" customWidth="1"/>
    <col min="980" max="980" width="11.04" hidden="false" outlineLevel="1" customWidth="1"/>
    <col min="981" max="981" width="11.04" hidden="false" outlineLevel="1" customWidth="1"/>
    <col min="982" max="982" width="11.04" hidden="false" outlineLevel="1" customWidth="1"/>
    <col min="983" max="983" width="11.04" hidden="false" outlineLevel="1" customWidth="1"/>
    <col min="984" max="984" width="11.04" hidden="false" outlineLevel="1" customWidth="1"/>
    <col min="985" max="985" width="11.04" hidden="false" outlineLevel="1" customWidth="1"/>
    <col min="986" max="986" width="11.04" hidden="false" outlineLevel="1" customWidth="1"/>
    <col min="987" max="987" width="11.04" hidden="false" outlineLevel="1" customWidth="1"/>
    <col min="988" max="988" width="11.04" hidden="false" outlineLevel="1" customWidth="1"/>
    <col min="989" max="989" width="11.04" hidden="false" outlineLevel="1" customWidth="1"/>
    <col min="990" max="990" width="11.04" hidden="false" outlineLevel="1" customWidth="1"/>
    <col min="991" max="991" width="11.04" hidden="false" outlineLevel="1" customWidth="1"/>
    <col min="992" max="992" width="11.04" hidden="false" outlineLevel="1" customWidth="1"/>
    <col min="993" max="993" width="11.04" hidden="false" outlineLevel="1" customWidth="1"/>
    <col min="994" max="994" width="11.04" hidden="false" outlineLevel="1" customWidth="1"/>
    <col min="995" max="995" width="11.04" hidden="false" outlineLevel="1" customWidth="1"/>
    <col min="996" max="996" width="11.04" hidden="false" outlineLevel="1" customWidth="1"/>
    <col min="997" max="997" width="11.04" hidden="false" outlineLevel="1" customWidth="1"/>
    <col min="998" max="998" width="11.04" hidden="false" outlineLevel="1" customWidth="1"/>
    <col min="999" max="999" width="11.04" hidden="false" outlineLevel="1" customWidth="1"/>
    <col min="1000" max="1000" width="11.04" hidden="false" outlineLevel="1" customWidth="1"/>
    <col min="1001" max="1001" width="11.04" hidden="false" outlineLevel="1" customWidth="1"/>
    <col min="1002" max="1002" width="11.04" hidden="false" outlineLevel="1" customWidth="1"/>
    <col min="1003" max="1003" width="11.04" hidden="false" outlineLevel="1" customWidth="1"/>
    <col min="1004" max="1004" width="11.04" hidden="false" outlineLevel="1" customWidth="1"/>
    <col min="1005" max="1005" width="11.04" hidden="false" outlineLevel="1" customWidth="1"/>
    <col min="1006" max="1006" width="11.04" hidden="false" outlineLevel="1" customWidth="1"/>
    <col min="1007" max="1007" width="11.04" hidden="false" outlineLevel="1" customWidth="1"/>
    <col min="1008" max="1008" width="11.04" hidden="false" outlineLevel="1" customWidth="1"/>
    <col min="1009" max="1009" width="11.04" hidden="false" outlineLevel="1" customWidth="1"/>
    <col min="1010" max="1010" width="11.04" hidden="false" outlineLevel="1" customWidth="1"/>
    <col min="1011" max="1011" width="11.04" hidden="false" outlineLevel="1" customWidth="1"/>
    <col min="1012" max="1012" width="11.04" hidden="false" outlineLevel="1" customWidth="1"/>
    <col min="1013" max="1013" width="11.04" hidden="false" outlineLevel="1" customWidth="1"/>
    <col min="1014" max="1014" width="11.04" hidden="false" outlineLevel="1" customWidth="1"/>
    <col min="1015" max="1015" width="11.04" hidden="false" outlineLevel="1" customWidth="1"/>
    <col min="1016" max="1016" width="11.04" hidden="false" outlineLevel="1" customWidth="1"/>
    <col min="1017" max="1017" width="11.04" hidden="false" outlineLevel="1" customWidth="1"/>
    <col min="1018" max="1018" width="11.04" hidden="false" outlineLevel="1" customWidth="1"/>
    <col min="1019" max="1019" width="11.04" hidden="false" outlineLevel="1" customWidth="1"/>
    <col min="1020" max="1020" width="11.04" hidden="false" outlineLevel="1" customWidth="1"/>
    <col min="1021" max="1021" width="11.04" hidden="false" outlineLevel="1" customWidth="1"/>
    <col min="1022" max="1022" width="11.04" hidden="false" outlineLevel="1" customWidth="1"/>
    <col min="1023" max="1023" width="11.04" hidden="false" outlineLevel="1" customWidth="1"/>
    <col min="1024" max="1024" width="11.04" hidden="false" outlineLevel="1" customWidth="1"/>
    <col min="1025" max="1025" width="11.04" hidden="false" outlineLevel="1" customWidth="1"/>
  </cols>
  <sheetData>
    <row r="1" ht="54" customHeight="1">
      <c r="A1" s="353"/>
      <c r="B1" s="353" t="s">
        <v>3385</v>
      </c>
      <c r="J1" s="1865" t="s">
        <v>3386</v>
      </c>
      <c r="K1" s="1192"/>
    </row>
    <row r="2" ht="13.5" customHeight="1">
      <c r="J2" s="1192"/>
      <c r="K2" s="1192"/>
    </row>
    <row r="3" ht="15.75" customHeight="1">
      <c r="A3" s="1866" t="s">
        <v>3387</v>
      </c>
      <c r="B3" s="1866"/>
      <c r="C3" s="1866"/>
      <c r="D3" s="1866"/>
      <c r="E3" s="1866"/>
      <c r="I3" s="1866" t="s">
        <v>3297</v>
      </c>
      <c r="J3" s="1867" t="s">
        <v>2823</v>
      </c>
      <c r="K3" s="1866" t="s">
        <v>2824</v>
      </c>
    </row>
    <row r="4" ht="15.75" customHeight="1">
      <c r="A4" s="1868" t="s">
        <v>3388</v>
      </c>
      <c r="B4" s="1869" t="s">
        <v>3389</v>
      </c>
      <c r="C4" s="1870" t="s">
        <v>3390</v>
      </c>
      <c r="D4" s="1871" t="s">
        <v>3391</v>
      </c>
      <c r="E4" s="1866" t="s">
        <v>3392</v>
      </c>
      <c r="I4" s="1872" t="s">
        <v>471</v>
      </c>
      <c r="J4" s="1873" t="n">
        <f aca="false">'Dimension agroécologique'!H6</f>
        <v>3</v>
      </c>
      <c r="K4" s="1872" t="n">
        <f aca="false">'Bilan durabilité'!F10</f>
        <v>3</v>
      </c>
    </row>
    <row r="5" ht="15" customHeight="1">
      <c r="A5" s="1874" t="s">
        <v>3393</v>
      </c>
      <c r="B5" s="1302" t="s">
        <v>3394</v>
      </c>
      <c r="C5" s="1875" t="s">
        <v>3395</v>
      </c>
      <c r="D5" s="1876" t="n">
        <f aca="false">Notice!K4</f>
        <v>0</v>
      </c>
      <c r="E5" s="1877" t="str">
        <f aca="false">$B$1&amp;D5&amp;$B$1</f>
        <v>"0"</v>
      </c>
      <c r="I5" s="1878" t="s">
        <v>3305</v>
      </c>
      <c r="J5" s="1879" t="n">
        <f aca="false">'Dimension agroécologique'!H22</f>
        <v>2</v>
      </c>
      <c r="K5" s="1878" t="n">
        <f aca="false">'Bilan durabilité'!F11</f>
        <v>2</v>
      </c>
    </row>
    <row r="6" ht="15" customHeight="1">
      <c r="A6" s="1880" t="s">
        <v>3396</v>
      </c>
      <c r="B6" s="1881" t="s">
        <v>3397</v>
      </c>
      <c r="C6" s="1882" t="s">
        <v>3398</v>
      </c>
      <c r="D6" s="1883" t="n">
        <f aca="false">'Saisie et Calculateur'!B5</f>
        <v>100003</v>
      </c>
      <c r="E6" s="1880" t="str">
        <f aca="false">$B$1&amp;D6&amp;$B$1</f>
        <v>"100003"</v>
      </c>
      <c r="I6" s="1878" t="s">
        <v>3307</v>
      </c>
      <c r="J6" s="1879" t="n">
        <f aca="false">'Dimension agroécologique'!H45</f>
        <v>0</v>
      </c>
      <c r="K6" s="1878" t="n">
        <f aca="false">'Bilan durabilité'!F12</f>
        <v>0</v>
      </c>
    </row>
    <row r="7" ht="15" customHeight="1">
      <c r="A7" s="1880" t="s">
        <v>3399</v>
      </c>
      <c r="B7" s="1881" t="s">
        <v>3400</v>
      </c>
      <c r="C7" s="1882" t="s">
        <v>3401</v>
      </c>
      <c r="D7" s="1883" t="n">
        <f aca="false">'Saisie et Calculateur'!B24</f>
        <v>77</v>
      </c>
      <c r="E7" s="1880" t="n">
        <f aca="false">IF(ISNUMBER(SEARCH(",",D7))=TRUE(),REPLACE(D7,SEARCH(",",D7),1,"."),D7)</f>
        <v>77</v>
      </c>
      <c r="I7" s="1878" t="s">
        <v>3309</v>
      </c>
      <c r="J7" s="1879" t="n">
        <f aca="false">'Dimension agroécologique'!H69</f>
        <v>1</v>
      </c>
      <c r="K7" s="1878" t="n">
        <f aca="false">'Bilan durabilité'!F13</f>
        <v>1</v>
      </c>
    </row>
    <row r="8" ht="15.75" customHeight="1">
      <c r="A8" s="1880" t="s">
        <v>3402</v>
      </c>
      <c r="B8" s="1881" t="s">
        <v>3403</v>
      </c>
      <c r="C8" s="1882" t="s">
        <v>3401</v>
      </c>
      <c r="D8" s="1883" t="n">
        <f aca="false">'Saisie et Calculateur'!B37</f>
        <v>2</v>
      </c>
      <c r="E8" s="1880" t="n">
        <f aca="false">IF(ISNUMBER(SEARCH(",",D8))=TRUE(),REPLACE(D8,SEARCH(",",D8),1,"."),D8)</f>
        <v>2</v>
      </c>
      <c r="I8" s="1879" t="s">
        <v>3311</v>
      </c>
      <c r="J8" s="1884" t="n">
        <f aca="false">'Dimension agroécologique'!H85</f>
        <v>2</v>
      </c>
      <c r="K8" s="1879" t="n">
        <f aca="false">'Bilan durabilité'!F14</f>
        <v>2</v>
      </c>
    </row>
    <row r="9" ht="15" customHeight="1">
      <c r="A9" s="1880" t="s">
        <v>3404</v>
      </c>
      <c r="B9" s="1881" t="s">
        <v>3405</v>
      </c>
      <c r="C9" s="1882" t="s">
        <v>3406</v>
      </c>
      <c r="D9" s="1883" t="n">
        <f aca="false">'Saisie et Calculateur'!B42</f>
        <v>0</v>
      </c>
      <c r="E9" s="1880" t="n">
        <f aca="false">IF(ISNUMBER(SEARCH(",",D9))=TRUE(),REPLACE(D9,SEARCH(",",D9),1,"."),D9)</f>
        <v>0</v>
      </c>
      <c r="I9" s="1872" t="s">
        <v>3314</v>
      </c>
      <c r="J9" s="1873" t="n">
        <f aca="false">'Dimension agroécologique'!H100</f>
        <v>2</v>
      </c>
      <c r="K9" s="1872" t="n">
        <f aca="false">'Bilan durabilité'!F15</f>
        <v>2</v>
      </c>
    </row>
    <row r="10" ht="30" customHeight="1">
      <c r="A10" s="1885" t="s">
        <v>3407</v>
      </c>
      <c r="B10" s="1886" t="s">
        <v>3408</v>
      </c>
      <c r="C10" s="1887" t="s">
        <v>3409</v>
      </c>
      <c r="D10" s="1888" t="str">
        <f aca="false">'Saisie et Calculateur'!F38</f>
        <v>36-45</v>
      </c>
      <c r="E10" s="1885" t="str">
        <f aca="false">$B$1&amp;D10&amp;$B$1</f>
        <v>"36-45"</v>
      </c>
      <c r="I10" s="1878" t="s">
        <v>3316</v>
      </c>
      <c r="J10" s="1879" t="n">
        <f aca="false">IF('Saisie et Calculateur'!B19="non","Pas d'élevage",'Dimension agroécologique'!H111)</f>
        <v>0</v>
      </c>
      <c r="K10" s="1878" t="n">
        <f aca="false">'Bilan durabilité'!F16</f>
        <v>0</v>
      </c>
    </row>
    <row r="11" ht="15.75" customHeight="1">
      <c r="A11" s="1880" t="s">
        <v>3410</v>
      </c>
      <c r="B11" s="1881" t="s">
        <v>3411</v>
      </c>
      <c r="C11" s="1882" t="s">
        <v>3412</v>
      </c>
      <c r="D11" s="1883" t="str">
        <f aca="false">'Saisie et Calculateur'!B17</f>
        <v>6184 - Polyculture et/ou polyélevage (et apiculture)</v>
      </c>
      <c r="E11" s="1880" t="str">
        <f aca="false">$B$1&amp;D11&amp;$B$1</f>
        <v>"6184 - Polyculture et/ou polyélevage (et apiculture)"</v>
      </c>
      <c r="I11" s="1879" t="s">
        <v>3318</v>
      </c>
      <c r="J11" s="1884" t="n">
        <f aca="false">'Dimension agroécologique'!H121</f>
        <v>3</v>
      </c>
      <c r="K11" s="1879" t="n">
        <f aca="false">'Bilan durabilité'!F17</f>
        <v>3</v>
      </c>
    </row>
    <row r="12" ht="15" customHeight="1">
      <c r="A12" s="1880" t="s">
        <v>3413</v>
      </c>
      <c r="B12" s="1881" t="s">
        <v>3414</v>
      </c>
      <c r="C12" s="1882" t="s">
        <v>3406</v>
      </c>
      <c r="D12" s="1883" t="n">
        <f aca="false">('Saisie et Calculateur'!B26+'Saisie et Calculateur'!B27)/D7</f>
        <v>0.012987012987013</v>
      </c>
      <c r="E12" s="1880" t="str">
        <f aca="false">IF(ISNUMBER(SEARCH(",",D12))=TRUE(),REPLACE(D12,SEARCH(",",D12),1,"."),D12)</f>
        <v>0.012987012987013</v>
      </c>
      <c r="I12" s="1889" t="s">
        <v>3320</v>
      </c>
      <c r="J12" s="1890" t="n">
        <f aca="false">'Dimension agroécologique'!H132</f>
        <v>0</v>
      </c>
      <c r="K12" s="1889" t="n">
        <f aca="false">'Bilan durabilité'!F18</f>
        <v>0</v>
      </c>
    </row>
    <row r="13" ht="15" customHeight="1">
      <c r="A13" s="1880" t="s">
        <v>3415</v>
      </c>
      <c r="B13" s="1881" t="s">
        <v>3416</v>
      </c>
      <c r="C13" s="1882" t="s">
        <v>3417</v>
      </c>
      <c r="D13" s="1883" t="n">
        <f aca="false">'Saisie et Calculateur'!I1207</f>
        <v>647629</v>
      </c>
      <c r="E13" s="1880" t="n">
        <f aca="false">IF(ISNUMBER(SEARCH(",",D13))=TRUE(),REPLACE(D13,SEARCH(",",D13),1,"."),D13)</f>
        <v>647629</v>
      </c>
      <c r="I13" s="1891" t="s">
        <v>3322</v>
      </c>
      <c r="J13" s="1892" t="n">
        <f aca="false">'Dimension agroécologique'!H140</f>
        <v>6</v>
      </c>
      <c r="K13" s="1891" t="n">
        <f aca="false">'Bilan durabilité'!F19</f>
        <v>6</v>
      </c>
    </row>
    <row r="14" ht="15.75" customHeight="1">
      <c r="A14" s="1880" t="s">
        <v>3418</v>
      </c>
      <c r="B14" s="1881" t="s">
        <v>3419</v>
      </c>
      <c r="C14" s="1882" t="s">
        <v>3420</v>
      </c>
      <c r="D14" s="1883" t="n">
        <f aca="false">'Saisie et Calculateur'!I1187</f>
        <v>111703.5</v>
      </c>
      <c r="E14" s="1880" t="str">
        <f aca="false">IF(ISNUMBER(SEARCH(",",D14))=TRUE(),REPLACE(D14,SEARCH(",",D14),1,"."),D14)</f>
        <v>111703.5</v>
      </c>
      <c r="I14" s="1893" t="s">
        <v>3324</v>
      </c>
      <c r="J14" s="1894" t="n">
        <f aca="false">'Dimension agroécologique'!H147</f>
        <v>5</v>
      </c>
      <c r="K14" s="1893" t="n">
        <f aca="false">'Bilan durabilité'!F20</f>
        <v>5</v>
      </c>
    </row>
    <row r="15" ht="15" customHeight="1">
      <c r="A15" s="1880" t="s">
        <v>3421</v>
      </c>
      <c r="B15" s="1881" t="s">
        <v>856</v>
      </c>
      <c r="C15" s="1882" t="s">
        <v>3420</v>
      </c>
      <c r="D15" s="1883" t="n">
        <f aca="false">'Saisie et Calculateur'!I1189</f>
        <v>64404.5</v>
      </c>
      <c r="E15" s="1880" t="str">
        <f aca="false">IF(ISNUMBER(SEARCH(",",D15))=TRUE(),REPLACE(D15,SEARCH(",",D15),1,"."),D15)</f>
        <v>64404.5</v>
      </c>
      <c r="I15" s="1872" t="s">
        <v>3326</v>
      </c>
      <c r="J15" s="1873" t="n">
        <f aca="false">'Dimension agroécologique'!H154</f>
        <v>9</v>
      </c>
      <c r="K15" s="1872" t="n">
        <f aca="false">'Bilan durabilité'!F21</f>
        <v>8</v>
      </c>
    </row>
    <row r="16" ht="15" customHeight="1">
      <c r="A16" s="1880" t="s">
        <v>3422</v>
      </c>
      <c r="B16" s="1881" t="s">
        <v>3423</v>
      </c>
      <c r="C16" s="1882" t="s">
        <v>3424</v>
      </c>
      <c r="D16" s="1883" t="str">
        <f aca="false">'Saisie et Calculateur'!B15</f>
        <v>32 - Gers</v>
      </c>
      <c r="E16" s="1880" t="str">
        <f aca="false">$B$1&amp;D16&amp;$B$1</f>
        <v>"32 - Gers"</v>
      </c>
      <c r="I16" s="1878" t="s">
        <v>519</v>
      </c>
      <c r="J16" s="1879" t="n">
        <f aca="false">'Dimension agroécologique'!H169</f>
        <v>2</v>
      </c>
      <c r="K16" s="1878" t="n">
        <f aca="false">'Bilan durabilité'!F22</f>
        <v>2</v>
      </c>
    </row>
    <row r="17" ht="15" customHeight="1">
      <c r="A17" s="1880" t="s">
        <v>3425</v>
      </c>
      <c r="B17" s="1881" t="s">
        <v>3426</v>
      </c>
      <c r="C17" s="1882" t="s">
        <v>3009</v>
      </c>
      <c r="D17" s="1883" t="n">
        <f aca="false">IF('Saisie et Calculateur'!F19="oui",1,IF('Saisie et Calculateur'!F19="non",0,"DONNEE MANQUANTE"))</f>
        <v>1</v>
      </c>
      <c r="E17" s="1880" t="n">
        <f aca="false">D17</f>
        <v>1</v>
      </c>
      <c r="I17" s="1878" t="s">
        <v>267</v>
      </c>
      <c r="J17" s="1879" t="n">
        <f aca="false">'Dimension agroécologique'!H189</f>
        <v>2</v>
      </c>
      <c r="K17" s="1878" t="n">
        <f aca="false">'Bilan durabilité'!F23</f>
        <v>2</v>
      </c>
    </row>
    <row r="18" ht="15.75" customHeight="1">
      <c r="A18" s="1880" t="s">
        <v>3427</v>
      </c>
      <c r="B18" s="1881" t="s">
        <v>3428</v>
      </c>
      <c r="C18" s="1882" t="s">
        <v>3429</v>
      </c>
      <c r="D18" s="1883" t="n">
        <f aca="false">'Saisie et Calculateur'!F8</f>
        <v>2019</v>
      </c>
      <c r="E18" s="1880" t="n">
        <f aca="false">D18</f>
        <v>2019</v>
      </c>
      <c r="I18" s="1879" t="s">
        <v>248</v>
      </c>
      <c r="J18" s="1884" t="n">
        <f aca="false">'Dimension agroécologique'!H198</f>
        <v>4</v>
      </c>
      <c r="K18" s="1879" t="n">
        <f aca="false">'Bilan durabilité'!F24</f>
        <v>4</v>
      </c>
    </row>
    <row r="19" ht="30" customHeight="1">
      <c r="A19" s="1885" t="s">
        <v>3430</v>
      </c>
      <c r="B19" s="1886" t="s">
        <v>3431</v>
      </c>
      <c r="C19" s="1887" t="s">
        <v>3432</v>
      </c>
      <c r="D19" s="1888" t="str">
        <f aca="false">'Saisie et Calculateur'!B19</f>
        <v>1 - monogastrique</v>
      </c>
      <c r="E19" s="1885" t="str">
        <f aca="false">$B$1&amp;D19&amp;$B$1</f>
        <v>"1 - monogastrique"</v>
      </c>
      <c r="I19" s="1895" t="s">
        <v>594</v>
      </c>
      <c r="J19" s="1896" t="n">
        <f aca="false">'Dimension agroécologique'!H209</f>
        <v>1</v>
      </c>
      <c r="K19" s="1895" t="n">
        <f aca="false">'Bilan durabilité'!F25</f>
        <v>1</v>
      </c>
    </row>
    <row r="20" ht="15" customHeight="1">
      <c r="A20" s="1880" t="s">
        <v>3433</v>
      </c>
      <c r="B20" s="1881" t="s">
        <v>3434</v>
      </c>
      <c r="C20" s="1882" t="s">
        <v>3406</v>
      </c>
      <c r="D20" s="1883" t="n">
        <f aca="false">'Saisie et Calculateur'!B27/D7</f>
        <v>0.012987012987013</v>
      </c>
      <c r="E20" s="1880" t="str">
        <f aca="false">IF(ISNUMBER(SEARCH(",",D20))=TRUE(),REPLACE(D20,SEARCH(",",D20),1,"."),D20)</f>
        <v>0.012987012987013</v>
      </c>
      <c r="I20" s="1897" t="s">
        <v>493</v>
      </c>
      <c r="J20" s="1898" t="n">
        <f aca="false">'Dimension agroécologique'!H229</f>
        <v>3</v>
      </c>
      <c r="K20" s="1897" t="n">
        <f aca="false">'Bilan durabilité'!F26</f>
        <v>3</v>
      </c>
    </row>
    <row r="21" ht="15.75" customHeight="1">
      <c r="A21" s="1899" t="s">
        <v>3435</v>
      </c>
      <c r="B21" s="1900" t="s">
        <v>3436</v>
      </c>
      <c r="C21" s="1901" t="s">
        <v>3009</v>
      </c>
      <c r="D21" s="1902" t="n">
        <f aca="false">IF('Saisie et Calculateur'!B21="oui",1,IF('Saisie et Calculateur'!B21="non",0,"DONNEE MANQUANTE"))</f>
        <v>1</v>
      </c>
      <c r="E21" s="1899" t="n">
        <f aca="false">D21</f>
        <v>1</v>
      </c>
      <c r="I21" s="1897" t="s">
        <v>559</v>
      </c>
      <c r="J21" s="1898" t="n">
        <f aca="false">'Dimension agroécologique'!H240</f>
        <v>5</v>
      </c>
      <c r="K21" s="1897" t="n">
        <f aca="false">'Bilan durabilité'!F27</f>
        <v>5</v>
      </c>
    </row>
    <row r="22" ht="15.75" customHeight="1">
      <c r="I22" s="1903" t="s">
        <v>260</v>
      </c>
      <c r="J22" s="1904" t="n">
        <f aca="false">'Dimension agroécologique'!H247</f>
        <v>3</v>
      </c>
      <c r="K22" s="1903" t="n">
        <f aca="false">'Bilan durabilité'!F28</f>
        <v>3</v>
      </c>
    </row>
    <row r="23" ht="13.5" customHeight="1">
      <c r="J23" s="1192"/>
      <c r="K23" s="1192"/>
    </row>
    <row r="24" ht="15.75" customHeight="1">
      <c r="A24" s="1866" t="s">
        <v>3437</v>
      </c>
      <c r="B24" s="1866"/>
      <c r="C24" s="1866"/>
      <c r="D24" s="1866"/>
      <c r="E24" s="1866"/>
      <c r="I24" s="1905" t="s">
        <v>3043</v>
      </c>
      <c r="J24" s="1905" t="n">
        <f aca="false">'Dimension socio-territoriale'!H7</f>
        <v>9</v>
      </c>
      <c r="K24" s="1906" t="n">
        <f aca="false">'Bilan durabilité'!F32</f>
        <v>6</v>
      </c>
    </row>
    <row r="25" ht="15.75" customHeight="1">
      <c r="A25" s="1869" t="s">
        <v>3388</v>
      </c>
      <c r="B25" s="1870" t="s">
        <v>3389</v>
      </c>
      <c r="C25" s="1870"/>
      <c r="D25" s="1870" t="s">
        <v>3390</v>
      </c>
      <c r="E25" s="1866" t="s">
        <v>3392</v>
      </c>
      <c r="I25" s="1907" t="s">
        <v>230</v>
      </c>
      <c r="J25" s="1907" t="n">
        <f aca="false">'Dimension socio-territoriale'!H19</f>
        <v>6</v>
      </c>
      <c r="K25" s="1908" t="n">
        <f aca="false">'Bilan durabilité'!F33</f>
        <v>6</v>
      </c>
    </row>
    <row r="26" ht="15" customHeight="1">
      <c r="A26" s="1909" t="s">
        <v>3438</v>
      </c>
      <c r="B26" s="1910" t="s">
        <v>2829</v>
      </c>
      <c r="D26" s="1715" t="s">
        <v>3439</v>
      </c>
      <c r="E26" s="1874" t="n">
        <f aca="false">'Dimension agroécologique'!G6</f>
        <v>3</v>
      </c>
      <c r="I26" s="1907" t="s">
        <v>673</v>
      </c>
      <c r="J26" s="1907" t="n">
        <f aca="false">'Dimension socio-territoriale'!H30</f>
        <v>0</v>
      </c>
      <c r="K26" s="1908" t="n">
        <f aca="false">'Bilan durabilité'!F34</f>
        <v>0</v>
      </c>
    </row>
    <row r="27" ht="15" customHeight="1">
      <c r="A27" s="1911" t="s">
        <v>3440</v>
      </c>
      <c r="B27" s="1912" t="s">
        <v>3441</v>
      </c>
      <c r="D27" s="1913" t="s">
        <v>3442</v>
      </c>
      <c r="E27" s="1880" t="n">
        <f aca="false">'Dimension agroécologique'!G15</f>
        <v>0</v>
      </c>
      <c r="I27" s="1907" t="s">
        <v>688</v>
      </c>
      <c r="J27" s="1907" t="n">
        <f aca="false">'Dimension socio-territoriale'!H45</f>
        <v>2</v>
      </c>
      <c r="K27" s="1908" t="n">
        <f aca="false">'Bilan durabilité'!F35</f>
        <v>2</v>
      </c>
    </row>
    <row r="28" ht="15.75" customHeight="1">
      <c r="A28" s="1881" t="s">
        <v>3443</v>
      </c>
      <c r="B28" s="1912" t="s">
        <v>2842</v>
      </c>
      <c r="D28" s="1913" t="s">
        <v>3444</v>
      </c>
      <c r="E28" s="1880" t="n">
        <f aca="false">'Dimension agroécologique'!G22</f>
        <v>0</v>
      </c>
      <c r="I28" s="815" t="s">
        <v>740</v>
      </c>
      <c r="J28" s="815" t="n">
        <f aca="false">'Dimension socio-territoriale'!H52</f>
        <v>3</v>
      </c>
      <c r="K28" s="1914" t="n">
        <f aca="false">'Bilan durabilité'!F36</f>
        <v>3</v>
      </c>
    </row>
    <row r="29" ht="15" customHeight="1">
      <c r="A29" s="1881" t="s">
        <v>3445</v>
      </c>
      <c r="B29" s="1912" t="s">
        <v>3446</v>
      </c>
      <c r="D29" s="1913" t="s">
        <v>3442</v>
      </c>
      <c r="E29" s="1880" t="n">
        <f aca="false">'Dimension agroécologique'!G24</f>
        <v>2</v>
      </c>
      <c r="I29" s="1915" t="s">
        <v>3341</v>
      </c>
      <c r="J29" s="1915" t="n">
        <f aca="false">'Dimension socio-territoriale'!H68</f>
        <v>0</v>
      </c>
      <c r="K29" s="1916" t="n">
        <f aca="false">'Bilan durabilité'!F37</f>
        <v>0</v>
      </c>
    </row>
    <row r="30" ht="15" customHeight="1">
      <c r="A30" s="1881" t="s">
        <v>3447</v>
      </c>
      <c r="B30" s="1912" t="s">
        <v>3448</v>
      </c>
      <c r="D30" s="1913" t="s">
        <v>3449</v>
      </c>
      <c r="E30" s="1880" t="n">
        <f aca="false">'Dimension agroécologique'!G35</f>
        <v>0</v>
      </c>
      <c r="I30" s="1917" t="s">
        <v>716</v>
      </c>
      <c r="J30" s="1917" t="n">
        <f aca="false">'Dimension socio-territoriale'!H78</f>
        <v>0</v>
      </c>
      <c r="K30" s="1918" t="n">
        <f aca="false">'Bilan durabilité'!F38</f>
        <v>0</v>
      </c>
    </row>
    <row r="31" ht="15" customHeight="1">
      <c r="A31" s="1881" t="s">
        <v>3450</v>
      </c>
      <c r="B31" s="1912" t="s">
        <v>3451</v>
      </c>
      <c r="D31" s="1913" t="s">
        <v>3439</v>
      </c>
      <c r="E31" s="1880" t="n">
        <f aca="false">'Dimension agroécologique'!H45</f>
        <v>0</v>
      </c>
      <c r="I31" s="1917" t="s">
        <v>955</v>
      </c>
      <c r="J31" s="1917" t="n">
        <f aca="false">'Dimension socio-territoriale'!H89</f>
        <v>0</v>
      </c>
      <c r="K31" s="1918" t="n">
        <f aca="false">'Bilan durabilité'!F39</f>
        <v>0</v>
      </c>
    </row>
    <row r="32" ht="15" customHeight="1">
      <c r="A32" s="1881" t="s">
        <v>3452</v>
      </c>
      <c r="B32" s="1912" t="s">
        <v>3453</v>
      </c>
      <c r="D32" s="1913" t="s">
        <v>3454</v>
      </c>
      <c r="E32" s="1880" t="n">
        <f aca="false">'Dimension agroécologique'!G69</f>
        <v>1</v>
      </c>
      <c r="I32" s="1917" t="s">
        <v>227</v>
      </c>
      <c r="J32" s="1917" t="n">
        <f aca="false">'Dimension socio-territoriale'!H102</f>
        <v>6</v>
      </c>
      <c r="K32" s="1918" t="n">
        <f aca="false">'Bilan durabilité'!F40</f>
        <v>5</v>
      </c>
    </row>
    <row r="33" ht="15" customHeight="1">
      <c r="A33" s="1881" t="s">
        <v>3455</v>
      </c>
      <c r="B33" s="1912" t="s">
        <v>3456</v>
      </c>
      <c r="D33" s="1913" t="s">
        <v>3454</v>
      </c>
      <c r="E33" s="1880" t="n">
        <f aca="false">'Dimension agroécologique'!G78</f>
        <v>0</v>
      </c>
      <c r="I33" s="1917" t="s">
        <v>257</v>
      </c>
      <c r="J33" s="1917" t="n">
        <f aca="false">'Dimension socio-territoriale'!H125</f>
        <v>3</v>
      </c>
      <c r="K33" s="1918" t="n">
        <f aca="false">'Bilan durabilité'!F41</f>
        <v>3</v>
      </c>
    </row>
    <row r="34" ht="15" customHeight="1">
      <c r="A34" s="1881" t="s">
        <v>3457</v>
      </c>
      <c r="B34" s="1912" t="s">
        <v>3458</v>
      </c>
      <c r="D34" s="1913" t="s">
        <v>3449</v>
      </c>
      <c r="E34" s="1880" t="n">
        <f aca="false">'Dimension agroécologique'!G86</f>
        <v>2</v>
      </c>
      <c r="I34" s="1917" t="s">
        <v>721</v>
      </c>
      <c r="J34" s="1917" t="n">
        <f aca="false">'Dimension socio-territoriale'!H141</f>
        <v>3</v>
      </c>
      <c r="K34" s="1918" t="n">
        <f aca="false">'Bilan durabilité'!F42</f>
        <v>3</v>
      </c>
    </row>
    <row r="35" ht="15" customHeight="1">
      <c r="A35" s="1881" t="s">
        <v>3459</v>
      </c>
      <c r="B35" s="1912" t="s">
        <v>3460</v>
      </c>
      <c r="D35" s="1913" t="s">
        <v>3449</v>
      </c>
      <c r="E35" s="1880" t="n">
        <f aca="false">'Dimension agroécologique'!G88</f>
        <v>0</v>
      </c>
      <c r="I35" s="1917" t="s">
        <v>701</v>
      </c>
      <c r="J35" s="1917" t="n">
        <f aca="false">'Dimension socio-territoriale'!H154</f>
        <v>2</v>
      </c>
      <c r="K35" s="1918" t="n">
        <f aca="false">'Bilan durabilité'!F43</f>
        <v>2</v>
      </c>
    </row>
    <row r="36" ht="15.75" customHeight="1">
      <c r="A36" s="1881" t="s">
        <v>3461</v>
      </c>
      <c r="B36" s="1912" t="s">
        <v>3462</v>
      </c>
      <c r="D36" s="1913" t="s">
        <v>3444</v>
      </c>
      <c r="E36" s="1880" t="n">
        <f aca="false">'Dimension agroécologique'!G93</f>
        <v>0</v>
      </c>
      <c r="I36" s="1919" t="s">
        <v>3349</v>
      </c>
      <c r="J36" s="1919" t="n">
        <f aca="false">'Dimension socio-territoriale'!H162</f>
        <v>4</v>
      </c>
      <c r="K36" s="1920" t="n">
        <f aca="false">'Bilan durabilité'!F44</f>
        <v>3</v>
      </c>
    </row>
    <row r="37" ht="15" customHeight="1">
      <c r="A37" s="1881" t="s">
        <v>3463</v>
      </c>
      <c r="B37" s="1912" t="s">
        <v>3464</v>
      </c>
      <c r="D37" s="1913" t="s">
        <v>3454</v>
      </c>
      <c r="E37" s="1880" t="n">
        <f aca="false">'Dimension agroécologique'!G100</f>
        <v>0</v>
      </c>
      <c r="I37" s="1915" t="s">
        <v>756</v>
      </c>
      <c r="J37" s="1915" t="n">
        <f aca="false">'Dimension socio-territoriale'!H172</f>
        <v>8</v>
      </c>
      <c r="K37" s="1916" t="n">
        <f aca="false">'Bilan durabilité'!F45</f>
        <v>6</v>
      </c>
    </row>
    <row r="38" ht="15" customHeight="1">
      <c r="A38" s="1881" t="s">
        <v>3465</v>
      </c>
      <c r="B38" s="1912" t="s">
        <v>3466</v>
      </c>
      <c r="D38" s="1913" t="s">
        <v>3454</v>
      </c>
      <c r="E38" s="1880" t="n">
        <f aca="false">'Dimension agroécologique'!G102</f>
        <v>2</v>
      </c>
      <c r="I38" s="1917" t="s">
        <v>669</v>
      </c>
      <c r="J38" s="1917" t="n">
        <f aca="false">'Dimension socio-territoriale'!H186</f>
        <v>2</v>
      </c>
      <c r="K38" s="1918" t="n">
        <f aca="false">'Bilan durabilité'!F46</f>
        <v>2</v>
      </c>
    </row>
    <row r="39" ht="15" customHeight="1">
      <c r="A39" s="1881" t="s">
        <v>3467</v>
      </c>
      <c r="B39" s="1912" t="s">
        <v>2920</v>
      </c>
      <c r="D39" s="1913" t="s">
        <v>3454</v>
      </c>
      <c r="E39" s="1880" t="n">
        <f aca="false">'Dimension agroécologique'!G104</f>
        <v>0</v>
      </c>
      <c r="I39" s="1917" t="s">
        <v>774</v>
      </c>
      <c r="J39" s="1917" t="n">
        <f aca="false">'Dimension socio-territoriale'!H195</f>
        <v>5</v>
      </c>
      <c r="K39" s="1918" t="n">
        <f aca="false">'Bilan durabilité'!F47</f>
        <v>5</v>
      </c>
    </row>
    <row r="40" ht="15" customHeight="1">
      <c r="A40" s="1881" t="s">
        <v>3468</v>
      </c>
      <c r="B40" s="1912" t="s">
        <v>2924</v>
      </c>
      <c r="D40" s="1913" t="s">
        <v>3469</v>
      </c>
      <c r="E40" s="1880" t="n">
        <f aca="false">'Dimension agroécologique'!G112</f>
        <v>0</v>
      </c>
      <c r="I40" s="1917" t="s">
        <v>782</v>
      </c>
      <c r="J40" s="1917" t="n">
        <f aca="false">'Dimension socio-territoriale'!H210</f>
        <v>5</v>
      </c>
      <c r="K40" s="1918" t="n">
        <f aca="false">'Bilan durabilité'!F48</f>
        <v>5</v>
      </c>
    </row>
    <row r="41" ht="15.75" customHeight="1">
      <c r="A41" s="1881" t="s">
        <v>3470</v>
      </c>
      <c r="B41" s="1912" t="s">
        <v>3471</v>
      </c>
      <c r="D41" s="1913" t="s">
        <v>3469</v>
      </c>
      <c r="E41" s="1880" t="n">
        <f aca="false">'Dimension agroécologique'!G114</f>
        <v>0</v>
      </c>
      <c r="I41" s="1919" t="s">
        <v>751</v>
      </c>
      <c r="J41" s="1919" t="n">
        <f aca="false">'Dimension socio-territoriale'!H224</f>
        <v>2</v>
      </c>
      <c r="K41" s="1920" t="n">
        <f aca="false">'Bilan durabilité'!F49</f>
        <v>2</v>
      </c>
    </row>
    <row r="42" ht="15" customHeight="1">
      <c r="A42" s="1881" t="s">
        <v>3472</v>
      </c>
      <c r="B42" s="1912" t="s">
        <v>2930</v>
      </c>
      <c r="D42" s="1913" t="s">
        <v>3473</v>
      </c>
      <c r="E42" s="1880" t="n">
        <f aca="false">'Dimension agroécologique'!G121</f>
        <v>2</v>
      </c>
      <c r="I42" s="1921" t="s">
        <v>791</v>
      </c>
      <c r="J42" s="1921" t="n">
        <f aca="false">'Dimension socio-territoriale'!H238</f>
        <v>4</v>
      </c>
      <c r="K42" s="1922" t="n">
        <f aca="false">'Bilan durabilité'!F50</f>
        <v>4</v>
      </c>
    </row>
    <row r="43" ht="15" customHeight="1">
      <c r="A43" s="1881" t="s">
        <v>3474</v>
      </c>
      <c r="B43" s="1912" t="s">
        <v>3475</v>
      </c>
      <c r="D43" s="1913" t="s">
        <v>3442</v>
      </c>
      <c r="E43" s="1880" t="n">
        <f aca="false">'Dimension agroécologique'!G123</f>
        <v>1</v>
      </c>
      <c r="I43" s="1917" t="s">
        <v>800</v>
      </c>
      <c r="J43" s="1917" t="n">
        <f aca="false">'Dimension socio-territoriale'!H256</f>
        <v>0</v>
      </c>
      <c r="K43" s="1918" t="n">
        <f aca="false">'Bilan durabilité'!F51</f>
        <v>2</v>
      </c>
    </row>
    <row r="44" ht="15" customHeight="1">
      <c r="A44" s="1881" t="s">
        <v>3476</v>
      </c>
      <c r="B44" s="1912" t="s">
        <v>3477</v>
      </c>
      <c r="D44" s="1913" t="s">
        <v>3469</v>
      </c>
      <c r="E44" s="1880" t="n">
        <f aca="false">'Dimension agroécologique'!H132</f>
        <v>0</v>
      </c>
      <c r="I44" s="1917" t="s">
        <v>808</v>
      </c>
      <c r="J44" s="1917" t="n">
        <f aca="false">'Dimension socio-territoriale'!H269</f>
        <v>5</v>
      </c>
      <c r="K44" s="1918" t="n">
        <f aca="false">'Bilan durabilité'!F52</f>
        <v>5</v>
      </c>
    </row>
    <row r="45" ht="15" customHeight="1">
      <c r="A45" s="1881" t="s">
        <v>3478</v>
      </c>
      <c r="B45" s="1912" t="s">
        <v>3479</v>
      </c>
      <c r="D45" s="1913" t="s">
        <v>3469</v>
      </c>
      <c r="E45" s="1880" t="n">
        <f aca="false">'Dimension agroécologique'!G140</f>
        <v>6</v>
      </c>
      <c r="I45" s="1917" t="s">
        <v>811</v>
      </c>
      <c r="J45" s="1917" t="n">
        <f aca="false">'Dimension socio-territoriale'!H276</f>
        <v>3</v>
      </c>
      <c r="K45" s="1918" t="n">
        <f aca="false">'Bilan durabilité'!F53</f>
        <v>3</v>
      </c>
    </row>
    <row r="46" ht="15.75" customHeight="1">
      <c r="A46" s="1881" t="s">
        <v>3480</v>
      </c>
      <c r="B46" s="1912" t="s">
        <v>3481</v>
      </c>
      <c r="D46" s="1913" t="s">
        <v>3469</v>
      </c>
      <c r="E46" s="1880" t="n">
        <f aca="false">'Dimension agroécologique'!G147</f>
        <v>5</v>
      </c>
      <c r="I46" s="1919" t="s">
        <v>3205</v>
      </c>
      <c r="J46" s="1919" t="n">
        <f aca="false">'Dimension socio-territoriale'!H284</f>
        <v>5</v>
      </c>
      <c r="K46" s="1920" t="n">
        <f aca="false">'Bilan durabilité'!F54</f>
        <v>5</v>
      </c>
    </row>
    <row r="47" ht="15.75" customHeight="1">
      <c r="A47" s="1881" t="s">
        <v>3482</v>
      </c>
      <c r="B47" s="1912" t="s">
        <v>3483</v>
      </c>
      <c r="D47" s="1913" t="s">
        <v>3442</v>
      </c>
      <c r="E47" s="1880" t="n">
        <f aca="false">'Dimension agroécologique'!G154</f>
        <v>1</v>
      </c>
      <c r="I47" s="298"/>
      <c r="J47" s="298"/>
      <c r="K47" s="298"/>
    </row>
    <row r="48" ht="15" customHeight="1">
      <c r="A48" s="1881" t="s">
        <v>3484</v>
      </c>
      <c r="B48" s="1912" t="s">
        <v>2951</v>
      </c>
      <c r="D48" s="1913" t="s">
        <v>3442</v>
      </c>
      <c r="E48" s="1880" t="n">
        <f aca="false">'Dimension agroécologique'!G159</f>
        <v>4</v>
      </c>
      <c r="I48" s="1906" t="s">
        <v>840</v>
      </c>
      <c r="J48" s="1923" t="n">
        <f aca="false">'Dimension économique'!G6</f>
        <v>16</v>
      </c>
      <c r="K48" s="1906" t="n">
        <f aca="false">'Bilan durabilité'!F58</f>
        <v>16</v>
      </c>
    </row>
    <row r="49" ht="15" customHeight="1">
      <c r="A49" s="1881" t="s">
        <v>3485</v>
      </c>
      <c r="B49" s="1912" t="s">
        <v>2954</v>
      </c>
      <c r="D49" s="1913" t="s">
        <v>3442</v>
      </c>
      <c r="E49" s="1880" t="n">
        <f aca="false">'Dimension agroécologique'!G162</f>
        <v>4</v>
      </c>
      <c r="I49" s="1908" t="s">
        <v>865</v>
      </c>
      <c r="J49" s="1914" t="n">
        <f aca="false">'Dimension économique'!G15</f>
        <v>0</v>
      </c>
      <c r="K49" s="1908" t="n">
        <f aca="false">'Bilan durabilité'!F59</f>
        <v>0</v>
      </c>
    </row>
    <row r="50" ht="15.75" customHeight="1">
      <c r="A50" s="1881" t="s">
        <v>3486</v>
      </c>
      <c r="B50" s="1912" t="s">
        <v>2957</v>
      </c>
      <c r="D50" s="1913" t="s">
        <v>3487</v>
      </c>
      <c r="E50" s="1880" t="n">
        <f aca="false">'Dimension agroécologique'!G169</f>
        <v>1</v>
      </c>
      <c r="I50" s="1914" t="s">
        <v>859</v>
      </c>
      <c r="J50" s="1924" t="n">
        <f aca="false">'Dimension économique'!G22</f>
        <v>6</v>
      </c>
      <c r="K50" s="1914" t="n">
        <f aca="false">'Bilan durabilité'!F60</f>
        <v>6</v>
      </c>
    </row>
    <row r="51" ht="15" customHeight="1">
      <c r="A51" s="1881" t="s">
        <v>3488</v>
      </c>
      <c r="B51" s="1912" t="s">
        <v>2963</v>
      </c>
      <c r="D51" s="1913" t="s">
        <v>3487</v>
      </c>
      <c r="E51" s="1925" t="n">
        <f aca="false">'Dimension agroécologique'!G173</f>
        <v>1</v>
      </c>
      <c r="I51" s="1906" t="s">
        <v>3239</v>
      </c>
      <c r="J51" s="1923" t="n">
        <f aca="false">'Dimension économique'!G29</f>
        <v>6</v>
      </c>
      <c r="K51" s="1906" t="n">
        <f aca="false">'Bilan durabilité'!F61</f>
        <v>6</v>
      </c>
    </row>
    <row r="52" ht="15" customHeight="1">
      <c r="A52" s="1881" t="s">
        <v>3489</v>
      </c>
      <c r="B52" s="1912" t="s">
        <v>2971</v>
      </c>
      <c r="D52" s="1913" t="s">
        <v>3449</v>
      </c>
      <c r="E52" s="1880" t="n">
        <f aca="false">'Dimension agroécologique'!G182</f>
        <v>0</v>
      </c>
      <c r="I52" s="1908" t="s">
        <v>945</v>
      </c>
      <c r="J52" s="1914" t="n">
        <f aca="false">'Dimension économique'!G40</f>
        <v>4</v>
      </c>
      <c r="K52" s="1908" t="n">
        <f aca="false">'Bilan durabilité'!F62</f>
        <v>4</v>
      </c>
    </row>
    <row r="53" ht="15" customHeight="1">
      <c r="A53" s="1881" t="s">
        <v>3490</v>
      </c>
      <c r="B53" s="1912" t="s">
        <v>3491</v>
      </c>
      <c r="D53" s="1913" t="s">
        <v>3442</v>
      </c>
      <c r="E53" s="1880" t="n">
        <f aca="false">'Dimension agroécologique'!G191</f>
        <v>2</v>
      </c>
      <c r="I53" s="1908" t="s">
        <v>851</v>
      </c>
      <c r="J53" s="1914" t="n">
        <f aca="false">'Dimension économique'!G53</f>
        <v>6</v>
      </c>
      <c r="K53" s="1908" t="n">
        <f aca="false">'Bilan durabilité'!F63</f>
        <v>6</v>
      </c>
    </row>
    <row r="54" ht="15.75" customHeight="1">
      <c r="A54" s="1881" t="s">
        <v>3492</v>
      </c>
      <c r="B54" s="1912" t="s">
        <v>3493</v>
      </c>
      <c r="D54" s="1913" t="s">
        <v>3442</v>
      </c>
      <c r="E54" s="1925" t="n">
        <f aca="false">'Dimension agroécologique'!G193</f>
        <v>2</v>
      </c>
      <c r="I54" s="1914" t="s">
        <v>874</v>
      </c>
      <c r="J54" s="1924" t="n">
        <f aca="false">'Dimension économique'!G60</f>
        <v>4</v>
      </c>
      <c r="K54" s="1914" t="n">
        <f aca="false">'Bilan durabilité'!F64</f>
        <v>4</v>
      </c>
    </row>
    <row r="55" ht="15" customHeight="1">
      <c r="A55" s="1881" t="s">
        <v>3494</v>
      </c>
      <c r="B55" s="1912" t="s">
        <v>3495</v>
      </c>
      <c r="D55" s="1913" t="s">
        <v>3496</v>
      </c>
      <c r="E55" s="1880" t="n">
        <f aca="false">'Dimension agroécologique'!G198</f>
        <v>2</v>
      </c>
      <c r="I55" s="1906" t="s">
        <v>868</v>
      </c>
      <c r="J55" s="1923" t="n">
        <f aca="false">'Dimension économique'!G67</f>
        <v>6</v>
      </c>
      <c r="K55" s="1906" t="n">
        <f aca="false">'Bilan durabilité'!F65</f>
        <v>6</v>
      </c>
    </row>
    <row r="56" ht="15.75" customHeight="1">
      <c r="A56" s="1881" t="s">
        <v>3497</v>
      </c>
      <c r="B56" s="1912" t="s">
        <v>3498</v>
      </c>
      <c r="D56" s="1913" t="s">
        <v>3496</v>
      </c>
      <c r="E56" s="1880" t="n">
        <f aca="false">'Dimension agroécologique'!G200</f>
        <v>2</v>
      </c>
      <c r="I56" s="1914" t="s">
        <v>878</v>
      </c>
      <c r="J56" s="1924" t="n">
        <f aca="false">'Dimension économique'!G76</f>
        <v>8</v>
      </c>
      <c r="K56" s="1914" t="n">
        <f aca="false">'Bilan durabilité'!F66</f>
        <v>8</v>
      </c>
    </row>
    <row r="57" ht="15" customHeight="1">
      <c r="A57" s="1881" t="s">
        <v>3499</v>
      </c>
      <c r="B57" s="1912" t="s">
        <v>3500</v>
      </c>
      <c r="D57" s="1913" t="s">
        <v>3501</v>
      </c>
      <c r="E57" s="1880" t="n">
        <f aca="false">'Dimension agroécologique'!G202</f>
        <v>0</v>
      </c>
      <c r="I57" s="1906" t="s">
        <v>826</v>
      </c>
      <c r="J57" s="1923" t="n">
        <f aca="false">'Dimension économique'!G88</f>
        <v>12</v>
      </c>
      <c r="K57" s="1906" t="n">
        <f aca="false">'Bilan durabilité'!F67</f>
        <v>12</v>
      </c>
    </row>
    <row r="58" ht="15.75" customHeight="1">
      <c r="A58" s="1881" t="s">
        <v>3502</v>
      </c>
      <c r="B58" s="1912" t="s">
        <v>3503</v>
      </c>
      <c r="D58" s="1913" t="s">
        <v>3504</v>
      </c>
      <c r="E58" s="1880" t="n">
        <f aca="false">'Dimension agroécologique'!G209</f>
        <v>0</v>
      </c>
      <c r="I58" s="1914" t="s">
        <v>833</v>
      </c>
      <c r="J58" s="1924" t="n">
        <f aca="false">'Dimension économique'!G96</f>
        <v>0</v>
      </c>
      <c r="K58" s="1914" t="n">
        <f aca="false">'Bilan durabilité'!F68</f>
        <v>0</v>
      </c>
    </row>
    <row r="59" ht="15" customHeight="1">
      <c r="A59" s="1881" t="s">
        <v>3505</v>
      </c>
      <c r="B59" s="1912" t="s">
        <v>3506</v>
      </c>
      <c r="D59" s="1913" t="s">
        <v>3454</v>
      </c>
      <c r="E59" s="1880" t="n">
        <f aca="false">'Dimension agroécologique'!G216</f>
        <v>1</v>
      </c>
    </row>
    <row r="60" ht="15" customHeight="1">
      <c r="A60" s="1881" t="s">
        <v>3507</v>
      </c>
      <c r="B60" s="1912" t="s">
        <v>3508</v>
      </c>
      <c r="D60" s="1913" t="s">
        <v>3449</v>
      </c>
      <c r="E60" s="1880" t="n">
        <f aca="false">'Dimension agroécologique'!G219</f>
        <v>0</v>
      </c>
    </row>
    <row r="61" ht="15" customHeight="1">
      <c r="A61" s="1881" t="s">
        <v>3509</v>
      </c>
      <c r="B61" s="1912" t="s">
        <v>3007</v>
      </c>
      <c r="D61" s="1913" t="s">
        <v>3454</v>
      </c>
      <c r="E61" s="1880" t="n">
        <f aca="false">'Dimension agroécologique'!G229</f>
        <v>2</v>
      </c>
    </row>
    <row r="62" ht="15" customHeight="1">
      <c r="A62" s="1881" t="s">
        <v>3510</v>
      </c>
      <c r="B62" s="1912" t="s">
        <v>3015</v>
      </c>
      <c r="D62" s="1913" t="s">
        <v>3454</v>
      </c>
      <c r="E62" s="1880" t="n">
        <f aca="false">'Dimension agroécologique'!G229</f>
        <v>2</v>
      </c>
    </row>
    <row r="63" ht="15" customHeight="1">
      <c r="A63" s="1881" t="s">
        <v>3511</v>
      </c>
      <c r="B63" s="1912" t="s">
        <v>3512</v>
      </c>
      <c r="D63" s="1913" t="s">
        <v>3473</v>
      </c>
      <c r="E63" s="1925" t="n">
        <f aca="false">'Dimension agroécologique'!H240</f>
        <v>5</v>
      </c>
    </row>
    <row r="64" ht="15" customHeight="1">
      <c r="A64" s="1881" t="s">
        <v>3513</v>
      </c>
      <c r="B64" s="1912" t="s">
        <v>3514</v>
      </c>
      <c r="D64" s="1913" t="s">
        <v>3515</v>
      </c>
      <c r="E64" s="1880" t="n">
        <f aca="false">'Dimension agroécologique'!G247</f>
        <v>3</v>
      </c>
    </row>
    <row r="65" ht="15" customHeight="1">
      <c r="A65" s="1881" t="s">
        <v>3516</v>
      </c>
      <c r="B65" s="1912" t="s">
        <v>3517</v>
      </c>
      <c r="D65" s="1913" t="s">
        <v>3518</v>
      </c>
      <c r="E65" s="1880" t="n">
        <f aca="false">'Dimension agroécologique'!G258</f>
        <v>6</v>
      </c>
    </row>
    <row r="66" ht="15" customHeight="1">
      <c r="A66" s="1881" t="s">
        <v>3519</v>
      </c>
      <c r="B66" s="1912" t="s">
        <v>3520</v>
      </c>
      <c r="D66" s="1913" t="s">
        <v>3473</v>
      </c>
      <c r="E66" s="1880" t="n">
        <f aca="false">'Dimension socio-territoriale'!G7</f>
        <v>6</v>
      </c>
    </row>
    <row r="67" ht="15" customHeight="1">
      <c r="A67" s="1881" t="s">
        <v>3521</v>
      </c>
      <c r="B67" s="1912" t="s">
        <v>3522</v>
      </c>
      <c r="D67" s="1913" t="s">
        <v>3454</v>
      </c>
      <c r="E67" s="1880" t="n">
        <f aca="false">'Dimension socio-territoriale'!G10</f>
        <v>0</v>
      </c>
    </row>
    <row r="68" ht="15" customHeight="1">
      <c r="A68" s="1881" t="s">
        <v>3523</v>
      </c>
      <c r="B68" s="1912" t="s">
        <v>3524</v>
      </c>
      <c r="D68" s="1913" t="s">
        <v>3454</v>
      </c>
      <c r="E68" s="1880" t="n">
        <f aca="false">'Dimension socio-territoriale'!G12</f>
        <v>3</v>
      </c>
    </row>
    <row r="69" ht="15" customHeight="1">
      <c r="A69" s="1881" t="s">
        <v>3525</v>
      </c>
      <c r="B69" s="1912" t="s">
        <v>3526</v>
      </c>
      <c r="D69" s="1913" t="s">
        <v>3473</v>
      </c>
      <c r="E69" s="1880" t="n">
        <f aca="false">'Dimension socio-territoriale'!G19</f>
        <v>6</v>
      </c>
    </row>
    <row r="70" ht="15" customHeight="1">
      <c r="A70" s="1881" t="s">
        <v>3527</v>
      </c>
      <c r="B70" s="1912" t="s">
        <v>3528</v>
      </c>
      <c r="D70" s="1913" t="s">
        <v>3473</v>
      </c>
      <c r="E70" s="1880" t="n">
        <f aca="false">'Dimension socio-territoriale'!G22</f>
        <v>0</v>
      </c>
    </row>
    <row r="71" ht="15" customHeight="1">
      <c r="A71" s="1881" t="s">
        <v>3529</v>
      </c>
      <c r="B71" s="1912" t="s">
        <v>3530</v>
      </c>
      <c r="D71" s="1913" t="s">
        <v>3442</v>
      </c>
      <c r="E71" s="1880" t="n">
        <f aca="false">'Dimension socio-territoriale'!G30</f>
        <v>0</v>
      </c>
    </row>
    <row r="72" ht="15" customHeight="1">
      <c r="A72" s="1881" t="s">
        <v>3531</v>
      </c>
      <c r="B72" s="1912" t="s">
        <v>3067</v>
      </c>
      <c r="D72" s="1913" t="s">
        <v>3449</v>
      </c>
      <c r="E72" s="1880" t="n">
        <f aca="false">'Dimension socio-territoriale'!G35</f>
        <v>0</v>
      </c>
    </row>
    <row r="73" ht="15" customHeight="1">
      <c r="A73" s="1881" t="s">
        <v>3532</v>
      </c>
      <c r="B73" s="1912" t="s">
        <v>3069</v>
      </c>
      <c r="D73" s="1913" t="s">
        <v>3473</v>
      </c>
      <c r="E73" s="1880" t="n">
        <f aca="false">'Dimension socio-territoriale'!G38</f>
        <v>0</v>
      </c>
    </row>
    <row r="74" ht="15" customHeight="1">
      <c r="A74" s="1881" t="s">
        <v>3533</v>
      </c>
      <c r="B74" s="1912" t="s">
        <v>3534</v>
      </c>
      <c r="D74" s="1913" t="s">
        <v>3473</v>
      </c>
      <c r="E74" s="1880" t="n">
        <f aca="false">'Dimension socio-territoriale'!H45</f>
        <v>2</v>
      </c>
    </row>
    <row r="75" ht="15" customHeight="1">
      <c r="A75" s="1881" t="s">
        <v>3535</v>
      </c>
      <c r="B75" s="1912" t="s">
        <v>3536</v>
      </c>
      <c r="D75" s="1913" t="s">
        <v>3454</v>
      </c>
      <c r="E75" s="1880" t="n">
        <f aca="false">'Dimension socio-territoriale'!G52</f>
        <v>0</v>
      </c>
    </row>
    <row r="76" ht="15" customHeight="1">
      <c r="A76" s="1881" t="s">
        <v>3537</v>
      </c>
      <c r="B76" s="1912" t="s">
        <v>3538</v>
      </c>
      <c r="D76" s="1913" t="s">
        <v>3454</v>
      </c>
      <c r="E76" s="1880" t="n">
        <f aca="false">'Dimension socio-territoriale'!G56</f>
        <v>0</v>
      </c>
    </row>
    <row r="77" ht="15" customHeight="1">
      <c r="A77" s="1881" t="s">
        <v>3539</v>
      </c>
      <c r="B77" s="1912" t="s">
        <v>3540</v>
      </c>
      <c r="D77" s="1913" t="s">
        <v>3454</v>
      </c>
      <c r="E77" s="1880" t="n">
        <f aca="false">'Dimension socio-territoriale'!G60</f>
        <v>3</v>
      </c>
    </row>
    <row r="78" ht="15" customHeight="1">
      <c r="A78" s="1881" t="s">
        <v>3541</v>
      </c>
      <c r="B78" s="1912" t="s">
        <v>3542</v>
      </c>
      <c r="D78" s="1913" t="s">
        <v>3439</v>
      </c>
      <c r="E78" s="1880" t="n">
        <f aca="false">'Dimension socio-territoriale'!G68</f>
        <v>0</v>
      </c>
    </row>
    <row r="79" ht="15" customHeight="1">
      <c r="A79" s="1881" t="s">
        <v>3543</v>
      </c>
      <c r="B79" s="1912" t="s">
        <v>3544</v>
      </c>
      <c r="D79" s="1913" t="s">
        <v>3454</v>
      </c>
      <c r="E79" s="1880" t="n">
        <f aca="false">'Dimension socio-territoriale'!G71</f>
        <v>0</v>
      </c>
    </row>
    <row r="80" ht="15" customHeight="1">
      <c r="A80" s="1881" t="s">
        <v>3545</v>
      </c>
      <c r="B80" s="1912" t="s">
        <v>3546</v>
      </c>
      <c r="D80" s="1913" t="s">
        <v>3449</v>
      </c>
      <c r="E80" s="1880" t="n">
        <f aca="false">'Dimension socio-territoriale'!G78</f>
        <v>0</v>
      </c>
    </row>
    <row r="81" ht="15" customHeight="1">
      <c r="A81" s="1881" t="s">
        <v>3547</v>
      </c>
      <c r="B81" s="1912" t="s">
        <v>3548</v>
      </c>
      <c r="D81" s="1913" t="s">
        <v>3449</v>
      </c>
      <c r="E81" s="1880" t="n">
        <f aca="false">'Dimension socio-territoriale'!G80</f>
        <v>0</v>
      </c>
    </row>
    <row r="82" ht="15" customHeight="1">
      <c r="A82" s="1881" t="s">
        <v>3549</v>
      </c>
      <c r="B82" s="1912" t="s">
        <v>3550</v>
      </c>
      <c r="D82" s="1913" t="s">
        <v>3449</v>
      </c>
      <c r="E82" s="1880" t="n">
        <f aca="false">'Dimension socio-territoriale'!G82</f>
        <v>0</v>
      </c>
    </row>
    <row r="83" ht="15" customHeight="1">
      <c r="A83" s="1881" t="s">
        <v>3551</v>
      </c>
      <c r="B83" s="1912" t="s">
        <v>3552</v>
      </c>
      <c r="D83" s="1913" t="s">
        <v>3449</v>
      </c>
      <c r="E83" s="1880" t="n">
        <f aca="false">'Dimension socio-territoriale'!G89</f>
        <v>0</v>
      </c>
    </row>
    <row r="84" ht="15" customHeight="1">
      <c r="A84" s="1881" t="s">
        <v>3553</v>
      </c>
      <c r="B84" s="1912" t="s">
        <v>3095</v>
      </c>
      <c r="D84" s="1913" t="s">
        <v>3454</v>
      </c>
      <c r="E84" s="1880" t="n">
        <f aca="false">'Dimension socio-territoriale'!G92</f>
        <v>0</v>
      </c>
    </row>
    <row r="85" ht="15" customHeight="1">
      <c r="A85" s="1881" t="s">
        <v>3554</v>
      </c>
      <c r="B85" s="1912" t="s">
        <v>3555</v>
      </c>
      <c r="D85" s="1913" t="s">
        <v>3454</v>
      </c>
      <c r="E85" s="1880" t="n">
        <f aca="false">'Dimension socio-territoriale'!G95</f>
        <v>0</v>
      </c>
    </row>
    <row r="86" ht="15" customHeight="1">
      <c r="A86" s="1881" t="s">
        <v>3556</v>
      </c>
      <c r="B86" s="1912" t="s">
        <v>3557</v>
      </c>
      <c r="D86" s="1913" t="s">
        <v>3439</v>
      </c>
      <c r="E86" s="1880" t="n">
        <f aca="false">'Dimension socio-territoriale'!G102</f>
        <v>3</v>
      </c>
    </row>
    <row r="87" ht="15" customHeight="1">
      <c r="A87" s="1881" t="s">
        <v>3558</v>
      </c>
      <c r="B87" s="1912" t="s">
        <v>3559</v>
      </c>
      <c r="D87" s="1913" t="s">
        <v>3454</v>
      </c>
      <c r="E87" s="1880" t="n">
        <f aca="false">'Dimension socio-territoriale'!G110</f>
        <v>3</v>
      </c>
    </row>
    <row r="88" ht="15" customHeight="1">
      <c r="A88" s="1881" t="s">
        <v>3560</v>
      </c>
      <c r="B88" s="1912" t="s">
        <v>3561</v>
      </c>
      <c r="D88" s="1913" t="s">
        <v>3449</v>
      </c>
      <c r="E88" s="1880" t="n">
        <f aca="false">'Dimension socio-territoriale'!G116</f>
        <v>0</v>
      </c>
    </row>
    <row r="89" ht="15" customHeight="1">
      <c r="A89" s="1881" t="s">
        <v>3562</v>
      </c>
      <c r="B89" s="1912" t="s">
        <v>3121</v>
      </c>
      <c r="D89" s="1913" t="s">
        <v>3444</v>
      </c>
      <c r="E89" s="1880" t="n">
        <f aca="false">'Dimension socio-territoriale'!G125</f>
        <v>1</v>
      </c>
    </row>
    <row r="90" ht="15" customHeight="1">
      <c r="A90" s="1881" t="s">
        <v>3563</v>
      </c>
      <c r="B90" s="1912" t="s">
        <v>3122</v>
      </c>
      <c r="D90" s="1913" t="s">
        <v>3444</v>
      </c>
      <c r="E90" s="1880" t="n">
        <f aca="false">'Dimension socio-territoriale'!G128</f>
        <v>1</v>
      </c>
    </row>
    <row r="91" ht="15" customHeight="1">
      <c r="A91" s="1881" t="s">
        <v>3564</v>
      </c>
      <c r="B91" s="1912" t="s">
        <v>3565</v>
      </c>
      <c r="D91" s="1913" t="s">
        <v>3444</v>
      </c>
      <c r="E91" s="1880" t="n">
        <f aca="false">'Dimension socio-territoriale'!G131</f>
        <v>1</v>
      </c>
    </row>
    <row r="92" ht="15" customHeight="1">
      <c r="A92" s="1881" t="s">
        <v>3566</v>
      </c>
      <c r="B92" s="1912" t="s">
        <v>3567</v>
      </c>
      <c r="D92" s="1913" t="s">
        <v>3444</v>
      </c>
      <c r="E92" s="1880" t="n">
        <f aca="false">'Dimension socio-territoriale'!G134</f>
        <v>0</v>
      </c>
    </row>
    <row r="93" ht="15" customHeight="1">
      <c r="A93" s="1881" t="s">
        <v>3568</v>
      </c>
      <c r="B93" s="1912" t="s">
        <v>3126</v>
      </c>
      <c r="D93" s="1913" t="s">
        <v>3449</v>
      </c>
      <c r="E93" s="1880" t="n">
        <f aca="false">'Dimension socio-territoriale'!G141</f>
        <v>2</v>
      </c>
    </row>
    <row r="94" ht="15" customHeight="1">
      <c r="A94" s="1881" t="s">
        <v>3569</v>
      </c>
      <c r="B94" s="1912" t="s">
        <v>3570</v>
      </c>
      <c r="D94" s="1913" t="s">
        <v>3454</v>
      </c>
      <c r="E94" s="1880" t="n">
        <f aca="false">'Dimension socio-territoriale'!G144</f>
        <v>0</v>
      </c>
    </row>
    <row r="95" ht="15" customHeight="1">
      <c r="A95" s="1881" t="s">
        <v>3571</v>
      </c>
      <c r="B95" s="1912" t="s">
        <v>3572</v>
      </c>
      <c r="D95" s="1913" t="s">
        <v>3444</v>
      </c>
      <c r="E95" s="1880" t="n">
        <f aca="false">'Dimension socio-territoriale'!G147</f>
        <v>1</v>
      </c>
    </row>
    <row r="96" ht="15" customHeight="1">
      <c r="A96" s="1881" t="s">
        <v>3573</v>
      </c>
      <c r="B96" s="1912" t="s">
        <v>3574</v>
      </c>
      <c r="D96" s="1913" t="s">
        <v>3454</v>
      </c>
      <c r="E96" s="1880" t="n">
        <f aca="false">'Dimension socio-territoriale'!G155</f>
        <v>2</v>
      </c>
    </row>
    <row r="97" ht="15" customHeight="1">
      <c r="A97" s="1881" t="s">
        <v>3575</v>
      </c>
      <c r="B97" s="1912" t="s">
        <v>3576</v>
      </c>
      <c r="D97" s="1913" t="s">
        <v>3577</v>
      </c>
      <c r="E97" s="1880" t="n">
        <f aca="false">'Dimension socio-territoriale'!G156</f>
        <v>0</v>
      </c>
    </row>
    <row r="98" ht="15" customHeight="1">
      <c r="A98" s="1881" t="s">
        <v>3578</v>
      </c>
      <c r="B98" s="1912" t="s">
        <v>3579</v>
      </c>
      <c r="D98" s="1913" t="s">
        <v>3449</v>
      </c>
      <c r="E98" s="1880" t="n">
        <f aca="false">'Dimension socio-territoriale'!G162</f>
        <v>2</v>
      </c>
    </row>
    <row r="99" ht="15" customHeight="1">
      <c r="A99" s="1881" t="s">
        <v>3580</v>
      </c>
      <c r="B99" s="1912" t="s">
        <v>3581</v>
      </c>
      <c r="D99" s="1913" t="s">
        <v>3449</v>
      </c>
      <c r="E99" s="1880" t="n">
        <f aca="false">'Dimension socio-territoriale'!G165</f>
        <v>2</v>
      </c>
    </row>
    <row r="100" ht="15" customHeight="1">
      <c r="A100" s="1881" t="s">
        <v>3582</v>
      </c>
      <c r="B100" s="1912" t="s">
        <v>3583</v>
      </c>
      <c r="D100" s="1913" t="s">
        <v>3454</v>
      </c>
      <c r="E100" s="1880" t="n">
        <f aca="false">'Dimension socio-territoriale'!G172</f>
        <v>2</v>
      </c>
    </row>
    <row r="101" ht="15" customHeight="1">
      <c r="A101" s="1881" t="s">
        <v>3584</v>
      </c>
      <c r="B101" s="1912" t="s">
        <v>3141</v>
      </c>
      <c r="D101" s="1913" t="s">
        <v>3454</v>
      </c>
      <c r="E101" s="1880" t="n">
        <f aca="false">'Dimension socio-territoriale'!G174</f>
        <v>3</v>
      </c>
    </row>
    <row r="102" ht="15" customHeight="1">
      <c r="A102" s="1881" t="s">
        <v>3585</v>
      </c>
      <c r="B102" s="1912" t="s">
        <v>3147</v>
      </c>
      <c r="D102" s="1913" t="s">
        <v>3454</v>
      </c>
      <c r="E102" s="1880" t="n">
        <f aca="false">'Dimension socio-territoriale'!G178</f>
        <v>3</v>
      </c>
    </row>
    <row r="103" ht="15" customHeight="1">
      <c r="A103" s="1881" t="s">
        <v>3586</v>
      </c>
      <c r="B103" s="1912" t="s">
        <v>3151</v>
      </c>
      <c r="D103" s="1913" t="s">
        <v>3442</v>
      </c>
      <c r="E103" s="1880" t="n">
        <f aca="false">'Dimension socio-territoriale'!G186</f>
        <v>2</v>
      </c>
    </row>
    <row r="104" ht="15" customHeight="1">
      <c r="A104" s="1881" t="s">
        <v>3587</v>
      </c>
      <c r="B104" s="1912" t="s">
        <v>3152</v>
      </c>
      <c r="D104" s="1913" t="s">
        <v>3454</v>
      </c>
      <c r="E104" s="1880" t="n">
        <f aca="false">'Dimension socio-territoriale'!G188</f>
        <v>0</v>
      </c>
    </row>
    <row r="105" ht="15" customHeight="1">
      <c r="A105" s="1881" t="s">
        <v>3588</v>
      </c>
      <c r="B105" s="1912" t="s">
        <v>3589</v>
      </c>
      <c r="D105" s="1913" t="s">
        <v>3442</v>
      </c>
      <c r="E105" s="1880" t="n">
        <f aca="false">'Dimension socio-territoriale'!G195</f>
        <v>3</v>
      </c>
    </row>
    <row r="106" ht="15" customHeight="1">
      <c r="A106" s="1881" t="s">
        <v>3590</v>
      </c>
      <c r="B106" s="1912" t="s">
        <v>3591</v>
      </c>
      <c r="D106" s="1913" t="s">
        <v>3454</v>
      </c>
      <c r="E106" s="1880" t="n">
        <f aca="false">'Dimension socio-territoriale'!G197</f>
        <v>1</v>
      </c>
    </row>
    <row r="107" ht="15" customHeight="1">
      <c r="A107" s="1881" t="s">
        <v>3592</v>
      </c>
      <c r="B107" s="1912" t="s">
        <v>3158</v>
      </c>
      <c r="D107" s="1913" t="s">
        <v>3593</v>
      </c>
      <c r="E107" s="1880" t="n">
        <f aca="false">'Dimension socio-territoriale'!G200</f>
        <v>3</v>
      </c>
    </row>
    <row r="108" ht="15" customHeight="1">
      <c r="A108" s="1881" t="s">
        <v>3594</v>
      </c>
      <c r="B108" s="1912" t="s">
        <v>3163</v>
      </c>
      <c r="D108" s="1913" t="s">
        <v>3595</v>
      </c>
      <c r="E108" s="1880" t="n">
        <f aca="false">'Dimension socio-territoriale'!G203</f>
        <v>-2</v>
      </c>
    </row>
    <row r="109" ht="15" customHeight="1">
      <c r="A109" s="1881" t="s">
        <v>3596</v>
      </c>
      <c r="B109" s="1912" t="s">
        <v>3597</v>
      </c>
      <c r="D109" s="1913" t="s">
        <v>3449</v>
      </c>
      <c r="E109" s="1880" t="n">
        <f aca="false">'Dimension socio-territoriale'!G210</f>
        <v>2</v>
      </c>
    </row>
    <row r="110" ht="15" customHeight="1">
      <c r="A110" s="1881" t="s">
        <v>3598</v>
      </c>
      <c r="B110" s="1912" t="s">
        <v>3171</v>
      </c>
      <c r="D110" s="1913" t="s">
        <v>3444</v>
      </c>
      <c r="E110" s="1880" t="n">
        <f aca="false">'Dimension socio-territoriale'!G212</f>
        <v>1</v>
      </c>
    </row>
    <row r="111" ht="15" customHeight="1">
      <c r="A111" s="1881" t="s">
        <v>3599</v>
      </c>
      <c r="B111" s="1912" t="s">
        <v>3173</v>
      </c>
      <c r="D111" s="1913" t="s">
        <v>3504</v>
      </c>
      <c r="E111" s="1880" t="n">
        <f aca="false">'Dimension socio-territoriale'!G215</f>
        <v>2</v>
      </c>
    </row>
    <row r="112" ht="15" customHeight="1">
      <c r="A112" s="1881" t="s">
        <v>3600</v>
      </c>
      <c r="B112" s="1912" t="s">
        <v>3601</v>
      </c>
      <c r="D112" s="1913" t="s">
        <v>3454</v>
      </c>
      <c r="E112" s="1880" t="n">
        <f aca="false">'Dimension socio-territoriale'!G224</f>
        <v>0</v>
      </c>
    </row>
    <row r="113" ht="15" customHeight="1">
      <c r="A113" s="1881" t="s">
        <v>3602</v>
      </c>
      <c r="B113" s="1912" t="s">
        <v>3603</v>
      </c>
      <c r="D113" s="1913" t="s">
        <v>3449</v>
      </c>
      <c r="E113" s="1880" t="n">
        <f aca="false">'Dimension socio-territoriale'!G227</f>
        <v>0</v>
      </c>
    </row>
    <row r="114" ht="15" customHeight="1">
      <c r="A114" s="1881" t="s">
        <v>3604</v>
      </c>
      <c r="B114" s="1912" t="s">
        <v>3605</v>
      </c>
      <c r="D114" s="1913" t="s">
        <v>3449</v>
      </c>
      <c r="E114" s="1880" t="n">
        <f aca="false">'Dimension socio-territoriale'!G230</f>
        <v>2</v>
      </c>
    </row>
    <row r="115" ht="15" customHeight="1">
      <c r="A115" s="1881" t="s">
        <v>3606</v>
      </c>
      <c r="B115" s="1912" t="s">
        <v>3185</v>
      </c>
      <c r="D115" s="1913" t="s">
        <v>3449</v>
      </c>
      <c r="E115" s="1880" t="n">
        <f aca="false">'Dimension socio-territoriale'!G238</f>
        <v>2</v>
      </c>
    </row>
    <row r="116" ht="15" customHeight="1">
      <c r="A116" s="1881" t="s">
        <v>3607</v>
      </c>
      <c r="B116" s="1912" t="s">
        <v>3608</v>
      </c>
      <c r="D116" s="1913" t="s">
        <v>3449</v>
      </c>
      <c r="E116" s="1880" t="n">
        <f aca="false">'Dimension socio-territoriale'!G241</f>
        <v>2</v>
      </c>
    </row>
    <row r="117" ht="15" customHeight="1">
      <c r="A117" s="1881" t="s">
        <v>3609</v>
      </c>
      <c r="B117" s="1912" t="s">
        <v>3610</v>
      </c>
      <c r="D117" s="1913" t="s">
        <v>3449</v>
      </c>
      <c r="E117" s="1880" t="n">
        <f aca="false">'Dimension socio-territoriale'!G244</f>
        <v>0</v>
      </c>
    </row>
    <row r="118" ht="15" customHeight="1">
      <c r="A118" s="1881" t="s">
        <v>3611</v>
      </c>
      <c r="B118" s="1912" t="s">
        <v>3612</v>
      </c>
      <c r="D118" s="1913" t="s">
        <v>3449</v>
      </c>
      <c r="E118" s="1880" t="n">
        <f aca="false">'Dimension socio-territoriale'!G247</f>
        <v>0</v>
      </c>
    </row>
    <row r="119" ht="15" customHeight="1">
      <c r="A119" s="1881" t="s">
        <v>3613</v>
      </c>
      <c r="B119" s="1912" t="s">
        <v>3614</v>
      </c>
      <c r="D119" s="1913" t="s">
        <v>3449</v>
      </c>
      <c r="E119" s="1880" t="n">
        <f aca="false">'Dimension socio-territoriale'!G250</f>
        <v>0</v>
      </c>
    </row>
    <row r="120" ht="15" customHeight="1">
      <c r="A120" s="1881" t="s">
        <v>3615</v>
      </c>
      <c r="B120" s="1912" t="s">
        <v>3616</v>
      </c>
      <c r="D120" s="1913" t="s">
        <v>3501</v>
      </c>
      <c r="E120" s="1880" t="n">
        <f aca="false">'Dimension socio-territoriale'!G253</f>
        <v>0</v>
      </c>
    </row>
    <row r="121" ht="15" customHeight="1">
      <c r="A121" s="1881" t="s">
        <v>3617</v>
      </c>
      <c r="B121" s="1912" t="s">
        <v>3196</v>
      </c>
      <c r="D121" s="1913" t="s">
        <v>3442</v>
      </c>
      <c r="E121" s="1880" t="n">
        <f aca="false">'Dimension socio-territoriale'!G259</f>
        <v>2</v>
      </c>
    </row>
    <row r="122" ht="15" customHeight="1">
      <c r="A122" s="1881" t="s">
        <v>3618</v>
      </c>
      <c r="B122" s="1912" t="s">
        <v>3619</v>
      </c>
      <c r="D122" s="1913" t="s">
        <v>3473</v>
      </c>
      <c r="E122" s="1880" t="n">
        <f aca="false">'Dimension socio-territoriale'!G262</f>
        <v>0</v>
      </c>
    </row>
    <row r="123" ht="15" customHeight="1">
      <c r="A123" s="1881" t="s">
        <v>3620</v>
      </c>
      <c r="B123" s="1912" t="s">
        <v>3621</v>
      </c>
      <c r="D123" s="1913" t="s">
        <v>3473</v>
      </c>
      <c r="E123" s="1880" t="n">
        <f aca="false">'Dimension socio-territoriale'!G269</f>
        <v>5</v>
      </c>
    </row>
    <row r="124" ht="15" customHeight="1">
      <c r="A124" s="1881" t="s">
        <v>3622</v>
      </c>
      <c r="B124" s="1912" t="s">
        <v>3623</v>
      </c>
      <c r="D124" s="1913" t="s">
        <v>3454</v>
      </c>
      <c r="E124" s="1880" t="n">
        <f aca="false">'Dimension socio-territoriale'!E277</f>
        <v>2</v>
      </c>
    </row>
    <row r="125" ht="15" customHeight="1">
      <c r="A125" s="1881" t="s">
        <v>3624</v>
      </c>
      <c r="B125" s="1912" t="s">
        <v>3625</v>
      </c>
      <c r="D125" s="1913" t="s">
        <v>3454</v>
      </c>
      <c r="E125" s="1880" t="n">
        <f aca="false">'Dimension socio-territoriale'!E278</f>
        <v>1</v>
      </c>
    </row>
    <row r="126" ht="15" customHeight="1">
      <c r="A126" s="1881" t="s">
        <v>3626</v>
      </c>
      <c r="B126" s="1912" t="s">
        <v>3627</v>
      </c>
      <c r="D126" s="1913" t="s">
        <v>3473</v>
      </c>
      <c r="E126" s="1880" t="n">
        <f aca="false">'Dimension socio-territoriale'!G286</f>
        <v>4</v>
      </c>
    </row>
    <row r="127" ht="15" customHeight="1">
      <c r="A127" s="1881" t="s">
        <v>3628</v>
      </c>
      <c r="B127" s="1912" t="s">
        <v>3218</v>
      </c>
      <c r="D127" s="1913" t="s">
        <v>3515</v>
      </c>
      <c r="E127" s="1880" t="n">
        <f aca="false">'Dimension socio-territoriale'!G299</f>
        <v>5</v>
      </c>
    </row>
    <row r="128" ht="15" customHeight="1">
      <c r="A128" s="1881" t="s">
        <v>3629</v>
      </c>
      <c r="B128" s="1912" t="s">
        <v>3227</v>
      </c>
      <c r="D128" s="1913" t="s">
        <v>3630</v>
      </c>
      <c r="E128" s="1880" t="n">
        <f aca="false">'Dimension économique'!F6</f>
        <v>12</v>
      </c>
    </row>
    <row r="129" ht="15" customHeight="1">
      <c r="A129" s="1881" t="s">
        <v>3631</v>
      </c>
      <c r="B129" s="1912" t="s">
        <v>3229</v>
      </c>
      <c r="D129" s="1913" t="s">
        <v>3439</v>
      </c>
      <c r="E129" s="1880" t="n">
        <f aca="false">'Dimension économique'!F9</f>
        <v>4</v>
      </c>
    </row>
    <row r="130" ht="15" customHeight="1">
      <c r="A130" s="1881" t="s">
        <v>3632</v>
      </c>
      <c r="B130" s="1912" t="s">
        <v>3633</v>
      </c>
      <c r="D130" s="1913" t="s">
        <v>3634</v>
      </c>
      <c r="E130" s="1880" t="n">
        <f aca="false">'Dimension économique'!F15</f>
        <v>0</v>
      </c>
    </row>
    <row r="131" ht="15" customHeight="1">
      <c r="A131" s="1881" t="s">
        <v>3635</v>
      </c>
      <c r="B131" s="1912" t="s">
        <v>3636</v>
      </c>
      <c r="D131" s="1913" t="s">
        <v>3473</v>
      </c>
      <c r="E131" s="1880" t="n">
        <f aca="false">'Dimension économique'!F22</f>
        <v>6</v>
      </c>
    </row>
    <row r="132" ht="15" customHeight="1">
      <c r="A132" s="1881" t="s">
        <v>3637</v>
      </c>
      <c r="B132" s="1912" t="s">
        <v>3638</v>
      </c>
      <c r="D132" s="1913" t="s">
        <v>3469</v>
      </c>
      <c r="E132" s="1880" t="n">
        <f aca="false">'Dimension économique'!F29</f>
        <v>4</v>
      </c>
    </row>
    <row r="133" ht="15" customHeight="1">
      <c r="A133" s="1881" t="s">
        <v>3639</v>
      </c>
      <c r="B133" s="1912" t="s">
        <v>3640</v>
      </c>
      <c r="D133" s="1913" t="s">
        <v>3442</v>
      </c>
      <c r="E133" s="1880" t="n">
        <f aca="false">'Dimension économique'!F32</f>
        <v>2</v>
      </c>
    </row>
    <row r="134" ht="15" customHeight="1">
      <c r="A134" s="1881" t="s">
        <v>3641</v>
      </c>
      <c r="B134" s="1912" t="s">
        <v>3642</v>
      </c>
      <c r="D134" s="1913" t="s">
        <v>3473</v>
      </c>
      <c r="E134" s="1880" t="n">
        <f aca="false">'Dimension économique'!F40</f>
        <v>3</v>
      </c>
    </row>
    <row r="135" ht="15" customHeight="1">
      <c r="A135" s="1881" t="s">
        <v>3643</v>
      </c>
      <c r="B135" s="1912" t="s">
        <v>3644</v>
      </c>
      <c r="D135" s="1913" t="s">
        <v>3473</v>
      </c>
      <c r="E135" s="1880" t="n">
        <f aca="false">'Dimension économique'!E45</f>
        <v>3</v>
      </c>
    </row>
    <row r="136" ht="15" customHeight="1">
      <c r="A136" s="1881" t="s">
        <v>3645</v>
      </c>
      <c r="B136" s="1912" t="s">
        <v>3646</v>
      </c>
      <c r="D136" s="1913" t="s">
        <v>3501</v>
      </c>
      <c r="E136" s="1880" t="n">
        <f aca="false">'Dimension économique'!E47</f>
        <v>-2</v>
      </c>
    </row>
    <row r="137" ht="15" customHeight="1">
      <c r="A137" s="1881" t="s">
        <v>3647</v>
      </c>
      <c r="B137" s="1912" t="s">
        <v>3648</v>
      </c>
      <c r="D137" s="1913" t="s">
        <v>3473</v>
      </c>
      <c r="E137" s="1880" t="n">
        <f aca="false">'Dimension économique'!F53</f>
        <v>6</v>
      </c>
    </row>
    <row r="138" ht="15" customHeight="1">
      <c r="A138" s="1881" t="s">
        <v>3649</v>
      </c>
      <c r="B138" s="1912" t="s">
        <v>3650</v>
      </c>
      <c r="D138" s="1913" t="s">
        <v>3442</v>
      </c>
      <c r="E138" s="1880" t="n">
        <f aca="false">'Dimension économique'!F60</f>
        <v>4</v>
      </c>
    </row>
    <row r="139" ht="15" customHeight="1">
      <c r="A139" s="1881" t="s">
        <v>3651</v>
      </c>
      <c r="B139" s="1912" t="s">
        <v>3652</v>
      </c>
      <c r="D139" s="1913" t="s">
        <v>3653</v>
      </c>
      <c r="E139" s="1880" t="n">
        <f aca="false">'Dimension économique'!F67</f>
        <v>6</v>
      </c>
    </row>
    <row r="140" ht="15" customHeight="1">
      <c r="A140" s="1881" t="s">
        <v>3654</v>
      </c>
      <c r="B140" s="1912" t="s">
        <v>3655</v>
      </c>
      <c r="D140" s="1913" t="s">
        <v>3439</v>
      </c>
      <c r="E140" s="1880" t="n">
        <f aca="false">'Dimension économique'!F76</f>
        <v>5</v>
      </c>
    </row>
    <row r="141" ht="15" customHeight="1">
      <c r="A141" s="1881" t="s">
        <v>3656</v>
      </c>
      <c r="B141" s="1912" t="s">
        <v>3657</v>
      </c>
      <c r="D141" s="1913" t="s">
        <v>3454</v>
      </c>
      <c r="E141" s="1880" t="n">
        <f aca="false">'Dimension économique'!F79</f>
        <v>3</v>
      </c>
    </row>
    <row r="142" ht="15" customHeight="1">
      <c r="A142" s="1881" t="s">
        <v>3658</v>
      </c>
      <c r="B142" s="1912" t="s">
        <v>3659</v>
      </c>
      <c r="D142" s="1913" t="s">
        <v>3634</v>
      </c>
      <c r="E142" s="1880" t="n">
        <f aca="false">'Dimension économique'!F88</f>
        <v>12</v>
      </c>
    </row>
    <row r="143" ht="15.75" customHeight="1">
      <c r="A143" s="1900" t="s">
        <v>3660</v>
      </c>
      <c r="B143" s="1926" t="s">
        <v>3661</v>
      </c>
      <c r="D143" s="1927" t="s">
        <v>3469</v>
      </c>
      <c r="E143" s="1899" t="n">
        <f aca="false">'Dimension économique'!F96</f>
        <v>0</v>
      </c>
    </row>
  </sheetData>
  <mergeCells count="3">
    <mergeCell ref="A3:E3"/>
    <mergeCell ref="A24:E24"/>
    <mergeCell ref="B25:C25"/>
  </mergeCells>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OddEven="0" differentFirst="0" scaleWithDoc="0" alignWithMargins="0">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ECECE"/>
  </sheetPr>
  <dimension ref="A1"/>
  <sheetViews>
    <sheetView workbookViewId="0" zoomScale="100" showGridLines="0" tabSelected="0"/>
  </sheetViews>
  <sheetFormatPr defaultRowHeight="15.0" baseColWidth="10"/>
  <cols>
    <col min="1" max="1" width="26.71" hidden="0" customWidth="1"/>
    <col min="2" max="2" width="26.71" hidden="0" customWidth="1"/>
    <col min="3" max="3" width="26.71" hidden="0" customWidth="1"/>
    <col min="4" max="4" width="2.71" hidden="0" customWidth="1"/>
  </cols>
  <sheetData>
    <row r="2">
      <c r="A2" s="1928" t="s">
        <v>3662</v>
      </c>
      <c r="B2" s="1928" t="s">
        <v>3295</v>
      </c>
      <c r="C2" s="1928" t="s">
        <v>2832</v>
      </c>
    </row>
    <row r="3">
      <c r="A3" s="1929" t="s">
        <v>2628</v>
      </c>
      <c r="B3" s="1929" t="s">
        <v>37</v>
      </c>
      <c r="C3" s="1929" t="n">
        <v>52</v>
      </c>
    </row>
    <row r="4">
      <c r="A4" s="1929" t="s">
        <v>3663</v>
      </c>
      <c r="B4" s="1929" t="s">
        <v>3664</v>
      </c>
      <c r="C4" s="1929" t="n">
        <v>72</v>
      </c>
    </row>
    <row r="5">
      <c r="A5" s="1929" t="s">
        <v>3665</v>
      </c>
      <c r="B5" s="1929" t="s">
        <v>43</v>
      </c>
      <c r="C5" s="1929" t="n">
        <v>68</v>
      </c>
    </row>
  </sheetData>
  <pageMargins left="0.7" right="0.7" top="0.75" bottom="0.75" header="0.3" footer="0.3"/>
  <pageSetup paperSize="9" orientation="portrait" horizontalDpi="300" verticalDpi="300" r:id="rId2"/>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ECECE"/>
  </sheetPr>
  <dimension ref="A1"/>
  <sheetViews>
    <sheetView workbookViewId="0" zoomScale="100" showGridLines="0" tabSelected="0"/>
  </sheetViews>
  <sheetFormatPr defaultRowHeight="15.0" baseColWidth="10"/>
  <cols>
    <col min="1" max="1" width="3.71" hidden="0" customWidth="1"/>
    <col min="2" max="2" width="18.71" hidden="0" customWidth="1"/>
    <col min="3" max="3" width="60.71" hidden="0" customWidth="1"/>
    <col min="4" max="4" width="5.71" hidden="0" customWidth="1"/>
    <col min="5" max="5" width="12.71" hidden="0" customWidth="1"/>
    <col min="6" max="6" width="2.71" hidden="0" customWidth="1"/>
  </cols>
  <sheetData>
    <row r="2">
      <c r="A2" s="1928" t="s">
        <v>3662</v>
      </c>
      <c r="B2" s="1928" t="s">
        <v>3295</v>
      </c>
      <c r="C2" s="1928" t="s">
        <v>3296</v>
      </c>
      <c r="D2" s="1928" t="s">
        <v>2832</v>
      </c>
      <c r="E2" s="1928" t="s">
        <v>3666</v>
      </c>
    </row>
    <row r="3">
      <c r="A3" s="1929" t="s">
        <v>2628</v>
      </c>
      <c r="B3" s="1929" t="s">
        <v>37</v>
      </c>
      <c r="C3" s="1929" t="s">
        <v>2819</v>
      </c>
      <c r="D3" s="1929" t="n">
        <v>8</v>
      </c>
      <c r="E3" s="1929" t="n">
        <v>20</v>
      </c>
    </row>
    <row r="4">
      <c r="A4" s="1929" t="s">
        <v>3663</v>
      </c>
      <c r="B4" s="1929" t="s">
        <v>37</v>
      </c>
      <c r="C4" s="1929" t="s">
        <v>3667</v>
      </c>
      <c r="D4" s="1929" t="n">
        <v>5</v>
      </c>
      <c r="E4" s="1929" t="n">
        <v>20</v>
      </c>
    </row>
    <row r="5">
      <c r="A5" s="1929" t="s">
        <v>3665</v>
      </c>
      <c r="B5" s="1929" t="s">
        <v>37</v>
      </c>
      <c r="C5" s="1929" t="s">
        <v>2933</v>
      </c>
      <c r="D5" s="1929" t="n">
        <v>11</v>
      </c>
      <c r="E5" s="1929" t="n">
        <v>20</v>
      </c>
    </row>
    <row r="6">
      <c r="A6" s="1929" t="s">
        <v>3668</v>
      </c>
      <c r="B6" s="1929" t="s">
        <v>37</v>
      </c>
      <c r="C6" s="1929" t="s">
        <v>2944</v>
      </c>
      <c r="D6" s="1929" t="n">
        <v>16</v>
      </c>
      <c r="E6" s="1929" t="n">
        <v>20</v>
      </c>
    </row>
    <row r="7">
      <c r="A7" s="1929" t="s">
        <v>2625</v>
      </c>
      <c r="B7" s="1929" t="s">
        <v>37</v>
      </c>
      <c r="C7" s="1929" t="s">
        <v>2987</v>
      </c>
      <c r="D7" s="1929" t="n">
        <v>12</v>
      </c>
      <c r="E7" s="1929" t="n">
        <v>20</v>
      </c>
    </row>
    <row r="8">
      <c r="A8" s="1929" t="s">
        <v>3669</v>
      </c>
      <c r="B8" s="1929" t="s">
        <v>3664</v>
      </c>
      <c r="C8" s="1929" t="s">
        <v>3042</v>
      </c>
      <c r="D8" s="1929" t="n">
        <v>17</v>
      </c>
      <c r="E8" s="1929" t="n">
        <v>25</v>
      </c>
    </row>
    <row r="9">
      <c r="A9" s="1929" t="s">
        <v>3670</v>
      </c>
      <c r="B9" s="1929" t="s">
        <v>3664</v>
      </c>
      <c r="C9" s="1929" t="s">
        <v>3671</v>
      </c>
      <c r="D9" s="1929" t="n">
        <v>16</v>
      </c>
      <c r="E9" s="1929" t="n">
        <v>25</v>
      </c>
    </row>
    <row r="10">
      <c r="A10" s="1929" t="s">
        <v>3672</v>
      </c>
      <c r="B10" s="1929" t="s">
        <v>3664</v>
      </c>
      <c r="C10" s="1929" t="s">
        <v>3137</v>
      </c>
      <c r="D10" s="1929" t="n">
        <v>20</v>
      </c>
      <c r="E10" s="1929" t="n">
        <v>25</v>
      </c>
    </row>
    <row r="11">
      <c r="A11" s="1929" t="s">
        <v>3673</v>
      </c>
      <c r="B11" s="1929" t="s">
        <v>3664</v>
      </c>
      <c r="C11" s="1929" t="s">
        <v>3183</v>
      </c>
      <c r="D11" s="1929" t="n">
        <v>19</v>
      </c>
      <c r="E11" s="1929" t="n">
        <v>25</v>
      </c>
    </row>
    <row r="12">
      <c r="A12" s="1929" t="s">
        <v>3674</v>
      </c>
      <c r="B12" s="1929" t="s">
        <v>43</v>
      </c>
      <c r="C12" s="1929" t="s">
        <v>3223</v>
      </c>
      <c r="D12" s="1929" t="n">
        <v>22</v>
      </c>
      <c r="E12" s="1929" t="n">
        <v>35</v>
      </c>
    </row>
    <row r="13">
      <c r="A13" s="1929" t="s">
        <v>3675</v>
      </c>
      <c r="B13" s="1929" t="s">
        <v>43</v>
      </c>
      <c r="C13" s="1929" t="s">
        <v>3238</v>
      </c>
      <c r="D13" s="1929" t="n">
        <v>20</v>
      </c>
      <c r="E13" s="1929" t="n">
        <v>25</v>
      </c>
    </row>
    <row r="14">
      <c r="A14" s="1929" t="s">
        <v>3676</v>
      </c>
      <c r="B14" s="1929" t="s">
        <v>43</v>
      </c>
      <c r="C14" s="1929" t="s">
        <v>3264</v>
      </c>
      <c r="D14" s="1929" t="n">
        <v>14</v>
      </c>
      <c r="E14" s="1929" t="n">
        <v>20</v>
      </c>
    </row>
    <row r="15">
      <c r="A15" s="1929" t="s">
        <v>3677</v>
      </c>
      <c r="B15" s="1929" t="s">
        <v>43</v>
      </c>
      <c r="C15" s="1929" t="s">
        <v>3285</v>
      </c>
      <c r="D15" s="1929" t="n">
        <v>12</v>
      </c>
      <c r="E15" s="1929" t="n">
        <v>20</v>
      </c>
    </row>
  </sheetData>
  <conditionalFormatting sqref="A1:E300">
    <cfRule type="containsText" dxfId="0" priority="3" operator="containsText" text="Agroécologique">
      <formula>NOT(ISERROR(SEARCH("Agroécologique", A1)))</formula>
    </cfRule>
    <cfRule type="containsText" dxfId="1" priority="2" operator="containsText" text="Socio-">
      <formula>NOT(ISERROR(SEARCH("Socio-", A1)))</formula>
    </cfRule>
    <cfRule type="containsText" dxfId="2" priority="1" operator="containsText" text="Economique">
      <formula>NOT(ISERROR(SEARCH("Economique", A1)))</formula>
    </cfRule>
  </conditionalFormatting>
  <pageMargins left="0.7" right="0.7" top="0.75" bottom="0.75" header="0.3" footer="0.3"/>
  <pageSetup paperSize="9" orientation="portrait" horizontalDpi="300" verticalDpi="300" r:id="rId2"/>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ECECE"/>
  </sheetPr>
  <dimension ref="A1"/>
  <sheetViews>
    <sheetView workbookViewId="0" zoomScale="100" showGridLines="0" tabSelected="0"/>
  </sheetViews>
  <sheetFormatPr defaultRowHeight="15.0" baseColWidth="10"/>
  <cols>
    <col min="4" max="4" width="75.71" hidden="0" customWidth="1"/>
    <col min="7" max="7" width="2.71" hidden="0" customWidth="1"/>
  </cols>
  <sheetData>
    <row r="2">
      <c r="A2" s="1928" t="s">
        <v>3662</v>
      </c>
      <c r="B2" s="1928" t="s">
        <v>3295</v>
      </c>
      <c r="C2" s="1928" t="s">
        <v>3296</v>
      </c>
      <c r="D2" s="1928" t="s">
        <v>3297</v>
      </c>
      <c r="E2" s="1928" t="s">
        <v>2832</v>
      </c>
      <c r="F2" s="1928" t="s">
        <v>3666</v>
      </c>
    </row>
    <row r="3">
      <c r="A3" s="1929" t="s">
        <v>2628</v>
      </c>
      <c r="B3" s="1929" t="s">
        <v>37</v>
      </c>
      <c r="C3" s="1929" t="s">
        <v>2819</v>
      </c>
      <c r="D3" s="1929" t="s">
        <v>3678</v>
      </c>
      <c r="E3" s="1929" t="n">
        <v>3</v>
      </c>
      <c r="F3" s="1929" t="n">
        <v>5</v>
      </c>
    </row>
    <row r="4">
      <c r="A4" s="1929" t="s">
        <v>3663</v>
      </c>
      <c r="B4" s="1929" t="s">
        <v>37</v>
      </c>
      <c r="C4" s="1929" t="s">
        <v>2819</v>
      </c>
      <c r="D4" s="1929" t="s">
        <v>3679</v>
      </c>
      <c r="E4" s="1929" t="n">
        <v>2</v>
      </c>
      <c r="F4" s="1929" t="n">
        <v>5</v>
      </c>
    </row>
    <row r="5">
      <c r="A5" s="1929" t="s">
        <v>3665</v>
      </c>
      <c r="B5" s="1929" t="s">
        <v>37</v>
      </c>
      <c r="C5" s="1929" t="s">
        <v>2819</v>
      </c>
      <c r="D5" s="1929" t="s">
        <v>3680</v>
      </c>
      <c r="E5" s="1929" t="n">
        <v>0</v>
      </c>
      <c r="F5" s="1929" t="n">
        <v>5</v>
      </c>
    </row>
    <row r="6">
      <c r="A6" s="1929" t="s">
        <v>3668</v>
      </c>
      <c r="B6" s="1929" t="s">
        <v>37</v>
      </c>
      <c r="C6" s="1929" t="s">
        <v>2819</v>
      </c>
      <c r="D6" s="1929" t="s">
        <v>3681</v>
      </c>
      <c r="E6" s="1929" t="n">
        <v>1</v>
      </c>
      <c r="F6" s="1929" t="n">
        <v>5</v>
      </c>
    </row>
    <row r="7">
      <c r="A7" s="1929" t="s">
        <v>2625</v>
      </c>
      <c r="B7" s="1929" t="s">
        <v>37</v>
      </c>
      <c r="C7" s="1929" t="s">
        <v>2819</v>
      </c>
      <c r="D7" s="1929" t="s">
        <v>3682</v>
      </c>
      <c r="E7" s="1929" t="n">
        <v>2</v>
      </c>
      <c r="F7" s="1929" t="n">
        <v>5</v>
      </c>
    </row>
    <row r="8">
      <c r="A8" s="1929" t="s">
        <v>3669</v>
      </c>
      <c r="B8" s="1929" t="s">
        <v>37</v>
      </c>
      <c r="C8" s="1929" t="s">
        <v>3667</v>
      </c>
      <c r="D8" s="1929" t="s">
        <v>3683</v>
      </c>
      <c r="E8" s="1929" t="n">
        <v>2</v>
      </c>
      <c r="F8" s="1929" t="n">
        <v>8</v>
      </c>
    </row>
    <row r="9">
      <c r="A9" s="1929" t="s">
        <v>3670</v>
      </c>
      <c r="B9" s="1929" t="s">
        <v>37</v>
      </c>
      <c r="C9" s="1929" t="s">
        <v>3667</v>
      </c>
      <c r="D9" s="1929" t="s">
        <v>3684</v>
      </c>
      <c r="E9" s="1929" t="n">
        <v>0</v>
      </c>
      <c r="F9" s="1929" t="n">
        <v>8</v>
      </c>
    </row>
    <row r="10">
      <c r="A10" s="1929" t="s">
        <v>3672</v>
      </c>
      <c r="B10" s="1929" t="s">
        <v>37</v>
      </c>
      <c r="C10" s="1929" t="s">
        <v>3667</v>
      </c>
      <c r="D10" s="1929" t="s">
        <v>3685</v>
      </c>
      <c r="E10" s="1929" t="n">
        <v>3</v>
      </c>
      <c r="F10" s="1929" t="n">
        <v>8</v>
      </c>
    </row>
    <row r="11">
      <c r="A11" s="1929" t="s">
        <v>3673</v>
      </c>
      <c r="B11" s="1929" t="s">
        <v>37</v>
      </c>
      <c r="C11" s="1929" t="s">
        <v>2933</v>
      </c>
      <c r="D11" s="1929" t="s">
        <v>3686</v>
      </c>
      <c r="E11" s="1929" t="n">
        <v>0</v>
      </c>
      <c r="F11" s="1929" t="n">
        <v>8</v>
      </c>
    </row>
    <row r="12">
      <c r="A12" s="1929" t="s">
        <v>3674</v>
      </c>
      <c r="B12" s="1929" t="s">
        <v>37</v>
      </c>
      <c r="C12" s="1929" t="s">
        <v>2933</v>
      </c>
      <c r="D12" s="1929" t="s">
        <v>3687</v>
      </c>
      <c r="E12" s="1929" t="n">
        <v>6</v>
      </c>
      <c r="F12" s="1929" t="n">
        <v>8</v>
      </c>
    </row>
    <row r="13">
      <c r="A13" s="1929" t="s">
        <v>3675</v>
      </c>
      <c r="B13" s="1929" t="s">
        <v>37</v>
      </c>
      <c r="C13" s="1929" t="s">
        <v>2933</v>
      </c>
      <c r="D13" s="1929" t="s">
        <v>3688</v>
      </c>
      <c r="E13" s="1929" t="n">
        <v>5</v>
      </c>
      <c r="F13" s="1929" t="n">
        <v>8</v>
      </c>
    </row>
    <row r="14">
      <c r="A14" s="1929" t="s">
        <v>3676</v>
      </c>
      <c r="B14" s="1929" t="s">
        <v>37</v>
      </c>
      <c r="C14" s="1929" t="s">
        <v>2944</v>
      </c>
      <c r="D14" s="1929" t="s">
        <v>3689</v>
      </c>
      <c r="E14" s="1929" t="n">
        <v>8</v>
      </c>
      <c r="F14" s="1929" t="n">
        <v>8</v>
      </c>
    </row>
    <row r="15">
      <c r="A15" s="1929" t="s">
        <v>3677</v>
      </c>
      <c r="B15" s="1929" t="s">
        <v>37</v>
      </c>
      <c r="C15" s="1929" t="s">
        <v>2944</v>
      </c>
      <c r="D15" s="1929" t="s">
        <v>3690</v>
      </c>
      <c r="E15" s="1929" t="n">
        <v>2</v>
      </c>
      <c r="F15" s="1929" t="n">
        <v>8</v>
      </c>
    </row>
    <row r="16">
      <c r="A16" s="1929" t="s">
        <v>3691</v>
      </c>
      <c r="B16" s="1929" t="s">
        <v>37</v>
      </c>
      <c r="C16" s="1929" t="s">
        <v>2944</v>
      </c>
      <c r="D16" s="1929" t="s">
        <v>3692</v>
      </c>
      <c r="E16" s="1929" t="n">
        <v>2</v>
      </c>
      <c r="F16" s="1929" t="n">
        <v>4</v>
      </c>
    </row>
    <row r="17">
      <c r="A17" s="1929" t="s">
        <v>3693</v>
      </c>
      <c r="B17" s="1929" t="s">
        <v>37</v>
      </c>
      <c r="C17" s="1929" t="s">
        <v>2944</v>
      </c>
      <c r="D17" s="1929" t="s">
        <v>3694</v>
      </c>
      <c r="E17" s="1929" t="n">
        <v>4</v>
      </c>
      <c r="F17" s="1929" t="n">
        <v>4</v>
      </c>
    </row>
    <row r="18">
      <c r="A18" s="1929" t="s">
        <v>3695</v>
      </c>
      <c r="B18" s="1929" t="s">
        <v>37</v>
      </c>
      <c r="C18" s="1929" t="s">
        <v>2987</v>
      </c>
      <c r="D18" s="1929" t="s">
        <v>3696</v>
      </c>
      <c r="E18" s="1929" t="n">
        <v>1</v>
      </c>
      <c r="F18" s="1929" t="n">
        <v>6</v>
      </c>
    </row>
    <row r="19">
      <c r="A19" s="1929" t="s">
        <v>3697</v>
      </c>
      <c r="B19" s="1929" t="s">
        <v>37</v>
      </c>
      <c r="C19" s="1929" t="s">
        <v>2987</v>
      </c>
      <c r="D19" s="1929" t="s">
        <v>3698</v>
      </c>
      <c r="E19" s="1929" t="n">
        <v>3</v>
      </c>
      <c r="F19" s="1929" t="n">
        <v>6</v>
      </c>
    </row>
    <row r="20">
      <c r="A20" s="1929" t="s">
        <v>3699</v>
      </c>
      <c r="B20" s="1929" t="s">
        <v>37</v>
      </c>
      <c r="C20" s="1929" t="s">
        <v>2987</v>
      </c>
      <c r="D20" s="1929" t="s">
        <v>3700</v>
      </c>
      <c r="E20" s="1929" t="n">
        <v>5</v>
      </c>
      <c r="F20" s="1929" t="n">
        <v>6</v>
      </c>
    </row>
    <row r="21">
      <c r="A21" s="1929" t="s">
        <v>3701</v>
      </c>
      <c r="B21" s="1929" t="s">
        <v>37</v>
      </c>
      <c r="C21" s="1929" t="s">
        <v>2987</v>
      </c>
      <c r="D21" s="1929" t="s">
        <v>3702</v>
      </c>
      <c r="E21" s="1929" t="n">
        <v>3</v>
      </c>
      <c r="F21" s="1929" t="n">
        <v>6</v>
      </c>
    </row>
    <row r="22">
      <c r="A22" s="1929" t="s">
        <v>3703</v>
      </c>
      <c r="B22" s="1929" t="s">
        <v>3664</v>
      </c>
      <c r="C22" s="1929" t="s">
        <v>3042</v>
      </c>
      <c r="D22" s="1929" t="s">
        <v>3704</v>
      </c>
      <c r="E22" s="1929" t="n">
        <v>6</v>
      </c>
      <c r="F22" s="1929" t="n">
        <v>6</v>
      </c>
    </row>
    <row r="23">
      <c r="A23" s="1929" t="s">
        <v>3705</v>
      </c>
      <c r="B23" s="1929" t="s">
        <v>3664</v>
      </c>
      <c r="C23" s="1929" t="s">
        <v>3042</v>
      </c>
      <c r="D23" s="1929" t="s">
        <v>3706</v>
      </c>
      <c r="E23" s="1929" t="n">
        <v>6</v>
      </c>
      <c r="F23" s="1929" t="n">
        <v>6</v>
      </c>
    </row>
    <row r="24">
      <c r="A24" s="1929" t="s">
        <v>3707</v>
      </c>
      <c r="B24" s="1929" t="s">
        <v>3664</v>
      </c>
      <c r="C24" s="1929" t="s">
        <v>3042</v>
      </c>
      <c r="D24" s="1929" t="s">
        <v>3708</v>
      </c>
      <c r="E24" s="1929" t="n">
        <v>0</v>
      </c>
      <c r="F24" s="1929" t="n">
        <v>6</v>
      </c>
    </row>
    <row r="25">
      <c r="A25" s="1929" t="s">
        <v>3709</v>
      </c>
      <c r="B25" s="1929" t="s">
        <v>3664</v>
      </c>
      <c r="C25" s="1929" t="s">
        <v>3042</v>
      </c>
      <c r="D25" s="1929" t="s">
        <v>3710</v>
      </c>
      <c r="E25" s="1929" t="n">
        <v>2</v>
      </c>
      <c r="F25" s="1929" t="n">
        <v>6</v>
      </c>
    </row>
    <row r="26">
      <c r="A26" s="1929" t="s">
        <v>3711</v>
      </c>
      <c r="B26" s="1929" t="s">
        <v>3664</v>
      </c>
      <c r="C26" s="1929" t="s">
        <v>3042</v>
      </c>
      <c r="D26" s="1929" t="s">
        <v>3712</v>
      </c>
      <c r="E26" s="1929" t="n">
        <v>3</v>
      </c>
      <c r="F26" s="1929" t="n">
        <v>6</v>
      </c>
    </row>
    <row r="27">
      <c r="A27" s="1929" t="s">
        <v>3713</v>
      </c>
      <c r="B27" s="1929" t="s">
        <v>3664</v>
      </c>
      <c r="C27" s="1929" t="s">
        <v>3671</v>
      </c>
      <c r="D27" s="1929" t="s">
        <v>3714</v>
      </c>
      <c r="E27" s="1929" t="n">
        <v>0</v>
      </c>
      <c r="F27" s="1929" t="n">
        <v>5</v>
      </c>
    </row>
    <row r="28">
      <c r="A28" s="1929" t="s">
        <v>3715</v>
      </c>
      <c r="B28" s="1929" t="s">
        <v>3664</v>
      </c>
      <c r="C28" s="1929" t="s">
        <v>3671</v>
      </c>
      <c r="D28" s="1929" t="s">
        <v>3716</v>
      </c>
      <c r="E28" s="1929" t="n">
        <v>0</v>
      </c>
      <c r="F28" s="1929" t="n">
        <v>3</v>
      </c>
    </row>
    <row r="29">
      <c r="A29" s="1929" t="s">
        <v>3717</v>
      </c>
      <c r="B29" s="1929" t="s">
        <v>3664</v>
      </c>
      <c r="C29" s="1929" t="s">
        <v>3671</v>
      </c>
      <c r="D29" s="1929" t="s">
        <v>3718</v>
      </c>
      <c r="E29" s="1929" t="n">
        <v>0</v>
      </c>
      <c r="F29" s="1929" t="n">
        <v>5</v>
      </c>
    </row>
    <row r="30">
      <c r="A30" s="1929" t="s">
        <v>3719</v>
      </c>
      <c r="B30" s="1929" t="s">
        <v>3664</v>
      </c>
      <c r="C30" s="1929" t="s">
        <v>3671</v>
      </c>
      <c r="D30" s="1929" t="s">
        <v>3720</v>
      </c>
      <c r="E30" s="1929" t="n">
        <v>5</v>
      </c>
      <c r="F30" s="1929" t="n">
        <v>5</v>
      </c>
    </row>
    <row r="31">
      <c r="A31" s="1929" t="s">
        <v>3721</v>
      </c>
      <c r="B31" s="1929" t="s">
        <v>3664</v>
      </c>
      <c r="C31" s="1929" t="s">
        <v>3671</v>
      </c>
      <c r="D31" s="1929" t="s">
        <v>3722</v>
      </c>
      <c r="E31" s="1929" t="n">
        <v>3</v>
      </c>
      <c r="F31" s="1929" t="n">
        <v>3</v>
      </c>
    </row>
    <row r="32">
      <c r="A32" s="1929" t="s">
        <v>3723</v>
      </c>
      <c r="B32" s="1929" t="s">
        <v>3664</v>
      </c>
      <c r="C32" s="1929" t="s">
        <v>3671</v>
      </c>
      <c r="D32" s="1929" t="s">
        <v>3724</v>
      </c>
      <c r="E32" s="1929" t="n">
        <v>3</v>
      </c>
      <c r="F32" s="1929" t="n">
        <v>3</v>
      </c>
    </row>
    <row r="33">
      <c r="A33" s="1929" t="s">
        <v>3725</v>
      </c>
      <c r="B33" s="1929" t="s">
        <v>3664</v>
      </c>
      <c r="C33" s="1929" t="s">
        <v>3671</v>
      </c>
      <c r="D33" s="1929" t="s">
        <v>3726</v>
      </c>
      <c r="E33" s="1929" t="n">
        <v>2</v>
      </c>
      <c r="F33" s="1929" t="n">
        <v>3</v>
      </c>
    </row>
    <row r="34">
      <c r="A34" s="1929" t="s">
        <v>3727</v>
      </c>
      <c r="B34" s="1929" t="s">
        <v>3664</v>
      </c>
      <c r="C34" s="1929" t="s">
        <v>3671</v>
      </c>
      <c r="D34" s="1929" t="s">
        <v>3728</v>
      </c>
      <c r="E34" s="1929" t="n">
        <v>3</v>
      </c>
      <c r="F34" s="1929" t="n">
        <v>3</v>
      </c>
    </row>
    <row r="35">
      <c r="A35" s="1929" t="s">
        <v>3729</v>
      </c>
      <c r="B35" s="1929" t="s">
        <v>3664</v>
      </c>
      <c r="C35" s="1929" t="s">
        <v>3137</v>
      </c>
      <c r="D35" s="1929" t="s">
        <v>3730</v>
      </c>
      <c r="E35" s="1929" t="n">
        <v>6</v>
      </c>
      <c r="F35" s="1929" t="n">
        <v>6</v>
      </c>
    </row>
    <row r="36">
      <c r="A36" s="1929" t="s">
        <v>3731</v>
      </c>
      <c r="B36" s="1929" t="s">
        <v>3664</v>
      </c>
      <c r="C36" s="1929" t="s">
        <v>3137</v>
      </c>
      <c r="D36" s="1929" t="s">
        <v>3732</v>
      </c>
      <c r="E36" s="1929" t="n">
        <v>2</v>
      </c>
      <c r="F36" s="1929" t="n">
        <v>6</v>
      </c>
    </row>
    <row r="37">
      <c r="A37" s="1929" t="s">
        <v>3733</v>
      </c>
      <c r="B37" s="1929" t="s">
        <v>3664</v>
      </c>
      <c r="C37" s="1929" t="s">
        <v>3137</v>
      </c>
      <c r="D37" s="1929" t="s">
        <v>3734</v>
      </c>
      <c r="E37" s="1929" t="n">
        <v>5</v>
      </c>
      <c r="F37" s="1929" t="n">
        <v>6</v>
      </c>
    </row>
    <row r="38">
      <c r="A38" s="1929" t="s">
        <v>3735</v>
      </c>
      <c r="B38" s="1929" t="s">
        <v>3664</v>
      </c>
      <c r="C38" s="1929" t="s">
        <v>3137</v>
      </c>
      <c r="D38" s="1929" t="s">
        <v>3736</v>
      </c>
      <c r="E38" s="1929" t="n">
        <v>5</v>
      </c>
      <c r="F38" s="1929" t="n">
        <v>5</v>
      </c>
    </row>
    <row r="39">
      <c r="A39" s="1929" t="s">
        <v>3737</v>
      </c>
      <c r="B39" s="1929" t="s">
        <v>3664</v>
      </c>
      <c r="C39" s="1929" t="s">
        <v>3137</v>
      </c>
      <c r="D39" s="1929" t="s">
        <v>3738</v>
      </c>
      <c r="E39" s="1929" t="n">
        <v>2</v>
      </c>
      <c r="F39" s="1929" t="n">
        <v>5</v>
      </c>
    </row>
    <row r="40">
      <c r="A40" s="1929" t="s">
        <v>3739</v>
      </c>
      <c r="B40" s="1929" t="s">
        <v>3664</v>
      </c>
      <c r="C40" s="1929" t="s">
        <v>3183</v>
      </c>
      <c r="D40" s="1929" t="s">
        <v>3740</v>
      </c>
      <c r="E40" s="1929" t="n">
        <v>4</v>
      </c>
      <c r="F40" s="1929" t="n">
        <v>6</v>
      </c>
    </row>
    <row r="41">
      <c r="A41" s="1929" t="s">
        <v>3741</v>
      </c>
      <c r="B41" s="1929" t="s">
        <v>3664</v>
      </c>
      <c r="C41" s="1929" t="s">
        <v>3183</v>
      </c>
      <c r="D41" s="1929" t="s">
        <v>3742</v>
      </c>
      <c r="E41" s="1929" t="n">
        <v>2</v>
      </c>
      <c r="F41" s="1929" t="n">
        <v>6</v>
      </c>
    </row>
    <row r="42">
      <c r="A42" s="1929" t="s">
        <v>3743</v>
      </c>
      <c r="B42" s="1929" t="s">
        <v>3664</v>
      </c>
      <c r="C42" s="1929" t="s">
        <v>3183</v>
      </c>
      <c r="D42" s="1929" t="s">
        <v>3744</v>
      </c>
      <c r="E42" s="1929" t="n">
        <v>5</v>
      </c>
      <c r="F42" s="1929" t="n">
        <v>6</v>
      </c>
    </row>
    <row r="43">
      <c r="A43" s="1929" t="s">
        <v>3745</v>
      </c>
      <c r="B43" s="1929" t="s">
        <v>3664</v>
      </c>
      <c r="C43" s="1929" t="s">
        <v>3183</v>
      </c>
      <c r="D43" s="1929" t="s">
        <v>3746</v>
      </c>
      <c r="E43" s="1929" t="n">
        <v>3</v>
      </c>
      <c r="F43" s="1929" t="n">
        <v>6</v>
      </c>
    </row>
    <row r="44">
      <c r="A44" s="1929" t="s">
        <v>3747</v>
      </c>
      <c r="B44" s="1929" t="s">
        <v>3664</v>
      </c>
      <c r="C44" s="1929" t="s">
        <v>3183</v>
      </c>
      <c r="D44" s="1929" t="s">
        <v>3748</v>
      </c>
      <c r="E44" s="1929" t="n">
        <v>5</v>
      </c>
      <c r="F44" s="1929" t="n">
        <v>6</v>
      </c>
    </row>
    <row r="45">
      <c r="A45" s="1929" t="s">
        <v>3749</v>
      </c>
      <c r="B45" s="1929" t="s">
        <v>43</v>
      </c>
      <c r="C45" s="1929" t="s">
        <v>3223</v>
      </c>
      <c r="D45" s="1929" t="s">
        <v>3750</v>
      </c>
      <c r="E45" s="1929" t="n">
        <v>16</v>
      </c>
      <c r="F45" s="1929" t="n">
        <v>20</v>
      </c>
    </row>
    <row r="46">
      <c r="A46" s="1929" t="s">
        <v>3751</v>
      </c>
      <c r="B46" s="1929" t="s">
        <v>43</v>
      </c>
      <c r="C46" s="1929" t="s">
        <v>3223</v>
      </c>
      <c r="D46" s="1929" t="s">
        <v>3752</v>
      </c>
      <c r="E46" s="1929" t="n">
        <v>0</v>
      </c>
      <c r="F46" s="1929" t="n">
        <v>12</v>
      </c>
    </row>
    <row r="47">
      <c r="A47" s="1929" t="s">
        <v>3753</v>
      </c>
      <c r="B47" s="1929" t="s">
        <v>43</v>
      </c>
      <c r="C47" s="1929" t="s">
        <v>3223</v>
      </c>
      <c r="D47" s="1929" t="s">
        <v>3754</v>
      </c>
      <c r="E47" s="1929" t="n">
        <v>6</v>
      </c>
      <c r="F47" s="1929" t="n">
        <v>6</v>
      </c>
    </row>
    <row r="48">
      <c r="A48" s="1929" t="s">
        <v>3755</v>
      </c>
      <c r="B48" s="1929" t="s">
        <v>43</v>
      </c>
      <c r="C48" s="1929" t="s">
        <v>3238</v>
      </c>
      <c r="D48" s="1929" t="s">
        <v>3756</v>
      </c>
      <c r="E48" s="1929" t="n">
        <v>6</v>
      </c>
      <c r="F48" s="1929" t="n">
        <v>10</v>
      </c>
    </row>
    <row r="49">
      <c r="A49" s="1929" t="s">
        <v>3757</v>
      </c>
      <c r="B49" s="1929" t="s">
        <v>43</v>
      </c>
      <c r="C49" s="1929" t="s">
        <v>3238</v>
      </c>
      <c r="D49" s="1929" t="s">
        <v>3758</v>
      </c>
      <c r="E49" s="1929" t="n">
        <v>4</v>
      </c>
      <c r="F49" s="1929" t="n">
        <v>10</v>
      </c>
    </row>
    <row r="50">
      <c r="A50" s="1929" t="s">
        <v>3759</v>
      </c>
      <c r="B50" s="1929" t="s">
        <v>43</v>
      </c>
      <c r="C50" s="1929" t="s">
        <v>3238</v>
      </c>
      <c r="D50" s="1929" t="s">
        <v>3760</v>
      </c>
      <c r="E50" s="1929" t="n">
        <v>6</v>
      </c>
      <c r="F50" s="1929" t="n">
        <v>6</v>
      </c>
    </row>
    <row r="51">
      <c r="A51" s="1929" t="s">
        <v>3761</v>
      </c>
      <c r="B51" s="1929" t="s">
        <v>43</v>
      </c>
      <c r="C51" s="1929" t="s">
        <v>3238</v>
      </c>
      <c r="D51" s="1929" t="s">
        <v>3762</v>
      </c>
      <c r="E51" s="1929" t="n">
        <v>4</v>
      </c>
      <c r="F51" s="1929" t="n">
        <v>4</v>
      </c>
    </row>
    <row r="52">
      <c r="A52" s="1929" t="s">
        <v>3763</v>
      </c>
      <c r="B52" s="1929" t="s">
        <v>43</v>
      </c>
      <c r="C52" s="1929" t="s">
        <v>3264</v>
      </c>
      <c r="D52" s="1929" t="s">
        <v>3764</v>
      </c>
      <c r="E52" s="1929" t="n">
        <v>6</v>
      </c>
      <c r="F52" s="1929" t="n">
        <v>15</v>
      </c>
    </row>
    <row r="53">
      <c r="A53" s="1929" t="s">
        <v>3765</v>
      </c>
      <c r="B53" s="1929" t="s">
        <v>43</v>
      </c>
      <c r="C53" s="1929" t="s">
        <v>3264</v>
      </c>
      <c r="D53" s="1929" t="s">
        <v>3766</v>
      </c>
      <c r="E53" s="1929" t="n">
        <v>8</v>
      </c>
      <c r="F53" s="1929" t="n">
        <v>8</v>
      </c>
    </row>
    <row r="54">
      <c r="A54" s="1929" t="s">
        <v>3767</v>
      </c>
      <c r="B54" s="1929" t="s">
        <v>43</v>
      </c>
      <c r="C54" s="1929" t="s">
        <v>3285</v>
      </c>
      <c r="D54" s="1929" t="s">
        <v>3768</v>
      </c>
      <c r="E54" s="1929" t="n">
        <v>12</v>
      </c>
      <c r="F54" s="1929" t="n">
        <v>12</v>
      </c>
    </row>
    <row r="55">
      <c r="A55" s="1929" t="s">
        <v>3769</v>
      </c>
      <c r="B55" s="1929" t="s">
        <v>43</v>
      </c>
      <c r="C55" s="1929" t="s">
        <v>3285</v>
      </c>
      <c r="D55" s="1929" t="s">
        <v>3770</v>
      </c>
      <c r="E55" s="1929" t="n">
        <v>0</v>
      </c>
      <c r="F55" s="1929" t="n">
        <v>8</v>
      </c>
    </row>
  </sheetData>
  <conditionalFormatting sqref="A1:B300">
    <cfRule type="containsText" dxfId="0" priority="3" operator="containsText" text="Agroécologique">
      <formula>NOT(ISERROR(SEARCH("Agroécologique", A1)))</formula>
    </cfRule>
    <cfRule type="containsText" dxfId="1" priority="2" operator="containsText" text="Socio-">
      <formula>NOT(ISERROR(SEARCH("Socio-", A1)))</formula>
    </cfRule>
    <cfRule type="containsText" dxfId="2" priority="1" operator="containsText" text="Economique">
      <formula>NOT(ISERROR(SEARCH("Economique", A1)))</formula>
    </cfRule>
  </conditionalFormatting>
  <pageMargins left="0.7" right="0.7" top="0.75" bottom="0.75" header="0.3" footer="0.3"/>
  <pageSetup paperSize="9" orientation="portrait" horizontalDpi="300" verticalDpi="300" r:id="rId2"/>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0" tabSelected="0"/>
  </sheetViews>
  <sheetFormatPr defaultRowHeight="15.0" baseColWidth="10"/>
  <cols>
    <col min="1" max="1" width="3.71" hidden="0" customWidth="1"/>
    <col min="2" max="2" width="60.71" hidden="0" customWidth="1"/>
    <col min="3" max="3" width="12.71" hidden="0" customWidth="1"/>
    <col min="4" max="4" width="2.71" hidden="0" customWidth="1"/>
  </cols>
  <sheetData>
    <row r="2">
      <c r="A2" s="1928" t="s">
        <v>3662</v>
      </c>
      <c r="B2" s="1928" t="s">
        <v>3771</v>
      </c>
      <c r="C2" s="1928" t="s">
        <v>3772</v>
      </c>
    </row>
    <row r="3">
      <c r="A3" s="1929" t="s">
        <v>2628</v>
      </c>
      <c r="B3" s="1929" t="s">
        <v>3773</v>
      </c>
      <c r="C3" s="1929" t="s">
        <v>3774</v>
      </c>
    </row>
    <row r="4">
      <c r="A4" s="1929" t="s">
        <v>3663</v>
      </c>
      <c r="B4" s="1929" t="s">
        <v>3775</v>
      </c>
      <c r="C4" s="1929" t="s">
        <v>3774</v>
      </c>
    </row>
    <row r="5">
      <c r="A5" s="1929" t="s">
        <v>3665</v>
      </c>
      <c r="B5" s="1929" t="s">
        <v>3776</v>
      </c>
      <c r="C5" s="1929" t="s">
        <v>3777</v>
      </c>
    </row>
    <row r="6">
      <c r="A6" s="1929" t="s">
        <v>3668</v>
      </c>
      <c r="B6" s="1929" t="s">
        <v>3778</v>
      </c>
      <c r="C6" s="1929" t="s">
        <v>3774</v>
      </c>
    </row>
    <row r="7">
      <c r="A7" s="1929" t="s">
        <v>2625</v>
      </c>
      <c r="B7" s="1929" t="s">
        <v>3779</v>
      </c>
      <c r="C7" s="1929" t="s">
        <v>3777</v>
      </c>
    </row>
  </sheetData>
  <conditionalFormatting sqref="A1:ET300">
    <cfRule type="containsText" dxfId="3" priority="6" operator="containsText" text="favorable">
      <formula>NOT(ISERROR(SEARCH("favorable", A1)))</formula>
    </cfRule>
    <cfRule type="containsText" dxfId="4" priority="5" operator="containsText" text="défavorable">
      <formula>NOT(ISERROR(SEARCH("défavorable", A1)))</formula>
    </cfRule>
    <cfRule type="containsText" dxfId="5" priority="4" operator="containsText" text="intermédiaire">
      <formula>NOT(ISERROR(SEARCH("intermédiaire", A1)))</formula>
    </cfRule>
    <cfRule type="containsText" dxfId="6" priority="3" operator="containsText" text="très favorable">
      <formula>NOT(ISERROR(SEARCH("très favorable", A1)))</formula>
    </cfRule>
    <cfRule type="containsText" dxfId="7" priority="2" operator="containsText" text="très défavorable">
      <formula>NOT(ISERROR(SEARCH("très défavorable", A1)))</formula>
    </cfRule>
  </conditionalFormatting>
  <conditionalFormatting sqref="D1:D300">
    <cfRule type="containsText" dxfId="8" priority="1" operator="containsText" text="NC">
      <formula>NOT(ISERROR(SEARCH("NC", D1)))</formula>
    </cfRule>
  </conditionalFormatting>
  <pageMargins left="0.7" right="0.7" top="0.75" bottom="0.75" header="0.3" footer="0.3"/>
  <pageSetup paperSize="9" orientation="portrait" horizontalDpi="300" verticalDpi="300" r:id="rId2"/>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6348"/>
  </sheetPr>
  <dimension ref="A1"/>
  <sheetViews>
    <sheetView workbookViewId="0" zoomScale="100" showGridLines="0" tabSelected="0"/>
  </sheetViews>
  <sheetFormatPr defaultRowHeight="15.0" baseColWidth="10"/>
  <cols>
    <col min="1" max="1" width="3.71" hidden="0" customWidth="1"/>
    <col min="2" max="2" width="89.71" hidden="0" customWidth="1"/>
    <col min="3" max="3" width="18.71" hidden="0" customWidth="1"/>
    <col min="4" max="4" width="18.71" hidden="0" customWidth="1"/>
    <col min="5" max="5" width="2.71" hidden="0" customWidth="1"/>
  </cols>
  <sheetData>
    <row r="2">
      <c r="A2" s="1928" t="s">
        <v>3662</v>
      </c>
      <c r="B2" s="1928" t="s">
        <v>3297</v>
      </c>
      <c r="C2" s="1928" t="s">
        <v>3780</v>
      </c>
      <c r="D2" s="1928" t="s">
        <v>3772</v>
      </c>
    </row>
    <row r="3">
      <c r="A3" s="1929" t="s">
        <v>2628</v>
      </c>
      <c r="B3" s="1929" t="s">
        <v>3734</v>
      </c>
      <c r="C3" s="1929" t="n">
        <v>5</v>
      </c>
      <c r="D3" s="1929" t="s">
        <v>3781</v>
      </c>
    </row>
    <row r="4">
      <c r="A4" s="1929" t="s">
        <v>3663</v>
      </c>
      <c r="B4" s="1929" t="s">
        <v>3738</v>
      </c>
      <c r="C4" s="1929" t="n">
        <v>2</v>
      </c>
      <c r="D4" s="1929" t="s">
        <v>3781</v>
      </c>
    </row>
    <row r="5">
      <c r="A5" s="1929" t="s">
        <v>3665</v>
      </c>
      <c r="B5" s="1929" t="s">
        <v>3728</v>
      </c>
      <c r="C5" s="1929" t="n">
        <v>4</v>
      </c>
      <c r="D5" s="1929" t="s">
        <v>3774</v>
      </c>
    </row>
    <row r="6">
      <c r="A6" s="1929" t="s">
        <v>3668</v>
      </c>
      <c r="B6" s="1929" t="s">
        <v>3732</v>
      </c>
      <c r="C6" s="1929" t="n">
        <v>2</v>
      </c>
      <c r="D6" s="1929" t="s">
        <v>3781</v>
      </c>
    </row>
    <row r="7">
      <c r="A7" s="1929" t="s">
        <v>2625</v>
      </c>
      <c r="B7" s="1929" t="s">
        <v>3782</v>
      </c>
      <c r="C7" s="1929"/>
      <c r="D7" s="1929" t="s">
        <v>3774</v>
      </c>
    </row>
    <row r="8">
      <c r="A8" s="1929" t="s">
        <v>3669</v>
      </c>
      <c r="B8" s="1929" t="s">
        <v>3783</v>
      </c>
      <c r="C8" s="1929"/>
      <c r="D8" s="1929" t="s">
        <v>3774</v>
      </c>
    </row>
    <row r="9">
      <c r="A9" s="1929" t="s">
        <v>3670</v>
      </c>
      <c r="B9" s="1929" t="s">
        <v>3746</v>
      </c>
      <c r="C9" s="1929" t="n">
        <v>3</v>
      </c>
      <c r="D9" s="1929" t="s">
        <v>3781</v>
      </c>
    </row>
    <row r="10">
      <c r="A10" s="1929" t="s">
        <v>3672</v>
      </c>
      <c r="B10" s="1929" t="s">
        <v>3679</v>
      </c>
      <c r="C10" s="1929" t="n">
        <v>2</v>
      </c>
      <c r="D10" s="1929" t="s">
        <v>3781</v>
      </c>
    </row>
    <row r="11">
      <c r="A11" s="1929" t="s">
        <v>3673</v>
      </c>
      <c r="B11" s="1929" t="s">
        <v>3756</v>
      </c>
      <c r="C11" s="1929" t="n">
        <v>6</v>
      </c>
      <c r="D11" s="1929" t="s">
        <v>3781</v>
      </c>
    </row>
    <row r="12">
      <c r="A12" s="1929" t="s">
        <v>3674</v>
      </c>
      <c r="B12" s="1929" t="s">
        <v>3762</v>
      </c>
      <c r="C12" s="1929" t="n">
        <v>4</v>
      </c>
      <c r="D12" s="1929" t="s">
        <v>3774</v>
      </c>
    </row>
    <row r="13">
      <c r="A13" s="1929" t="s">
        <v>3675</v>
      </c>
      <c r="B13" s="1929" t="s">
        <v>3784</v>
      </c>
      <c r="C13" s="1929"/>
      <c r="D13" s="1929" t="s">
        <v>3774</v>
      </c>
    </row>
    <row r="14">
      <c r="A14" s="1929" t="s">
        <v>3676</v>
      </c>
      <c r="B14" s="1929" t="s">
        <v>3785</v>
      </c>
      <c r="C14" s="1929"/>
      <c r="D14" s="1929" t="s">
        <v>3774</v>
      </c>
    </row>
    <row r="15">
      <c r="A15" s="1929" t="s">
        <v>3677</v>
      </c>
      <c r="B15" s="1929" t="s">
        <v>3694</v>
      </c>
      <c r="C15" s="1929" t="n">
        <v>4</v>
      </c>
      <c r="D15" s="1929" t="s">
        <v>3774</v>
      </c>
    </row>
    <row r="16">
      <c r="A16" s="1929" t="s">
        <v>3691</v>
      </c>
      <c r="B16" s="1929" t="s">
        <v>3764</v>
      </c>
      <c r="C16" s="1929" t="n">
        <v>6</v>
      </c>
      <c r="D16" s="1929" t="s">
        <v>3781</v>
      </c>
    </row>
    <row r="17">
      <c r="A17" s="1929" t="s">
        <v>3693</v>
      </c>
      <c r="B17" s="1929" t="s">
        <v>3766</v>
      </c>
      <c r="C17" s="1929" t="n">
        <v>8</v>
      </c>
      <c r="D17" s="1929" t="s">
        <v>3774</v>
      </c>
    </row>
    <row r="18">
      <c r="A18" s="1929" t="s">
        <v>3695</v>
      </c>
      <c r="B18" s="1929" t="s">
        <v>3786</v>
      </c>
      <c r="C18" s="1929"/>
      <c r="D18" s="1929" t="s">
        <v>3774</v>
      </c>
    </row>
    <row r="19">
      <c r="A19" s="1929" t="s">
        <v>3697</v>
      </c>
      <c r="B19" s="1929" t="s">
        <v>3787</v>
      </c>
      <c r="C19" s="1929"/>
      <c r="D19" s="1929" t="s">
        <v>3788</v>
      </c>
    </row>
    <row r="20">
      <c r="A20" s="1929" t="s">
        <v>3699</v>
      </c>
      <c r="B20" s="1929" t="s">
        <v>3789</v>
      </c>
      <c r="C20" s="1929"/>
      <c r="D20" s="1929" t="s">
        <v>3774</v>
      </c>
    </row>
    <row r="21">
      <c r="A21" s="1929" t="s">
        <v>3701</v>
      </c>
      <c r="B21" s="1929" t="s">
        <v>3692</v>
      </c>
      <c r="C21" s="1929" t="n">
        <v>2</v>
      </c>
      <c r="D21" s="1929" t="s">
        <v>3781</v>
      </c>
    </row>
    <row r="22">
      <c r="A22" s="1929" t="s">
        <v>3703</v>
      </c>
      <c r="B22" s="1929" t="s">
        <v>3758</v>
      </c>
      <c r="C22" s="1929" t="n">
        <v>4</v>
      </c>
      <c r="D22" s="1929" t="s">
        <v>3777</v>
      </c>
    </row>
    <row r="23">
      <c r="A23" s="1929" t="s">
        <v>3705</v>
      </c>
      <c r="B23" s="1929" t="s">
        <v>3678</v>
      </c>
      <c r="C23" s="1929" t="n">
        <v>3</v>
      </c>
      <c r="D23" s="1929" t="s">
        <v>3781</v>
      </c>
    </row>
    <row r="24">
      <c r="A24" s="1929" t="s">
        <v>3707</v>
      </c>
      <c r="B24" s="1929" t="s">
        <v>3680</v>
      </c>
      <c r="C24" s="1929" t="n">
        <v>0</v>
      </c>
      <c r="D24" s="1929" t="s">
        <v>3777</v>
      </c>
    </row>
    <row r="25">
      <c r="A25" s="1929" t="s">
        <v>3709</v>
      </c>
      <c r="B25" s="1929" t="s">
        <v>3681</v>
      </c>
      <c r="C25" s="1929" t="n">
        <v>1</v>
      </c>
      <c r="D25" s="1929" t="s">
        <v>3777</v>
      </c>
    </row>
    <row r="26">
      <c r="A26" s="1929" t="s">
        <v>3711</v>
      </c>
      <c r="B26" s="1929" t="s">
        <v>3790</v>
      </c>
      <c r="C26" s="1929"/>
      <c r="D26" s="1929" t="s">
        <v>3791</v>
      </c>
    </row>
    <row r="27">
      <c r="A27" s="1929" t="s">
        <v>3713</v>
      </c>
      <c r="B27" s="1929" t="s">
        <v>3792</v>
      </c>
      <c r="C27" s="1929"/>
      <c r="D27" s="1929" t="s">
        <v>3791</v>
      </c>
    </row>
    <row r="28">
      <c r="A28" s="1929" t="s">
        <v>3715</v>
      </c>
      <c r="B28" s="1929" t="s">
        <v>3773</v>
      </c>
      <c r="C28" s="1929"/>
      <c r="D28" s="1929" t="s">
        <v>3774</v>
      </c>
    </row>
  </sheetData>
  <conditionalFormatting sqref="A1:ET300">
    <cfRule type="containsText" dxfId="3" priority="6" operator="containsText" text="favorable">
      <formula>NOT(ISERROR(SEARCH("favorable", A1)))</formula>
    </cfRule>
    <cfRule type="containsText" dxfId="4" priority="5" operator="containsText" text="défavorable">
      <formula>NOT(ISERROR(SEARCH("défavorable", A1)))</formula>
    </cfRule>
    <cfRule type="containsText" dxfId="5" priority="4" operator="containsText" text="intermédiaire">
      <formula>NOT(ISERROR(SEARCH("intermédiaire", A1)))</formula>
    </cfRule>
    <cfRule type="containsText" dxfId="6" priority="3" operator="containsText" text="très favorable">
      <formula>NOT(ISERROR(SEARCH("très favorable", A1)))</formula>
    </cfRule>
    <cfRule type="containsText" dxfId="7" priority="2" operator="containsText" text="très défavorable">
      <formula>NOT(ISERROR(SEARCH("très défavorable", A1)))</formula>
    </cfRule>
  </conditionalFormatting>
  <conditionalFormatting sqref="D1:D300">
    <cfRule type="containsText" dxfId="8" priority="1" operator="containsText" text="NC">
      <formula>NOT(ISERROR(SEARCH("NC", D1)))</formula>
    </cfRule>
  </conditionalFormatting>
  <pageMargins left="0.7" right="0.7" top="0.75" bottom="0.75" header="0.3" footer="0.3"/>
  <pageSetup paperSize="9" orientation="portrait" horizontalDpi="300" verticalDpi="300" r:id="rId2"/>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D8A00"/>
  </sheetPr>
  <dimension ref="A1"/>
  <sheetViews>
    <sheetView workbookViewId="0" zoomScale="100" showGridLines="0" tabSelected="0"/>
  </sheetViews>
  <sheetFormatPr defaultRowHeight="15.0" baseColWidth="10"/>
  <cols>
    <col min="1" max="1" width="3.71" hidden="0" customWidth="1"/>
    <col min="2" max="2" width="104.71" hidden="0" customWidth="1"/>
    <col min="3" max="3" width="18.71" hidden="0" customWidth="1"/>
    <col min="4" max="4" width="14.71" hidden="0" customWidth="1"/>
    <col min="5" max="5" width="2.71" hidden="0" customWidth="1"/>
  </cols>
  <sheetData>
    <row r="2">
      <c r="A2" s="1928" t="s">
        <v>3662</v>
      </c>
      <c r="B2" s="1928" t="s">
        <v>3297</v>
      </c>
      <c r="C2" s="1928" t="s">
        <v>3780</v>
      </c>
      <c r="D2" s="1928" t="s">
        <v>3772</v>
      </c>
    </row>
    <row r="3">
      <c r="A3" s="1929" t="s">
        <v>2628</v>
      </c>
      <c r="B3" s="1929" t="s">
        <v>3722</v>
      </c>
      <c r="C3" s="1929" t="n">
        <v>3</v>
      </c>
      <c r="D3" s="1929" t="s">
        <v>3774</v>
      </c>
    </row>
    <row r="4">
      <c r="A4" s="1929" t="s">
        <v>3663</v>
      </c>
      <c r="B4" s="1929" t="s">
        <v>3708</v>
      </c>
      <c r="C4" s="1929" t="n">
        <v>0</v>
      </c>
      <c r="D4" s="1929" t="s">
        <v>3777</v>
      </c>
    </row>
    <row r="5">
      <c r="A5" s="1929" t="s">
        <v>3665</v>
      </c>
      <c r="B5" s="1929" t="s">
        <v>3793</v>
      </c>
      <c r="C5" s="1929"/>
      <c r="D5" s="1929" t="s">
        <v>3777</v>
      </c>
    </row>
    <row r="6">
      <c r="A6" s="1929" t="s">
        <v>3668</v>
      </c>
      <c r="B6" s="1929" t="s">
        <v>3716</v>
      </c>
      <c r="C6" s="1929" t="n">
        <v>0</v>
      </c>
      <c r="D6" s="1929" t="s">
        <v>3777</v>
      </c>
    </row>
    <row r="7">
      <c r="A7" s="1929" t="s">
        <v>2625</v>
      </c>
      <c r="B7" s="1929" t="s">
        <v>3718</v>
      </c>
      <c r="C7" s="1929" t="n">
        <v>0</v>
      </c>
      <c r="D7" s="1929" t="s">
        <v>3777</v>
      </c>
    </row>
    <row r="8">
      <c r="A8" s="1929" t="s">
        <v>3669</v>
      </c>
      <c r="B8" s="1929" t="s">
        <v>3720</v>
      </c>
      <c r="C8" s="1929" t="n">
        <v>6</v>
      </c>
      <c r="D8" s="1929" t="s">
        <v>3774</v>
      </c>
    </row>
    <row r="9">
      <c r="A9" s="1929" t="s">
        <v>3670</v>
      </c>
      <c r="B9" s="1929" t="s">
        <v>3794</v>
      </c>
      <c r="C9" s="1929"/>
      <c r="D9" s="1929" t="s">
        <v>3777</v>
      </c>
    </row>
    <row r="10">
      <c r="A10" s="1929" t="s">
        <v>3672</v>
      </c>
      <c r="B10" s="1929" t="s">
        <v>3740</v>
      </c>
      <c r="C10" s="1929" t="n">
        <v>4</v>
      </c>
      <c r="D10" s="1929" t="s">
        <v>3774</v>
      </c>
    </row>
    <row r="11">
      <c r="A11" s="1929" t="s">
        <v>3673</v>
      </c>
      <c r="B11" s="1929" t="s">
        <v>3714</v>
      </c>
      <c r="C11" s="1929" t="n">
        <v>0</v>
      </c>
      <c r="D11" s="1929" t="s">
        <v>3777</v>
      </c>
    </row>
    <row r="12">
      <c r="A12" s="1929" t="s">
        <v>3674</v>
      </c>
      <c r="B12" s="1929" t="s">
        <v>3730</v>
      </c>
      <c r="C12" s="1929" t="n">
        <v>8</v>
      </c>
      <c r="D12" s="1929" t="s">
        <v>3774</v>
      </c>
    </row>
    <row r="13">
      <c r="A13" s="1929" t="s">
        <v>3675</v>
      </c>
      <c r="B13" s="1929" t="s">
        <v>3732</v>
      </c>
      <c r="C13" s="1929" t="n">
        <v>2</v>
      </c>
      <c r="D13" s="1929" t="s">
        <v>3781</v>
      </c>
    </row>
    <row r="14">
      <c r="A14" s="1929" t="s">
        <v>3676</v>
      </c>
      <c r="B14" s="1929" t="s">
        <v>3795</v>
      </c>
      <c r="C14" s="1929"/>
      <c r="D14" s="1929" t="s">
        <v>3774</v>
      </c>
    </row>
    <row r="15">
      <c r="A15" s="1929" t="s">
        <v>3677</v>
      </c>
      <c r="B15" s="1929" t="s">
        <v>3796</v>
      </c>
      <c r="C15" s="1929"/>
      <c r="D15" s="1929" t="s">
        <v>3774</v>
      </c>
    </row>
    <row r="16">
      <c r="A16" s="1929" t="s">
        <v>3691</v>
      </c>
      <c r="B16" s="1929" t="s">
        <v>3779</v>
      </c>
      <c r="C16" s="1929"/>
      <c r="D16" s="1929" t="s">
        <v>3777</v>
      </c>
    </row>
  </sheetData>
  <conditionalFormatting sqref="A1:ET300">
    <cfRule type="containsText" dxfId="3" priority="6" operator="containsText" text="favorable">
      <formula>NOT(ISERROR(SEARCH("favorable", A1)))</formula>
    </cfRule>
    <cfRule type="containsText" dxfId="4" priority="5" operator="containsText" text="défavorable">
      <formula>NOT(ISERROR(SEARCH("défavorable", A1)))</formula>
    </cfRule>
    <cfRule type="containsText" dxfId="5" priority="4" operator="containsText" text="intermédiaire">
      <formula>NOT(ISERROR(SEARCH("intermédiaire", A1)))</formula>
    </cfRule>
    <cfRule type="containsText" dxfId="6" priority="3" operator="containsText" text="très favorable">
      <formula>NOT(ISERROR(SEARCH("très favorable", A1)))</formula>
    </cfRule>
    <cfRule type="containsText" dxfId="7" priority="2" operator="containsText" text="très défavorable">
      <formula>NOT(ISERROR(SEARCH("très défavorable", A1)))</formula>
    </cfRule>
  </conditionalFormatting>
  <conditionalFormatting sqref="D1:D300">
    <cfRule type="containsText" dxfId="8" priority="1" operator="containsText" text="NC">
      <formula>NOT(ISERROR(SEARCH("NC", D1)))</formula>
    </cfRule>
  </conditionalFormatting>
  <pageMargins left="0.7" right="0.7" top="0.75" bottom="0.75" header="0.3" footer="0.3"/>
  <pageSetup paperSize="9" orientation="portrait" horizontalDpi="300" verticalDpi="300" r:id="rId2"/>
  <drawing r:id="rId1"/>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2015-09-17T09:45:44Z</dcterms:created>
  <dc:creator>Administrateur</dc:creator>
  <dc:description/>
  <dc:language>fr-FR</dc:language>
  <cp:lastModifiedBy/>
  <cp:lastPrinted>2020-01-08T00:48:26Z</cp:lastPrinted>
  <dcterms:modified xsi:type="dcterms:W3CDTF">2020-01-16T16:47:47Z</dcterms:modified>
  <cp:revision>28</cp:revision>
  <dc:subject/>
  <dc:title/>
</cp:coreProperties>
</file>