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omments10.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vmlDrawing5.vml" ContentType="application/vnd.openxmlformats-officedocument.vmlDrawing"/>
  <Override PartName="/xl/drawings/vmlDrawing4.vml" ContentType="application/vnd.openxmlformats-officedocument.vmlDrawing"/>
  <Override PartName="/xl/drawings/drawing4.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vmlDrawing2.vml" ContentType="application/vnd.openxmlformats-officedocument.vmlDrawing"/>
  <Override PartName="/xl/drawings/_rels/drawing5.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vmlDrawing3.vml" ContentType="application/vnd.openxmlformats-officedocument.vmlDrawing"/>
  <Override PartName="/xl/comments7.xml" ContentType="application/vnd.openxmlformats-officedocument.spreadsheetml.comments+xml"/>
  <Override PartName="/xl/media/image12.wmf" ContentType="image/x-wmf"/>
  <Override PartName="/xl/media/image10.png" ContentType="image/png"/>
  <Override PartName="/xl/media/image9.png" ContentType="image/png"/>
  <Override PartName="/xl/media/image8.png" ContentType="image/png"/>
  <Override PartName="/xl/media/image7.png" ContentType="image/png"/>
  <Override PartName="/xl/media/image2.jpeg" ContentType="image/jpeg"/>
  <Override PartName="/xl/media/image1.png" ContentType="image/png"/>
  <Override PartName="/xl/media/image13.wmf" ContentType="image/x-wmf"/>
  <Override PartName="/xl/media/image11.png" ContentType="image/png"/>
  <Override PartName="/xl/media/image3.jpeg" ContentType="image/jpeg"/>
  <Override PartName="/xl/media/image4.jpeg" ContentType="image/jpeg"/>
  <Override PartName="/xl/media/image5.png" ContentType="image/png"/>
  <Override PartName="/xl/media/image6.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4"/>
  </bookViews>
  <sheets>
    <sheet name="Calcul UGB" sheetId="1" state="hidden" r:id="rId2"/>
    <sheet name="droit usage" sheetId="2" state="visible" r:id="rId3"/>
    <sheet name="Notice" sheetId="3" state="visible" r:id="rId4"/>
    <sheet name="Questionnaire imprimable" sheetId="4" state="visible" r:id="rId5"/>
    <sheet name="Saisie et Calculateur" sheetId="5" state="visible" r:id="rId6"/>
    <sheet name="Bilan apparent" sheetId="6" state="visible" r:id="rId7"/>
    <sheet name="Tables de conversion" sheetId="7" state="visible" r:id="rId8"/>
    <sheet name="Dimension agroécologique" sheetId="8" state="visible" r:id="rId9"/>
    <sheet name="Dimension socio-territoriale" sheetId="9" state="visible" r:id="rId10"/>
    <sheet name="Dimension économique" sheetId="10" state="visible" r:id="rId11"/>
    <sheet name="Bilan durabilité" sheetId="11" state="visible" r:id="rId12"/>
    <sheet name="Renvoi BDD" sheetId="12" state="visible" r:id="rId13"/>
  </sheets>
  <definedNames>
    <definedName function="false" hidden="false" localSheetId="5" name="_xlnm.Print_Area" vbProcedure="false">'Bilan apparent'!$A$1:$K$488</definedName>
    <definedName function="false" hidden="false" name="agro" vbProcedure="false">NA()</definedName>
    <definedName function="false" hidden="false" name="agro_4" vbProcedure="false">NA()</definedName>
    <definedName function="false" hidden="false" name="agro_5" vbProcedure="false">#REF!</definedName>
    <definedName function="false" hidden="false" name="Amorti" vbProcedure="false">NA()</definedName>
    <definedName function="false" hidden="false" name="Amorti_4" vbProcedure="false">NA()</definedName>
    <definedName function="false" hidden="false" name="Annuites" vbProcedure="false">NA()</definedName>
    <definedName function="false" hidden="false" name="Annuites_4" vbProcedure="false">NA()</definedName>
    <definedName function="false" hidden="false" name="application" vbProcedure="false">#REF!</definedName>
    <definedName function="false" hidden="false" name="Appro" vbProcedure="false">NA()</definedName>
    <definedName function="false" hidden="false" name="Appro_4" vbProcedure="false">NA()</definedName>
    <definedName function="false" hidden="false" name="auto_estimation_bien_etre" vbProcedure="false">NA()</definedName>
    <definedName function="false" hidden="false" name="auto_estimation_bien_etre_4" vbProcedure="false">NA()</definedName>
    <definedName function="false" hidden="false" name="bois" vbProcedure="false">NA()</definedName>
    <definedName function="false" hidden="false" name="bois_4" vbProcedure="false">NA()</definedName>
    <definedName function="false" hidden="false" name="bois_5" vbProcedure="false">#REF!</definedName>
    <definedName function="false" hidden="false" name="CAtot_1" vbProcedure="false">NA()</definedName>
    <definedName function="false" hidden="false" name="CAtot_1_4" vbProcedure="false">NA()</definedName>
    <definedName function="false" hidden="false" name="CAtot_1_5" vbProcedure="false">#REF!</definedName>
    <definedName function="false" hidden="false" name="CAtot_2" vbProcedure="false">NA()</definedName>
    <definedName function="false" hidden="false" name="CAtot_2_4" vbProcedure="false">NA()</definedName>
    <definedName function="false" hidden="false" name="CAtot_2_5" vbProcedure="false">#REF!</definedName>
    <definedName function="false" hidden="false" name="CA_1" vbProcedure="false">NA()</definedName>
    <definedName function="false" hidden="false" name="CA_1_4" vbProcedure="false">NA()</definedName>
    <definedName function="false" hidden="false" name="CA_1_5" vbProcedure="false">#REF!</definedName>
    <definedName function="false" hidden="false" name="CA_2" vbProcedure="false">NA()</definedName>
    <definedName function="false" hidden="false" name="ca_2_4" vbProcedure="false">#REF!</definedName>
    <definedName function="false" hidden="false" name="CA_2_5" vbProcedure="false">#REF!</definedName>
    <definedName function="false" hidden="false" name="CIPAN" vbProcedure="false">NA()</definedName>
    <definedName function="false" hidden="false" name="CIPAN_4" vbProcedure="false">NA()</definedName>
    <definedName function="false" hidden="false" name="CIPAN_5" vbProcedure="false">#REF!</definedName>
    <definedName function="false" hidden="false" name="codesources" vbProcedure="false">#REF!</definedName>
    <definedName function="false" hidden="false" name="culture" vbProcedure="false">NA()</definedName>
    <definedName function="false" hidden="false" name="culture_4" vbProcedure="false">NA()</definedName>
    <definedName function="false" hidden="false" name="culture_5" vbProcedure="false">#REF!</definedName>
    <definedName function="false" hidden="false" name="Céréales" vbProcedure="false">#REF!</definedName>
    <definedName function="false" hidden="false" name="EBE" vbProcedure="false">NA()</definedName>
    <definedName function="false" hidden="false" name="EBE_4" vbProcedure="false">NA()</definedName>
    <definedName function="false" hidden="false" name="huile" vbProcedure="false">NA()</definedName>
    <definedName function="false" hidden="false" name="huile_4" vbProcedure="false">NA()</definedName>
    <definedName function="false" hidden="false" name="huile_5" vbProcedure="false">#REF!</definedName>
    <definedName function="false" hidden="false" name="K" vbProcedure="false">NA()</definedName>
    <definedName function="false" hidden="false" name="Kmin" vbProcedure="false">NA()</definedName>
    <definedName function="false" hidden="false" name="Kmin_13" vbProcedure="false">NA()</definedName>
    <definedName function="false" hidden="false" name="Kmin_14" vbProcedure="false">#REF!</definedName>
    <definedName function="false" hidden="false" name="K_4" vbProcedure="false">NA()</definedName>
    <definedName function="false" hidden="false" name="K_5" vbProcedure="false">#REF!</definedName>
    <definedName function="false" hidden="false" name="Lait" vbProcedure="false">#REF!</definedName>
    <definedName function="false" hidden="false" name="legu" vbProcedure="false">NA()</definedName>
    <definedName function="false" hidden="false" name="legu_4" vbProcedure="false">NA()</definedName>
    <definedName function="false" hidden="false" name="liste" vbProcedure="false">NA()</definedName>
    <definedName function="false" hidden="false" name="liste_4" vbProcedure="false">NA()</definedName>
    <definedName function="false" hidden="false" name="N" vbProcedure="false">NA()</definedName>
    <definedName function="false" hidden="false" name="N_4" vbProcedure="false">NA()</definedName>
    <definedName function="false" hidden="false" name="N_5" vbProcedure="false">#REF!</definedName>
    <definedName function="false" hidden="false" name="ouinon" vbProcedure="false">#REF!</definedName>
    <definedName function="false" hidden="false" name="P2O5" vbProcedure="false">NA()</definedName>
    <definedName function="false" hidden="false" name="P2O5_4" vbProcedure="false">NA()</definedName>
    <definedName function="false" hidden="false" name="P2O5_5" vbProcedure="false">#REF!</definedName>
    <definedName function="false" hidden="false" name="pourcent_agro" vbProcedure="false">NA()</definedName>
    <definedName function="false" hidden="false" name="pourcent_agro_4" vbProcedure="false">NA()</definedName>
    <definedName function="false" hidden="false" name="pourcent_agro_5" vbProcedure="false">#REF!</definedName>
    <definedName function="false" hidden="false" name="pulvé" vbProcedure="false">NA()</definedName>
    <definedName function="false" hidden="false" name="pulvé_6" vbProcedure="false">NA()</definedName>
    <definedName function="false" hidden="false" name="qlité" vbProcedure="false">NA()</definedName>
    <definedName function="false" hidden="false" name="qlité_4" vbProcedure="false">NA()</definedName>
    <definedName function="false" hidden="false" name="qlté_hebergement" vbProcedure="false">NA()</definedName>
    <definedName function="false" hidden="false" name="qlté_hebergement_4" vbProcedure="false">NA()</definedName>
    <definedName function="false" hidden="false" name="sau" vbProcedure="false">#REF!</definedName>
    <definedName function="false" hidden="false" name="SAU_1" vbProcedure="false">NA()</definedName>
    <definedName function="false" hidden="false" name="SAU_2" vbProcedure="false">NA()</definedName>
    <definedName function="false" hidden="false" name="SAU_3" vbProcedure="false">NA()</definedName>
    <definedName function="false" hidden="false" name="SAU_4" vbProcedure="false">NA()</definedName>
    <definedName function="false" hidden="false" name="SAU_5" vbProcedure="false">#REF!</definedName>
    <definedName function="false" hidden="false" name="SDA" vbProcedure="false">NA()</definedName>
    <definedName function="false" hidden="false" name="SDA_4" vbProcedure="false">NA()</definedName>
    <definedName function="false" hidden="false" name="SDA_5" vbProcedure="false">#REF!</definedName>
    <definedName function="false" hidden="false" name="smic_mois" vbProcedure="false">#REF!</definedName>
    <definedName function="false" hidden="false" name="typetrait" vbProcedure="false">#REF!</definedName>
    <definedName function="false" hidden="false" name="vermifuge" vbProcedure="false">NA()</definedName>
    <definedName function="false" hidden="false" name="vermifuge_4" vbProcedure="false">NA()</definedName>
    <definedName function="false" hidden="false" name="vermifuge_5" vbProcedure="false">#REF!</definedName>
    <definedName function="false" hidden="false" localSheetId="4" name="_Toc291421710" vbProcedure="false">NA()</definedName>
    <definedName function="false" hidden="false" localSheetId="5" name="codesources" vbProcedure="false">#REF!</definedName>
    <definedName function="false" hidden="false" localSheetId="5" name="__xlnm_Print_Area" vbProcedure="false">'Bilan apparent'!$A$1:$K$488</definedName>
    <definedName function="false" hidden="false" localSheetId="7" name="Amorti" vbProcedure="false">NA()</definedName>
    <definedName function="false" hidden="false" localSheetId="7" name="Amorti_4" vbProcedure="false">NA()</definedName>
    <definedName function="false" hidden="false" localSheetId="7" name="Annuites" vbProcedure="false">NA()</definedName>
    <definedName function="false" hidden="false" localSheetId="7" name="Appro" vbProcedure="false">NA()</definedName>
    <definedName function="false" hidden="false" localSheetId="7" name="Appro_4" vbProcedure="false">NA()</definedName>
    <definedName function="false" hidden="false" localSheetId="7" name="auto_estimation_bien_etre" vbProcedure="false">NA()</definedName>
    <definedName function="false" hidden="false" localSheetId="7" name="CAtot_1" vbProcedure="false">NA()</definedName>
    <definedName function="false" hidden="false" localSheetId="7" name="CAtot_1_4" vbProcedure="false">NA()</definedName>
    <definedName function="false" hidden="false" localSheetId="7" name="CAtot_2" vbProcedure="false">NA()</definedName>
    <definedName function="false" hidden="false" localSheetId="7" name="CAtot_2_4" vbProcedure="false">NA()</definedName>
    <definedName function="false" hidden="false" localSheetId="7" name="CA_1" vbProcedure="false">NA()</definedName>
    <definedName function="false" hidden="false" localSheetId="7" name="CA_1_4" vbProcedure="false">NA()</definedName>
    <definedName function="false" hidden="false" localSheetId="7" name="CA_2" vbProcedure="false">NA()</definedName>
    <definedName function="false" hidden="false" localSheetId="7" name="CIPAN" vbProcedure="false">NA()</definedName>
    <definedName function="false" hidden="false" localSheetId="7" name="CIPAN_4" vbProcedure="false">NA()</definedName>
    <definedName function="false" hidden="false" localSheetId="7" name="codesources" vbProcedure="false">#REF!</definedName>
    <definedName function="false" hidden="false" localSheetId="7" name="culture" vbProcedure="false">NA()</definedName>
    <definedName function="false" hidden="false" localSheetId="7" name="culture_4" vbProcedure="false">NA()</definedName>
    <definedName function="false" hidden="false" localSheetId="7" name="EBE" vbProcedure="false">NA()</definedName>
    <definedName function="false" hidden="false" localSheetId="7" name="EBE_4" vbProcedure="false">NA()</definedName>
    <definedName function="false" hidden="false" localSheetId="7" name="huile" vbProcedure="false">NA()</definedName>
    <definedName function="false" hidden="false" localSheetId="7" name="K" vbProcedure="false">NA()</definedName>
    <definedName function="false" hidden="false" localSheetId="7" name="Kmin" vbProcedure="false">NA()</definedName>
    <definedName function="false" hidden="false" localSheetId="7" name="Kmin_13" vbProcedure="false">NA()</definedName>
    <definedName function="false" hidden="false" localSheetId="7" name="K_4" vbProcedure="false">NA()</definedName>
    <definedName function="false" hidden="false" localSheetId="7" name="legu" vbProcedure="false">NA()</definedName>
    <definedName function="false" hidden="false" localSheetId="7" name="legu_4" vbProcedure="false">NA()</definedName>
    <definedName function="false" hidden="false" localSheetId="7" name="liste" vbProcedure="false">NA()</definedName>
    <definedName function="false" hidden="false" localSheetId="7" name="P2O5" vbProcedure="false">NA()</definedName>
    <definedName function="false" hidden="false" localSheetId="7" name="P2O5_4" vbProcedure="false">NA()</definedName>
    <definedName function="false" hidden="false" localSheetId="7" name="pourcent_agro" vbProcedure="false">NA()</definedName>
    <definedName function="false" hidden="false" localSheetId="7" name="pourcent_agro_4" vbProcedure="false">NA()</definedName>
    <definedName function="false" hidden="false" localSheetId="7" name="pulvé" vbProcedure="false">NA()</definedName>
    <definedName function="false" hidden="false" localSheetId="7" name="pulvé_6" vbProcedure="false">NA()</definedName>
    <definedName function="false" hidden="false" localSheetId="7" name="qlité" vbProcedure="false">NA()</definedName>
    <definedName function="false" hidden="false" localSheetId="7" name="SAU_1" vbProcedure="false">NA()</definedName>
    <definedName function="false" hidden="false" localSheetId="7" name="SAU_2" vbProcedure="false">NA()</definedName>
    <definedName function="false" hidden="false" localSheetId="7" name="SAU_3" vbProcedure="false">NA()</definedName>
    <definedName function="false" hidden="false" localSheetId="7" name="SDA" vbProcedure="false">NA()</definedName>
    <definedName function="false" hidden="false" localSheetId="7" name="SDA_4" vbProcedure="false">NA()</definedName>
    <definedName function="false" hidden="false" localSheetId="7" name="vermifuge" vbProcedure="false">NA()</definedName>
    <definedName function="false" hidden="false" localSheetId="7" name="vermifuge_4" vbProcedure="false">NA()</definedName>
    <definedName function="false" hidden="false" localSheetId="8" name="codesources" vbProcedure="false">#REF!</definedName>
    <definedName function="false" hidden="false" localSheetId="10" name="agro_5" vbProcedure="false">#REF!</definedName>
    <definedName function="false" hidden="false" localSheetId="10" name="application" vbProcedure="false">#REF!</definedName>
    <definedName function="false" hidden="false" localSheetId="10" name="bois_5" vbProcedure="false">#REF!</definedName>
    <definedName function="false" hidden="false" localSheetId="10" name="CAtot_1_5" vbProcedure="false">#REF!</definedName>
    <definedName function="false" hidden="false" localSheetId="10" name="CAtot_2_5" vbProcedure="false">#REF!</definedName>
    <definedName function="false" hidden="false" localSheetId="10" name="CA_1_5" vbProcedure="false">#REF!</definedName>
    <definedName function="false" hidden="false" localSheetId="10" name="ca_2_4" vbProcedure="false">#REF!</definedName>
    <definedName function="false" hidden="false" localSheetId="10" name="CA_2_5" vbProcedure="false">#REF!</definedName>
    <definedName function="false" hidden="false" localSheetId="10" name="CIPAN_5" vbProcedure="false">#REF!</definedName>
    <definedName function="false" hidden="false" localSheetId="10" name="codesources" vbProcedure="false">#REF!</definedName>
    <definedName function="false" hidden="false" localSheetId="10" name="culture_5" vbProcedure="false">#REF!</definedName>
    <definedName function="false" hidden="false" localSheetId="10" name="Céréales" vbProcedure="false">#REF!</definedName>
    <definedName function="false" hidden="false" localSheetId="10" name="huile_5" vbProcedure="false">#REF!</definedName>
    <definedName function="false" hidden="false" localSheetId="10" name="Kmin_14" vbProcedure="false">#REF!</definedName>
    <definedName function="false" hidden="false" localSheetId="10" name="K_5" vbProcedure="false">#REF!</definedName>
    <definedName function="false" hidden="false" localSheetId="10" name="Lait" vbProcedure="false">#REF!</definedName>
    <definedName function="false" hidden="false" localSheetId="10" name="N_5" vbProcedure="false">#REF!</definedName>
    <definedName function="false" hidden="false" localSheetId="10" name="ouinon" vbProcedure="false">#REF!</definedName>
    <definedName function="false" hidden="false" localSheetId="10" name="P2O5_5" vbProcedure="false">#REF!</definedName>
    <definedName function="false" hidden="false" localSheetId="10" name="pourcent_agro_5" vbProcedure="false">#REF!</definedName>
    <definedName function="false" hidden="false" localSheetId="10" name="sau" vbProcedure="false">#REF!</definedName>
    <definedName function="false" hidden="false" localSheetId="10" name="SAU_5" vbProcedure="false">#REF!</definedName>
    <definedName function="false" hidden="false" localSheetId="10" name="SDA_5" vbProcedure="false">#REF!</definedName>
    <definedName function="false" hidden="false" localSheetId="10" name="smic_mois" vbProcedure="false">#REF!</definedName>
    <definedName function="false" hidden="false" localSheetId="10" name="typetrait" vbProcedure="false">#REF!</definedName>
    <definedName function="false" hidden="false" localSheetId="10" name="vermifuge_5" vbProcedure="false">#REF!</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F15" authorId="0">
      <text>
        <r>
          <rPr>
            <b val="true"/>
            <sz val="9"/>
            <color rgb="FF000000"/>
            <rFont val="Tahoma"/>
            <family val="2"/>
            <charset val="1"/>
          </rPr>
          <t xml:space="preserve">Steinmetz Lucille:
</t>
        </r>
        <r>
          <rPr>
            <sz val="9"/>
            <color rgb="FF000000"/>
            <rFont val="Tahoma"/>
            <family val="2"/>
            <charset val="1"/>
          </rPr>
          <t xml:space="preserve">points pour item 1</t>
        </r>
      </text>
    </comment>
  </commentList>
</comments>
</file>

<file path=xl/comments4.xml><?xml version="1.0" encoding="utf-8"?>
<comments xmlns="http://schemas.openxmlformats.org/spreadsheetml/2006/main" xmlns:xdr="http://schemas.openxmlformats.org/drawingml/2006/spreadsheetDrawing">
  <authors>
    <author> </author>
  </authors>
  <commentList>
    <comment ref="A265" authorId="0">
      <text>
        <r>
          <rPr>
            <sz val="9"/>
            <color rgb="FF000000"/>
            <rFont val="Tahoma"/>
            <family val="2"/>
            <charset val="1"/>
          </rPr>
          <t xml:space="preserve">Pour les protéagineux, on considère que l'azote fixé correspond à l'azote exporté par le grain
</t>
        </r>
      </text>
    </comment>
    <comment ref="A307" authorId="0">
      <text>
        <r>
          <rPr>
            <sz val="9"/>
            <color rgb="FF000000"/>
            <rFont val="Tahoma"/>
            <family val="2"/>
            <charset val="1"/>
          </rPr>
          <t xml:space="preserve">Pour les protéagineux, on considère que l'azote fixé correspond à l'azote exporté par le grain
</t>
        </r>
      </text>
    </comment>
    <comment ref="B13" authorId="0">
      <text>
        <r>
          <rPr>
            <sz val="9"/>
            <color rgb="FF000000"/>
            <rFont val="Tahoma"/>
            <family val="2"/>
            <charset val="1"/>
          </rPr>
          <t xml:space="preserve">superficie agricole utilisée. Elle comprend les terres arables, la superficie toujours en herbe (STH) et les cultures permanentes. </t>
        </r>
      </text>
    </comment>
    <comment ref="B17" authorId="0">
      <text>
        <r>
          <rPr>
            <sz val="9"/>
            <color rgb="FF000000"/>
            <rFont val="Tahoma"/>
            <family val="2"/>
            <charset val="1"/>
          </rPr>
          <t xml:space="preserve">surface agricole toujours en herbe des exploitations, c’est-à-dire depuis plus de 5 ans (prairies permanentes mais aussi les bordures et bandes enherbées gérées comme une PP).</t>
        </r>
      </text>
    </comment>
    <comment ref="B800" authorId="0">
      <text>
        <r>
          <rPr>
            <sz val="9"/>
            <color rgb="FF000000"/>
            <rFont val="Tahoma"/>
            <family val="2"/>
            <charset val="1"/>
          </rPr>
          <t xml:space="preserve">ex: Cuma, atelier de découpe ou de transformation collectif, point de vente collectif, accueil de ruches</t>
        </r>
      </text>
    </comment>
    <comment ref="B863" authorId="0">
      <text>
        <r>
          <rPr>
            <sz val="9"/>
            <color rgb="FF000000"/>
            <rFont val="Tahoma"/>
            <family val="2"/>
            <charset val="1"/>
          </rPr>
          <t xml:space="preserve">On entend par services marchands les actions rétribués bénéficiant à la collectivité 
ex: déneigement, débroussaillage,
compostage déchets verts des collectivités, 
valorisation de digestats de méthaniseur?
</t>
        </r>
      </text>
    </comment>
    <comment ref="B870" authorId="0">
      <text>
        <r>
          <rPr>
            <sz val="9"/>
            <color rgb="FF000000"/>
            <rFont val="Tahoma"/>
            <family val="2"/>
            <charset val="1"/>
          </rPr>
          <t xml:space="preserve">Libre accès des chemins aux randonneurs, VTT, aux chevaux de loisirs, aux parapentes, aux activités d’observation de la faune et de la flore, etc…</t>
        </r>
      </text>
    </comment>
    <comment ref="B872" authorId="0">
      <text>
        <r>
          <rPr>
            <sz val="9"/>
            <color rgb="FF000000"/>
            <rFont val="Tahoma"/>
            <family val="2"/>
            <charset val="1"/>
          </rPr>
          <t xml:space="preserve">Libre accès sur des chemins privatifs en zones urbaines ou périurbaines (tourisme doux)</t>
        </r>
        <r>
          <rPr>
            <b val="true"/>
            <sz val="9"/>
            <color rgb="FF000000"/>
            <rFont val="Tahoma"/>
            <family val="2"/>
            <charset val="1"/>
          </rPr>
          <t xml:space="preserve">      </t>
        </r>
      </text>
    </comment>
    <comment ref="B877" authorId="0">
      <text>
        <r>
          <rPr>
            <sz val="9"/>
            <color rgb="FF000000"/>
            <rFont val="Tahoma"/>
            <family val="2"/>
            <charset val="1"/>
          </rPr>
          <t xml:space="preserve">A prendre en considération:
• Entretien ou restauration du bâti ancien, du petit patrimoine rural constitutif du patrimoine local 
• Qualité et typicité architecturale et intégration paysagère du bâti récent
• Qualité des abords du siège d’exploitation</t>
        </r>
      </text>
    </comment>
    <comment ref="B881" authorId="0">
      <text>
        <r>
          <rPr>
            <sz val="9"/>
            <color rgb="FF000000"/>
            <rFont val="Tahoma"/>
            <family val="2"/>
            <charset val="1"/>
          </rPr>
          <t xml:space="preserve">A prendre en considération: 
• Aménagement paysager des surfaces cultivées et lisières et forêts de l’exploitation
• Mise en œuvre d’actions visant à valoriser le paysage (concours fermes fleuries, jachères fleuries, Engagement chartes paysagères locales)
• Contribution par les pratiques culturales ou d’élevage, à la valorisation et à l’entretien du paysage culturel (terrasses cévenoles, murets de pierre sèche, …)
</t>
        </r>
      </text>
    </comment>
    <comment ref="B888" authorId="0">
      <text>
        <r>
          <rPr>
            <sz val="9"/>
            <color rgb="FF000000"/>
            <rFont val="Tahoma"/>
            <family val="2"/>
            <charset val="1"/>
          </rPr>
          <t xml:space="preserve">A prendre en considération: 
• savoirs faire liés aux cultures (exemple : sarrasin en Bretagne, lavandin sur le plateau de Valensole, taureaux en Camargue, …reconnu ou non par une marque Parc)
• savoirs faire liés à l'élevage (garde des taureaux à cheval, transhumance à pied, …)
• savoirs faire liés aux outils de production (utilisation de moulins ou pressoirs traditionnels…)</t>
        </r>
      </text>
    </comment>
    <comment ref="B973" authorId="0">
      <text>
        <r>
          <rPr>
            <sz val="9"/>
            <color rgb="FF000000"/>
            <rFont val="Tahoma"/>
            <family val="2"/>
            <charset val="1"/>
          </rPr>
          <t xml:space="preserve">Ex :  hébergement de jeunes et accueil handicapés, Mise à disposition de foncier pour des jeunes en installation, Parrainage de jeunes en installation;
 travail avec des banques alimentaires (directement ou via coopératives ou toutes structures de collectes), Restau du cœur
</t>
        </r>
      </text>
    </comment>
    <comment ref="B977" authorId="0">
      <text>
        <r>
          <rPr>
            <sz val="9"/>
            <color rgb="FF000000"/>
            <rFont val="Tahoma"/>
            <family val="2"/>
            <charset val="1"/>
          </rPr>
          <t xml:space="preserve">Ex: Organisation de chantiers avec des citoyens, mobilisation de financement participatif, etc.</t>
        </r>
      </text>
    </comment>
    <comment ref="B983" authorId="0">
      <text>
        <r>
          <rPr>
            <sz val="9"/>
            <color rgb="FF000000"/>
            <rFont val="Tahoma"/>
            <family val="2"/>
            <charset val="1"/>
          </rPr>
          <t xml:space="preserve">Exemple : Ecoles, étudiants
Sauf interdiction réglementaire ou difficulté installation (pas de logement disponible, etc..) ou familiale</t>
        </r>
        <r>
          <rPr>
            <b val="true"/>
            <sz val="9"/>
            <color rgb="FF000000"/>
            <rFont val="Tahoma"/>
            <family val="2"/>
            <charset val="1"/>
          </rPr>
          <t xml:space="preserve"> 
</t>
        </r>
      </text>
    </comment>
    <comment ref="B998" authorId="0">
      <text>
        <r>
          <rPr>
            <sz val="9"/>
            <color rgb="FF000000"/>
            <rFont val="Tahoma"/>
            <family val="2"/>
            <charset val="1"/>
          </rPr>
          <t xml:space="preserve">A dire d'agriculteur(trice)
Si conjoint ou associés, retenir la plus mauvaise estimation
</t>
        </r>
      </text>
    </comment>
    <comment ref="G243" authorId="0">
      <text>
        <r>
          <rPr>
            <sz val="9"/>
            <color rgb="FF000000"/>
            <rFont val="Tahoma"/>
            <family val="2"/>
            <charset val="1"/>
          </rPr>
          <t xml:space="preserve">Peut s'obtenir en multipliant le rendement en tMS par la surface à condition que tout soit vendu
</t>
        </r>
      </text>
    </comment>
    <comment ref="G1095" authorId="0">
      <text>
        <r>
          <rPr>
            <sz val="10"/>
            <rFont val="Arial"/>
            <family val="2"/>
            <charset val="1"/>
          </rPr>
          <t xml:space="preserve">CA : seulement ce qui est vendu (pas pris en compte autoconsommation)</t>
        </r>
      </text>
    </comment>
    <comment ref="H1095" authorId="0">
      <text>
        <r>
          <rPr>
            <sz val="10"/>
            <rFont val="Arial"/>
            <family val="2"/>
            <charset val="1"/>
          </rPr>
          <t xml:space="preserve">Produit brut = f (prix du marché) vente + stock</t>
        </r>
      </text>
    </comment>
  </commentList>
</comments>
</file>

<file path=xl/comments5.xml><?xml version="1.0" encoding="utf-8"?>
<comments xmlns="http://schemas.openxmlformats.org/spreadsheetml/2006/main" xmlns:xdr="http://schemas.openxmlformats.org/drawingml/2006/spreadsheetDrawing">
  <authors>
    <author> </author>
  </authors>
  <commentList>
    <comment ref="A13" authorId="0">
      <text>
        <r>
          <rPr>
            <sz val="9"/>
            <color rgb="FF000000"/>
            <rFont val="Tahoma"/>
            <family val="2"/>
            <charset val="1"/>
          </rPr>
          <t xml:space="preserve">superficie agricole utilisée. Elle comprend les terres arables, la superficie toujours en herbe (STH) et les cultures permanentes. </t>
        </r>
      </text>
    </comment>
    <comment ref="A223" authorId="0">
      <text>
        <r>
          <rPr>
            <sz val="9"/>
            <color rgb="FF000000"/>
            <rFont val="Tahoma"/>
            <family val="2"/>
            <charset val="1"/>
          </rPr>
          <t xml:space="preserve">Pour les protéagineux, on considère que l'azote fixé correspond à l'azote exporté par le grain
</t>
        </r>
      </text>
    </comment>
    <comment ref="A267" authorId="0">
      <text>
        <r>
          <rPr>
            <sz val="9"/>
            <color rgb="FF000000"/>
            <rFont val="Tahoma"/>
            <family val="2"/>
            <charset val="1"/>
          </rPr>
          <t xml:space="preserve">Pour les protéagineux, on considère que l'azote fixé correspond à l'azote exporté par le grain
</t>
        </r>
      </text>
    </comment>
    <comment ref="A279" authorId="0">
      <text>
        <r>
          <rPr>
            <sz val="9"/>
            <color rgb="FF000000"/>
            <rFont val="Tahoma"/>
            <family val="2"/>
            <charset val="1"/>
          </rPr>
          <t xml:space="preserve">Pour les protéagineux, on considère que l'azote fixé correspond à l'azote exporté par le grain
</t>
        </r>
      </text>
    </comment>
    <comment ref="A567" authorId="0">
      <text>
        <r>
          <rPr>
            <sz val="9"/>
            <color rgb="FF000000"/>
            <rFont val="Tahoma"/>
            <family val="2"/>
            <charset val="1"/>
          </rPr>
          <t xml:space="preserve">Prend en compte les légumineuses en culture pure ou en association, y compris en agroforesterie ( eucalyptus, robilnier)
Prend en compte les prairies 
temporaires en fonction de leur proportion de léguminuese</t>
        </r>
      </text>
    </comment>
    <comment ref="A830" authorId="0">
      <text>
        <r>
          <rPr>
            <sz val="9"/>
            <color rgb="FF000000"/>
            <rFont val="Tahoma"/>
            <family val="2"/>
            <charset val="1"/>
          </rPr>
          <t xml:space="preserve">on s'intéresse aux surfaces destinées, au final, à l'alimentation humaine. On prend donc également en compte:
- les surfaces dédiées à l'alimentation animale
- les surfaces dédiées où l’exploitant permet des activités liées à l’alimentation ( chasse, pêche, cueillette)
Il n'y a pas de prise en compte de l’intensité de production</t>
        </r>
      </text>
    </comment>
    <comment ref="A841" authorId="0">
      <text>
        <r>
          <rPr>
            <sz val="9"/>
            <color rgb="FF000000"/>
            <rFont val="Tahoma"/>
            <family val="2"/>
            <charset val="1"/>
          </rPr>
          <t xml:space="preserve">Ne sont comptabilisés que les seuls aliments industriels formulés à partir de matières premières qui varient selon les fluctuations des cours mondiaux et donc sans provenance précise. 
Les céréales achetées à un voisin ou dans le cadre de projets collectifs territoriaux contribuant à l’autonomie protéique sont donc exclues des surfaces importées.
</t>
        </r>
      </text>
    </comment>
    <comment ref="A896" authorId="0">
      <text>
        <r>
          <rPr>
            <sz val="9"/>
            <color rgb="FF000000"/>
            <rFont val="Tahoma"/>
            <family val="2"/>
            <charset val="1"/>
          </rPr>
          <t xml:space="preserve">On entend par services marchands les actions rétribués bénéficiant à la collectivité 
ex: déneigement, débroussaillage,
compostage déchets verts des collectivités, 
valorisation de digestats de méthaniseur?
</t>
        </r>
      </text>
    </comment>
    <comment ref="A922" authorId="0">
      <text>
        <r>
          <rPr>
            <sz val="9"/>
            <color rgb="FF000000"/>
            <rFont val="Tahoma"/>
            <family val="2"/>
            <charset val="1"/>
          </rPr>
          <t xml:space="preserve">Ex de projets énergétiques:  bois de chauffage et plaquette,
Méthanisation de déchets organiques agricoles ou de collectivités, presse semi-mobile à huile végétale pure, Projet collectifs de bois bocage/haie énergie, Miscanthus
</t>
        </r>
      </text>
    </comment>
    <comment ref="A943" authorId="0">
      <text>
        <r>
          <rPr>
            <sz val="9"/>
            <color rgb="FF000000"/>
            <rFont val="Tahoma"/>
            <family val="2"/>
            <charset val="1"/>
          </rPr>
          <t xml:space="preserve">A prendre en considération:
• Entretien ou restauration du bâti ancien, du petit patrimoine rural constitutif du patrimoine local 
• Qualité et typicité architecturale et intégration paysagère du bâti récent
• Qualité des abords du siège d’exploitation</t>
        </r>
      </text>
    </comment>
    <comment ref="A949" authorId="0">
      <text>
        <r>
          <rPr>
            <sz val="9"/>
            <color rgb="FF000000"/>
            <rFont val="Tahoma"/>
            <family val="2"/>
            <charset val="1"/>
          </rPr>
          <t xml:space="preserve">A prendre en considération: 
• savoirs faire liés aux cultures (exemple : sarrasin en Bretagne, lavandin sur le plateau de Valensole, taureaux en Camargue, …reconnu ou non par une marque Parc)
• savoirs faire liés à l'élevage (garde des taureaux à cheval, transhumance à pied, …)
• savoirs faire liés aux outils de production (utilisation de moulins ou pressoirs traditionnels…)</t>
        </r>
      </text>
    </comment>
    <comment ref="A958" authorId="0">
      <text>
        <r>
          <rPr>
            <sz val="9"/>
            <color rgb="FF000000"/>
            <rFont val="Tahoma"/>
            <family val="2"/>
            <charset val="1"/>
          </rPr>
          <t xml:space="preserve">Libre accès des chemins aux randonneurs, VTT, aux chevaux de loisirs, aux parapentes, aux activités d’observation de la faune et de la flore, etc…</t>
        </r>
      </text>
    </comment>
    <comment ref="A984" authorId="0">
      <text>
        <r>
          <rPr>
            <sz val="9"/>
            <color rgb="FF000000"/>
            <rFont val="Tahoma"/>
            <family val="2"/>
            <charset val="1"/>
          </rPr>
          <t xml:space="preserve">ex: Cuma, atelier de découpe ou de transformation collectif, point de vente collectif, accueil de ruches</t>
        </r>
      </text>
    </comment>
    <comment ref="A1056" authorId="0">
      <text>
        <r>
          <rPr>
            <sz val="9"/>
            <color rgb="FF000000"/>
            <rFont val="Tahoma"/>
            <family val="2"/>
            <charset val="1"/>
          </rPr>
          <t xml:space="preserve">Ex :  hébergement de jeunes et accueil handicapés, Mise à disposition de foncier pour des jeunes en installation, Parrainage de jeunes en installation;
 travail avec des banques alimentaires (directement ou via coopératives ou toutes structures de collectes), Restau du cœur
</t>
        </r>
      </text>
    </comment>
    <comment ref="A1058" authorId="0">
      <text>
        <r>
          <rPr>
            <sz val="9"/>
            <color rgb="FF000000"/>
            <rFont val="Tahoma"/>
            <family val="2"/>
            <charset val="1"/>
          </rPr>
          <t xml:space="preserve">Ex: Organisation de chantiers avec des citoyens, mobilisation de financement participatif, etc.</t>
        </r>
      </text>
    </comment>
    <comment ref="A1060" authorId="0">
      <text>
        <r>
          <rPr>
            <sz val="9"/>
            <color rgb="FF000000"/>
            <rFont val="Tahoma"/>
            <family val="2"/>
            <charset val="1"/>
          </rPr>
          <t xml:space="preserve">Exemple : Ecoles, étudiants
Sauf interdiction réglementaire ou difficulté installation (pas de logement disponible, etc..) ou familiale</t>
        </r>
        <r>
          <rPr>
            <b val="true"/>
            <sz val="9"/>
            <color rgb="FF000000"/>
            <rFont val="Tahoma"/>
            <family val="2"/>
            <charset val="1"/>
          </rPr>
          <t xml:space="preserve"> 
</t>
        </r>
      </text>
    </comment>
    <comment ref="A1076" authorId="0">
      <text>
        <r>
          <rPr>
            <sz val="9"/>
            <color rgb="FF000000"/>
            <rFont val="Tahoma"/>
            <family val="2"/>
            <charset val="1"/>
          </rPr>
          <t xml:space="preserve">A dire d'agriculteur(trice)
Si conjoint ou associés, retenir la plus mauvaise estimation
</t>
        </r>
      </text>
    </comment>
    <comment ref="A1205" authorId="0">
      <text>
        <r>
          <rPr>
            <i val="true"/>
            <sz val="9"/>
            <color rgb="FF000000"/>
            <rFont val="Tahoma"/>
            <family val="2"/>
            <charset val="1"/>
          </rPr>
          <t xml:space="preserve">Evaluation de la viabilité économique de l'exploitation agricole dans sa capacité à générer par son processus d’exploitation suffisamment de richesses pour rémunérer à la fois l'exploitant et les investissements 
</t>
        </r>
      </text>
    </comment>
    <comment ref="A1218" authorId="0">
      <text>
        <r>
          <rPr>
            <i val="true"/>
            <sz val="9"/>
            <color rgb="FF000000"/>
            <rFont val="Tahoma"/>
            <family val="2"/>
            <charset val="1"/>
          </rPr>
          <t xml:space="preserve">Rend compte de la solvabilité de l'exploitation</t>
        </r>
      </text>
    </comment>
    <comment ref="A1223" authorId="0">
      <text>
        <r>
          <rPr>
            <i val="true"/>
            <sz val="9"/>
            <color rgb="FF000000"/>
            <rFont val="Tahoma"/>
            <family val="2"/>
            <charset val="1"/>
          </rPr>
          <t xml:space="preserve">Appréciation des marges de manœuvre dont dispose l’exploitation face aux emprunts qu’elle a déjà contracté et son autonomie de décision</t>
        </r>
      </text>
    </comment>
    <comment ref="A1305" authorId="0">
      <text>
        <r>
          <rPr>
            <i val="true"/>
            <sz val="9"/>
            <color rgb="FF000000"/>
            <rFont val="Tahoma"/>
            <family val="2"/>
            <charset val="1"/>
          </rPr>
          <t xml:space="preserve">Autonomie financière de l'exploitation et adaptabilité face à la variabilité des aides</t>
        </r>
      </text>
    </comment>
    <comment ref="A1315" authorId="0">
      <text>
        <r>
          <rPr>
            <i val="true"/>
            <sz val="9"/>
            <color rgb="FF000000"/>
            <rFont val="Tahoma"/>
            <family val="2"/>
            <charset val="1"/>
          </rPr>
          <t xml:space="preserve">maintien d'exploitation à taille humaine pour en faciliter la transmission</t>
        </r>
      </text>
    </comment>
    <comment ref="B980" authorId="0">
      <text>
        <r>
          <rPr>
            <sz val="9"/>
            <color rgb="FF000000"/>
            <rFont val="Tahoma"/>
            <family val="2"/>
            <charset val="1"/>
          </rPr>
          <t xml:space="preserve">On s'intéresse au travail ou à la participation à des réseaux d'essai, de connaissance, de gestion, collectifs d'apprentissage ou de conception de pratiques environnementales innovantes.
Ex: Civam, GDA, réseaux Ecophyto, SME collectifs, adhésion à des GIEE </t>
        </r>
      </text>
    </comment>
    <comment ref="C96" authorId="0">
      <text>
        <r>
          <rPr>
            <sz val="9"/>
            <color rgb="FF000000"/>
            <rFont val="Tahoma"/>
            <family val="2"/>
            <charset val="1"/>
          </rPr>
          <t xml:space="preserve">si inconnu, s'aider des tables de conversion pour une estimation.</t>
        </r>
      </text>
    </comment>
    <comment ref="C615" authorId="0">
      <text>
        <r>
          <rPr>
            <b val="true"/>
            <sz val="9"/>
            <color rgb="FF000000"/>
            <rFont val="Tahoma"/>
            <family val="2"/>
            <charset val="1"/>
          </rPr>
          <t xml:space="preserve">Steinmetz Lucille:
</t>
        </r>
        <r>
          <rPr>
            <sz val="9"/>
            <color rgb="FF000000"/>
            <rFont val="Tahoma"/>
            <family val="2"/>
            <charset val="1"/>
          </rPr>
          <t xml:space="preserve">L, kWh, stère, t, …
</t>
        </r>
      </text>
    </comment>
    <comment ref="C842" authorId="0">
      <text>
        <r>
          <rPr>
            <sz val="9"/>
            <color rgb="FF000000"/>
            <rFont val="Tahoma"/>
            <family val="2"/>
            <charset val="1"/>
          </rPr>
          <t xml:space="preserve">Surface importée : 
4 t d'aliment du bétail concentré acheté = 1 ha équivalent </t>
        </r>
      </text>
    </comment>
    <comment ref="C989" authorId="0">
      <text>
        <r>
          <rPr>
            <b val="true"/>
            <sz val="9"/>
            <color rgb="FF000000"/>
            <rFont val="Tahoma"/>
            <family val="2"/>
            <charset val="1"/>
          </rPr>
          <t xml:space="preserve">SAU/UTH
</t>
        </r>
      </text>
    </comment>
    <comment ref="D217" authorId="0">
      <text>
        <r>
          <rPr>
            <b val="true"/>
            <sz val="10"/>
            <color rgb="FF000000"/>
            <rFont val="Tahoma"/>
            <family val="2"/>
            <charset val="1"/>
          </rPr>
          <t xml:space="preserve">Anaïs Boissier:
</t>
        </r>
        <r>
          <rPr>
            <sz val="10"/>
            <color rgb="FF000000"/>
            <rFont val="Tahoma"/>
            <family val="2"/>
            <charset val="1"/>
          </rPr>
          <t xml:space="preserve">valeur moyenne, ref chambre d'agri haute vienne</t>
        </r>
      </text>
    </comment>
    <comment ref="D233" authorId="0">
      <text>
        <r>
          <rPr>
            <b val="true"/>
            <sz val="10"/>
            <color rgb="FF000000"/>
            <rFont val="Tahoma"/>
            <family val="2"/>
            <charset val="1"/>
          </rPr>
          <t xml:space="preserve">Anaïs Boissier:
</t>
        </r>
        <r>
          <rPr>
            <sz val="10"/>
            <color rgb="FF000000"/>
            <rFont val="Tahoma"/>
            <family val="2"/>
            <charset val="1"/>
          </rPr>
          <t xml:space="preserve">réference chambre d'agri haute vienne, valeur moyenne</t>
        </r>
      </text>
    </comment>
    <comment ref="D949" authorId="0">
      <text>
        <r>
          <rPr>
            <i val="true"/>
            <sz val="9"/>
            <color rgb="FF000000"/>
            <rFont val="Tahoma"/>
            <family val="2"/>
            <charset val="1"/>
          </rPr>
          <t xml:space="preserve">Qualité de vie et identité du territoire</t>
        </r>
      </text>
    </comment>
    <comment ref="D958" authorId="0">
      <text>
        <r>
          <rPr>
            <sz val="9"/>
            <color rgb="FF000000"/>
            <rFont val="Tahoma"/>
            <family val="2"/>
            <charset val="1"/>
          </rPr>
          <t xml:space="preserve">Libre accès sur des chemins privatifs en zones urbaines ou périurbaines (tourisme doux)</t>
        </r>
        <r>
          <rPr>
            <b val="true"/>
            <sz val="9"/>
            <color rgb="FF000000"/>
            <rFont val="Tahoma"/>
            <family val="2"/>
            <charset val="1"/>
          </rPr>
          <t xml:space="preserve">      </t>
        </r>
      </text>
    </comment>
    <comment ref="D1007" authorId="0">
      <text>
        <r>
          <rPr>
            <i val="true"/>
            <sz val="9"/>
            <color rgb="FF000000"/>
            <rFont val="Tahoma"/>
            <family val="2"/>
            <charset val="1"/>
          </rPr>
          <t xml:space="preserve">Indépendance et développement territorial
</t>
        </r>
      </text>
    </comment>
    <comment ref="D1008" authorId="0">
      <text>
        <r>
          <rPr>
            <i val="true"/>
            <sz val="9"/>
            <color rgb="FF000000"/>
            <rFont val="Tahoma"/>
            <family val="2"/>
            <charset val="1"/>
          </rPr>
          <t xml:space="preserve">Indépendance et développement territorial
</t>
        </r>
      </text>
    </comment>
    <comment ref="D1009" authorId="0">
      <text>
        <r>
          <rPr>
            <i val="true"/>
            <sz val="9"/>
            <color rgb="FF000000"/>
            <rFont val="Tahoma"/>
            <family val="2"/>
            <charset val="1"/>
          </rPr>
          <t xml:space="preserve">Indépendance et développement territorial
</t>
        </r>
      </text>
    </comment>
    <comment ref="D1010" authorId="0">
      <text>
        <r>
          <rPr>
            <i val="true"/>
            <sz val="9"/>
            <color rgb="FF000000"/>
            <rFont val="Tahoma"/>
            <family val="2"/>
            <charset val="1"/>
          </rPr>
          <t xml:space="preserve">Indépendance et développement territorial
</t>
        </r>
      </text>
    </comment>
    <comment ref="D1012" authorId="0">
      <text>
        <r>
          <rPr>
            <sz val="9"/>
            <color rgb="FF000000"/>
            <rFont val="Tahoma"/>
            <family val="2"/>
            <charset val="1"/>
          </rPr>
          <t xml:space="preserve">viabilité économique et pérénité de l'exploitation,
qualité de vie,
développement territorial,
démarche éthique et engagement citoyen
</t>
        </r>
      </text>
    </comment>
    <comment ref="D1058" authorId="0">
      <text>
        <r>
          <rPr>
            <sz val="9"/>
            <color rgb="FF000000"/>
            <rFont val="Tahoma"/>
            <family val="2"/>
            <charset val="1"/>
          </rPr>
          <t xml:space="preserve">Développement territorial,
Qualité de vie,
Liberté d'action et indépendance
Engagement de citoyenneté </t>
        </r>
      </text>
    </comment>
    <comment ref="D1203" authorId="0">
      <text>
        <r>
          <rPr>
            <b val="true"/>
            <sz val="9"/>
            <color rgb="FF000000"/>
            <rFont val="Tahoma"/>
            <family val="2"/>
            <charset val="1"/>
          </rPr>
          <t xml:space="preserve"> Besoin de financement (BF) 
 = (0,25*dotation amortissements de l’année) + somme annuités LMT
</t>
        </r>
        <r>
          <rPr>
            <sz val="9"/>
            <color rgb="FF000000"/>
            <rFont val="Tahoma"/>
            <family val="2"/>
            <charset val="1"/>
          </rPr>
          <t xml:space="preserve">
</t>
        </r>
        <r>
          <rPr>
            <i val="true"/>
            <sz val="9"/>
            <color rgb="FF000000"/>
            <rFont val="Tahoma"/>
            <family val="2"/>
            <charset val="1"/>
          </rPr>
          <t xml:space="preserve">Le taux de 25 % des amortissements correspond à une exploitation en rythme de croisière qui consacre 25 % de son EBE à des investissements de croissance ou de renouvellement</t>
        </r>
      </text>
    </comment>
    <comment ref="D1205" authorId="0">
      <text>
        <r>
          <rPr>
            <b val="true"/>
            <sz val="9"/>
            <color rgb="FF000000"/>
            <rFont val="Tahoma"/>
            <family val="2"/>
            <charset val="1"/>
          </rPr>
          <t xml:space="preserve">CE=(EBE-BF)/ UTH non salarié
</t>
        </r>
      </text>
    </comment>
    <comment ref="D1305" authorId="0">
      <text>
        <r>
          <rPr>
            <b val="true"/>
            <sz val="9"/>
            <color rgb="FF000000"/>
            <rFont val="Tahoma"/>
            <family val="2"/>
            <charset val="1"/>
          </rPr>
          <t xml:space="preserve">SA = (aides 1er pilier  PAC)/ EBE</t>
        </r>
      </text>
    </comment>
    <comment ref="E227" authorId="0">
      <text>
        <r>
          <rPr>
            <sz val="9"/>
            <color rgb="FF000000"/>
            <rFont val="Tahoma"/>
            <family val="2"/>
            <charset val="1"/>
          </rPr>
          <t xml:space="preserve">utililiser le tableau de détermination du taux de légumineuse
</t>
        </r>
      </text>
    </comment>
    <comment ref="E228" authorId="0">
      <text>
        <r>
          <rPr>
            <sz val="9"/>
            <color rgb="FF000000"/>
            <rFont val="Tahoma"/>
            <family val="2"/>
            <charset val="1"/>
          </rPr>
          <t xml:space="preserve">utililiser le tableau de détermination du taux de légumineuse
</t>
        </r>
      </text>
    </comment>
    <comment ref="E229" authorId="0">
      <text>
        <r>
          <rPr>
            <sz val="9"/>
            <color rgb="FF000000"/>
            <rFont val="Tahoma"/>
            <family val="2"/>
            <charset val="1"/>
          </rPr>
          <t xml:space="preserve">utililiser le tableau de détermination du taux de légumineuse
</t>
        </r>
      </text>
    </comment>
    <comment ref="E230" authorId="0">
      <text>
        <r>
          <rPr>
            <sz val="9"/>
            <color rgb="FF000000"/>
            <rFont val="Tahoma"/>
            <family val="2"/>
            <charset val="1"/>
          </rPr>
          <t xml:space="preserve">utililiser le tableau de détermination du taux de légumineuse
</t>
        </r>
      </text>
    </comment>
    <comment ref="E233" authorId="0">
      <text>
        <r>
          <rPr>
            <sz val="9"/>
            <color rgb="FF000000"/>
            <rFont val="Tahoma"/>
            <family val="2"/>
            <charset val="1"/>
          </rPr>
          <t xml:space="preserve">utililiser le tableau de détermination du taux de légumineuse ???
</t>
        </r>
      </text>
    </comment>
    <comment ref="E875" authorId="0">
      <text>
        <r>
          <rPr>
            <i val="true"/>
            <sz val="9"/>
            <color rgb="FF000000"/>
            <rFont val="Tahoma"/>
            <family val="2"/>
            <charset val="1"/>
          </rPr>
          <t xml:space="preserve">sensibilisation des consommateurs à mieux raisonner leur consommation</t>
        </r>
      </text>
    </comment>
    <comment ref="E878" authorId="0">
      <text>
        <r>
          <rPr>
            <i val="true"/>
            <sz val="9"/>
            <color rgb="FF000000"/>
            <rFont val="Tahoma"/>
            <family val="2"/>
            <charset val="1"/>
          </rPr>
          <t xml:space="preserve">sensibilisation des consommateurs à mieux raisonner leur consommation</t>
        </r>
      </text>
    </comment>
    <comment ref="E910" authorId="0">
      <text>
        <r>
          <rPr>
            <i val="true"/>
            <sz val="9"/>
            <color rgb="FF000000"/>
            <rFont val="Tahoma"/>
            <family val="2"/>
            <charset val="1"/>
          </rPr>
          <t xml:space="preserve">Indépendance et développement territorial
</t>
        </r>
      </text>
    </comment>
    <comment ref="E991" authorId="0">
      <text>
        <r>
          <rPr>
            <sz val="9"/>
            <color rgb="FF000000"/>
            <rFont val="Tahoma"/>
            <family val="2"/>
            <charset val="1"/>
          </rPr>
          <t xml:space="preserve">viabilité économique et pérénité de l'exploitation,
développement territorial,
démarche éthique et engagement citoyen
</t>
        </r>
      </text>
    </comment>
    <comment ref="E992" authorId="0">
      <text>
        <r>
          <rPr>
            <sz val="9"/>
            <color rgb="FF000000"/>
            <rFont val="Tahoma"/>
            <family val="2"/>
            <charset val="1"/>
          </rPr>
          <t xml:space="preserve">développement territorial,
démarche éthique et engagement citoyen
</t>
        </r>
      </text>
    </comment>
    <comment ref="E995" authorId="0">
      <text>
        <r>
          <rPr>
            <sz val="9"/>
            <color rgb="FF000000"/>
            <rFont val="Tahoma"/>
            <family val="2"/>
            <charset val="1"/>
          </rPr>
          <t xml:space="preserve">développement territorial,
démarche éthique et engagement citoyen
</t>
        </r>
      </text>
    </comment>
    <comment ref="E1081" authorId="0">
      <text>
        <r>
          <rPr>
            <sz val="9"/>
            <color rgb="FF000000"/>
            <rFont val="Tahoma"/>
            <family val="2"/>
            <charset val="1"/>
          </rPr>
          <t xml:space="preserve">Contribuer à la qualité de vie
</t>
        </r>
      </text>
    </comment>
    <comment ref="E1082" authorId="0">
      <text>
        <r>
          <rPr>
            <sz val="9"/>
            <color rgb="FF000000"/>
            <rFont val="Tahoma"/>
            <family val="2"/>
            <charset val="1"/>
          </rPr>
          <t xml:space="preserve">Contribuer à la qualité de vie
</t>
        </r>
      </text>
    </comment>
    <comment ref="E1228" authorId="0">
      <text>
        <r>
          <rPr>
            <sz val="10"/>
            <color rgb="FF000000"/>
            <rFont val="Arial"/>
            <family val="2"/>
            <charset val="1"/>
          </rPr>
          <t xml:space="preserve">CA : seulement ce qui est vendu (pas pris en compte autoconsommation)</t>
        </r>
      </text>
    </comment>
    <comment ref="F615" authorId="0">
      <text>
        <r>
          <rPr>
            <b val="true"/>
            <sz val="9"/>
            <color rgb="FF000000"/>
            <rFont val="Tahoma"/>
            <family val="2"/>
            <charset val="1"/>
          </rPr>
          <t xml:space="preserve">Steinmetz Lucille:
</t>
        </r>
        <r>
          <rPr>
            <sz val="9"/>
            <color rgb="FF000000"/>
            <rFont val="Tahoma"/>
            <family val="2"/>
            <charset val="1"/>
          </rPr>
          <t xml:space="preserve">fixer unité de sortie
L fuel/ha, kWh …
</t>
        </r>
      </text>
    </comment>
    <comment ref="F943" authorId="0">
      <text>
        <r>
          <rPr>
            <sz val="9"/>
            <color rgb="FF000000"/>
            <rFont val="Tahoma"/>
            <family val="2"/>
            <charset val="1"/>
          </rPr>
          <t xml:space="preserve">A prendre en considération: 
• Aménagement paysager des surfaces cultivées et lisières et forêts de l’exploitation
• Mise en œuvre d’actions visant à valoriser le paysage (concours fermes fleuries, jachères fleuries, Engagement chartes paysagères locales)
• Contribution par les pratiques culturales ou d’élevage, à la valorisation et à l’entretien du paysage culturel (terrasses cévenoles, murets de pierre sèche, …)
</t>
        </r>
      </text>
    </comment>
    <comment ref="F1228" authorId="0">
      <text>
        <r>
          <rPr>
            <b val="true"/>
            <sz val="9"/>
            <color rgb="FF000000"/>
            <rFont val="Tahoma"/>
            <family val="2"/>
            <charset val="1"/>
          </rPr>
          <t xml:space="preserve">%CA représenté par le produit = (CA lié au produit / CA total ) X 100
</t>
        </r>
      </text>
    </comment>
    <comment ref="G248" authorId="0">
      <text>
        <r>
          <rPr>
            <sz val="9"/>
            <color rgb="FF000000"/>
            <rFont val="Tahoma"/>
            <family val="2"/>
            <charset val="1"/>
          </rPr>
          <t xml:space="preserve">Peut s'obtenir en multipliant le rendement en tMS par la surface à condition que tout soit vendu
</t>
        </r>
      </text>
    </comment>
    <comment ref="G368" authorId="0">
      <text>
        <r>
          <rPr>
            <b val="true"/>
            <sz val="9"/>
            <color rgb="FF000000"/>
            <rFont val="Tahoma"/>
            <family val="2"/>
            <charset val="1"/>
          </rPr>
          <t xml:space="preserve">Surface 1ere culture / (SAU - STH)
</t>
        </r>
        <r>
          <rPr>
            <sz val="9"/>
            <color rgb="FF000000"/>
            <rFont val="Tahoma"/>
            <family val="2"/>
            <charset val="1"/>
          </rPr>
          <t xml:space="preserve">
Pour le bon fonctionnement des formules remplir au minimum deux cases surface dans chaque tableau des assolements (avec des 0 si aucune culture)</t>
        </r>
      </text>
    </comment>
    <comment ref="G369" authorId="0">
      <text>
        <r>
          <rPr>
            <b val="true"/>
            <sz val="9"/>
            <color rgb="FF000000"/>
            <rFont val="Tahoma"/>
            <family val="2"/>
            <charset val="1"/>
          </rPr>
          <t xml:space="preserve">Surface 1ere culture / (SAU - STH)
</t>
        </r>
        <r>
          <rPr>
            <sz val="9"/>
            <color rgb="FF000000"/>
            <rFont val="Tahoma"/>
            <family val="2"/>
            <charset val="1"/>
          </rPr>
          <t xml:space="preserve">
Pour le bon fonctionnement des formules remplir au minimum deux cases surface dans chaque tableau des assolements (avec des 0 si aucune culture)</t>
        </r>
      </text>
    </comment>
    <comment ref="G713" authorId="0">
      <text>
        <r>
          <rPr>
            <b val="true"/>
            <sz val="9"/>
            <color rgb="FF000000"/>
            <rFont val="Tahoma"/>
            <family val="2"/>
            <charset val="1"/>
          </rPr>
          <t xml:space="preserve">Besoin mensuel du bétail =Nbd'UGB*0,42
</t>
        </r>
        <r>
          <rPr>
            <sz val="9"/>
            <color rgb="FF000000"/>
            <rFont val="Tahoma"/>
            <family val="2"/>
            <charset val="1"/>
          </rPr>
          <t xml:space="preserve">
Référence: Un UGB 100% à l'herbe mange 0,42 t MS par mois</t>
        </r>
      </text>
    </comment>
    <comment ref="G834" authorId="0">
      <text>
        <r>
          <rPr>
            <sz val="9"/>
            <color rgb="FF000000"/>
            <rFont val="Tahoma"/>
            <family val="2"/>
            <charset val="1"/>
          </rPr>
          <t xml:space="preserve">Exploitation hors sol sans aucune SAU ou avec une très faible SAU non consacrée à l’alimentation humaine)</t>
        </r>
      </text>
    </comment>
    <comment ref="G1056" authorId="0">
      <text>
        <r>
          <rPr>
            <sz val="9"/>
            <color rgb="FF000000"/>
            <rFont val="Tahoma"/>
            <family val="2"/>
            <charset val="1"/>
          </rPr>
          <t xml:space="preserve">Développement territorial,
Qualité de vie,
Liberté d'action et indépendance
Engagement de citoyenneté </t>
        </r>
      </text>
    </comment>
    <comment ref="G1228" authorId="0">
      <text>
        <r>
          <rPr>
            <sz val="10"/>
            <color rgb="FF000000"/>
            <rFont val="Arial"/>
            <family val="2"/>
            <charset val="1"/>
          </rPr>
          <t xml:space="preserve">Produit brut = f (prix du marché) vente + stock</t>
        </r>
      </text>
    </comment>
    <comment ref="I96" authorId="0">
      <text>
        <r>
          <rPr>
            <sz val="9"/>
            <color rgb="FF000000"/>
            <rFont val="Tahoma"/>
            <family val="2"/>
            <charset val="1"/>
          </rPr>
          <t xml:space="preserve">si inconnu, s'aider des tables de conversion pour une estimation.</t>
        </r>
      </text>
    </comment>
    <comment ref="I830" authorId="0">
      <text>
        <r>
          <rPr>
            <b val="true"/>
            <sz val="9"/>
            <color rgb="FF000000"/>
            <rFont val="Tahoma"/>
            <family val="2"/>
            <charset val="1"/>
          </rPr>
          <t xml:space="preserve">PAE= SAUalimentaire/SAU X 100</t>
        </r>
      </text>
    </comment>
    <comment ref="I1235" authorId="0">
      <text>
        <r>
          <rPr>
            <i val="true"/>
            <sz val="9"/>
            <color rgb="FF000000"/>
            <rFont val="Tahoma"/>
            <family val="2"/>
            <charset val="1"/>
          </rPr>
          <t xml:space="preserve">évaluation de la vulnérabilité face aux variations du marché
</t>
        </r>
      </text>
    </comment>
    <comment ref="J199" authorId="0">
      <text>
        <r>
          <rPr>
            <sz val="9"/>
            <color rgb="FF000000"/>
            <rFont val="Tahoma"/>
            <family val="2"/>
            <charset val="1"/>
          </rPr>
          <t xml:space="preserve">Peut s'obtenir en multipliant le rendement en tMS par la surface à condition que tout soit vendu
</t>
        </r>
      </text>
    </comment>
    <comment ref="J552" authorId="0">
      <text>
        <r>
          <rPr>
            <b val="true"/>
            <sz val="9"/>
            <color rgb="FF000000"/>
            <rFont val="Tahoma"/>
            <family val="2"/>
            <charset val="1"/>
          </rPr>
          <t xml:space="preserve">Dépendance en fourrage =
100*  (qté de fourrage acheté )/(5*nbr UGB)
Autonomie en fourage  = (100 –  dépendance fourrage)
</t>
        </r>
      </text>
    </comment>
    <comment ref="J555" authorId="0">
      <text>
        <r>
          <rPr>
            <b val="true"/>
            <sz val="9"/>
            <color rgb="FF000000"/>
            <rFont val="Tahoma"/>
            <family val="2"/>
            <charset val="1"/>
          </rPr>
          <t xml:space="preserve">Dépendance aliments concentré = 
100 *
  qté d'aliments concentrés achetés en MS /(qté d' aliments concentrés consommés )
Autonomie  = (100 –  dépendance aliment concentré)
</t>
        </r>
      </text>
    </comment>
    <comment ref="J567" authorId="0">
      <text>
        <r>
          <rPr>
            <b val="true"/>
            <sz val="9"/>
            <color rgb="FF000000"/>
            <rFont val="Tahoma"/>
            <family val="2"/>
            <charset val="1"/>
          </rPr>
          <t xml:space="preserve">part de légumineuse dans l'assolement=
surface légumineuse/(surface assolable)X100
</t>
        </r>
        <r>
          <rPr>
            <sz val="9"/>
            <color rgb="FF000000"/>
            <rFont val="Tahoma"/>
            <family val="2"/>
            <charset val="1"/>
          </rPr>
          <t xml:space="preserve">
surface assolable= SAU-STH-surface en culture pérennes)
</t>
        </r>
      </text>
    </comment>
    <comment ref="J713" authorId="0">
      <text>
        <r>
          <rPr>
            <b val="true"/>
            <sz val="9"/>
            <color rgb="FF000000"/>
            <rFont val="Tahoma"/>
            <family val="2"/>
            <charset val="1"/>
          </rPr>
          <t xml:space="preserve">quantité de fourrages à la date de mise à l'herbe / besoin mensuel du troupeau</t>
        </r>
      </text>
    </comment>
    <comment ref="J841" authorId="0">
      <text>
        <r>
          <rPr>
            <b val="true"/>
            <sz val="9"/>
            <color rgb="FF000000"/>
            <rFont val="Tahoma"/>
            <family val="2"/>
            <charset val="1"/>
          </rPr>
          <t xml:space="preserve">TI =
 surface importée/  SAU X 100
</t>
        </r>
      </text>
    </comment>
    <comment ref="J845" authorId="0">
      <text>
        <r>
          <rPr>
            <b val="true"/>
            <sz val="9"/>
            <color rgb="FF000000"/>
            <rFont val="Tahoma"/>
            <family val="2"/>
            <charset val="1"/>
          </rPr>
          <t xml:space="preserve">Pprot= SAU Culture proétine/ SAU X 100
</t>
        </r>
      </text>
    </comment>
    <comment ref="J904" authorId="0">
      <text>
        <r>
          <rPr>
            <b val="true"/>
            <sz val="9"/>
            <color rgb="FF000000"/>
            <rFont val="Tahoma"/>
            <family val="2"/>
            <charset val="1"/>
          </rPr>
          <t xml:space="preserve">(Ventes directes + ventes locales)/CA
</t>
        </r>
      </text>
    </comment>
    <comment ref="J1235" authorId="0">
      <text>
        <r>
          <rPr>
            <b val="true"/>
            <sz val="9"/>
            <color rgb="FF000000"/>
            <rFont val="Tahoma"/>
            <family val="2"/>
            <charset val="1"/>
          </rPr>
          <t xml:space="preserve">Maximum (  PR)/ Produit total
</t>
        </r>
        <r>
          <rPr>
            <sz val="9"/>
            <color rgb="FF000000"/>
            <rFont val="Tahoma"/>
            <family val="2"/>
            <charset val="1"/>
          </rPr>
          <t xml:space="preserve">
</t>
        </r>
      </text>
    </comment>
    <comment ref="J1246" authorId="0">
      <text>
        <r>
          <rPr>
            <b val="true"/>
            <sz val="9"/>
            <color rgb="FF000000"/>
            <rFont val="Tahoma"/>
            <family val="2"/>
            <charset val="1"/>
          </rPr>
          <t xml:space="preserve">Types de produits en fonction des ateliers:
grandes cultures (5 types de produits) : </t>
        </r>
        <r>
          <rPr>
            <sz val="9"/>
            <color rgb="FF000000"/>
            <rFont val="Tahoma"/>
            <family val="2"/>
            <charset val="1"/>
          </rPr>
          <t xml:space="preserve">céréales à paille, maïs, oléagineux et protéagineux, cultures industrielles
</t>
        </r>
        <r>
          <rPr>
            <b val="true"/>
            <sz val="9"/>
            <color rgb="FF000000"/>
            <rFont val="Tahoma"/>
            <family val="2"/>
            <charset val="1"/>
          </rPr>
          <t xml:space="preserve">ateliers en horticulture : </t>
        </r>
        <r>
          <rPr>
            <sz val="9"/>
            <color rgb="FF000000"/>
            <rFont val="Tahoma"/>
            <family val="2"/>
            <charset val="1"/>
          </rPr>
          <t xml:space="preserve">nombre de produits différents
</t>
        </r>
        <r>
          <rPr>
            <b val="true"/>
            <sz val="9"/>
            <color rgb="FF000000"/>
            <rFont val="Tahoma"/>
            <family val="2"/>
            <charset val="1"/>
          </rPr>
          <t xml:space="preserve">ateliers en maraîchage : </t>
        </r>
        <r>
          <rPr>
            <sz val="9"/>
            <color rgb="FF000000"/>
            <rFont val="Tahoma"/>
            <family val="2"/>
            <charset val="1"/>
          </rPr>
          <t xml:space="preserve">nombre de produits différents
</t>
        </r>
        <r>
          <rPr>
            <b val="true"/>
            <sz val="9"/>
            <color rgb="FF000000"/>
            <rFont val="Tahoma"/>
            <family val="2"/>
            <charset val="1"/>
          </rPr>
          <t xml:space="preserve">ateliers en arboriculture : </t>
        </r>
        <r>
          <rPr>
            <sz val="9"/>
            <color rgb="FF000000"/>
            <rFont val="Tahoma"/>
            <family val="2"/>
            <charset val="1"/>
          </rPr>
          <t xml:space="preserve">distinguer les espèces
</t>
        </r>
        <r>
          <rPr>
            <b val="true"/>
            <sz val="9"/>
            <color rgb="FF000000"/>
            <rFont val="Tahoma"/>
            <family val="2"/>
            <charset val="1"/>
          </rPr>
          <t xml:space="preserve">atelier en viticulture : </t>
        </r>
        <r>
          <rPr>
            <sz val="9"/>
            <color rgb="FF000000"/>
            <rFont val="Tahoma"/>
            <family val="2"/>
            <charset val="1"/>
          </rPr>
          <t xml:space="preserve">distinguer les couleurs blanc /rouge /rosé comme trois produits 
</t>
        </r>
        <r>
          <rPr>
            <b val="true"/>
            <sz val="9"/>
            <color rgb="FF000000"/>
            <rFont val="Tahoma"/>
            <family val="2"/>
            <charset val="1"/>
          </rPr>
          <t xml:space="preserve">
ateliers pour produits d'origine animale (4 types de produits) : </t>
        </r>
        <r>
          <rPr>
            <sz val="9"/>
            <color rgb="FF000000"/>
            <rFont val="Tahoma"/>
            <family val="2"/>
            <charset val="1"/>
          </rPr>
          <t xml:space="preserve">ventes animaux vifs, lait,  produits laitiers et  viande transformée</t>
        </r>
      </text>
    </comment>
  </commentList>
</comments>
</file>

<file path=xl/comments6.xml><?xml version="1.0" encoding="utf-8"?>
<comments xmlns="http://schemas.openxmlformats.org/spreadsheetml/2006/main" xmlns:xdr="http://schemas.openxmlformats.org/drawingml/2006/spreadsheetDrawing">
  <authors>
    <author> </author>
  </authors>
  <commentList>
    <comment ref="C199" authorId="0">
      <text>
        <r>
          <rPr>
            <sz val="9"/>
            <color rgb="FF000000"/>
            <rFont val="Tahoma"/>
            <family val="2"/>
            <charset val="1"/>
          </rPr>
          <t xml:space="preserve">si inconnu, s'aider des tables de conversion pour une estimation.</t>
        </r>
      </text>
    </comment>
    <comment ref="C401" authorId="0">
      <text>
        <r>
          <rPr>
            <sz val="9"/>
            <color rgb="FF000000"/>
            <rFont val="Tahoma"/>
            <family val="2"/>
            <charset val="1"/>
          </rPr>
          <t xml:space="preserve">si inconnu, s'aider des tables de conversion pour une estimation.</t>
        </r>
      </text>
    </comment>
  </commentList>
</comments>
</file>

<file path=xl/comments7.xml><?xml version="1.0" encoding="utf-8"?>
<comments xmlns="http://schemas.openxmlformats.org/spreadsheetml/2006/main" xmlns:xdr="http://schemas.openxmlformats.org/drawingml/2006/spreadsheetDrawing">
  <authors>
    <author> </author>
  </authors>
  <commentList>
    <comment ref="C845" authorId="0">
      <text>
        <r>
          <rPr>
            <sz val="9"/>
            <color rgb="FF000000"/>
            <rFont val="Tahoma"/>
            <family val="2"/>
            <charset val="1"/>
          </rPr>
          <t xml:space="preserve">compter le nombre d'arbres et diviser par 100.
</t>
        </r>
        <r>
          <rPr>
            <b val="true"/>
            <sz val="9"/>
            <color rgb="FF000000"/>
            <rFont val="Tahoma"/>
            <family val="2"/>
            <charset val="1"/>
          </rPr>
          <t xml:space="preserve">Estimation:
</t>
        </r>
        <r>
          <rPr>
            <sz val="9"/>
            <color rgb="FF000000"/>
            <rFont val="Tahoma"/>
            <family val="2"/>
            <charset val="1"/>
          </rPr>
          <t xml:space="preserve">
</t>
        </r>
        <r>
          <rPr>
            <b val="true"/>
            <sz val="9"/>
            <color rgb="FF000000"/>
            <rFont val="Tahoma"/>
            <family val="2"/>
            <charset val="1"/>
          </rPr>
          <t xml:space="preserve">Sylvopastoralisme:
</t>
        </r>
        <r>
          <rPr>
            <sz val="9"/>
            <color rgb="FF000000"/>
            <rFont val="Tahoma"/>
            <family val="2"/>
            <charset val="1"/>
          </rPr>
          <t xml:space="preserve">100 arbres moyen/ ha 
</t>
        </r>
        <r>
          <rPr>
            <b val="true"/>
            <sz val="9"/>
            <color rgb="FF000000"/>
            <rFont val="Tahoma"/>
            <family val="2"/>
            <charset val="1"/>
          </rPr>
          <t xml:space="preserve">
Agrisylviculture:
</t>
        </r>
        <r>
          <rPr>
            <sz val="9"/>
            <color rgb="FF000000"/>
            <rFont val="Tahoma"/>
            <family val="2"/>
            <charset val="1"/>
          </rPr>
          <t xml:space="preserve">110 arbres moyen/ha</t>
        </r>
      </text>
    </comment>
  </commentList>
</comments>
</file>

<file path=xl/sharedStrings.xml><?xml version="1.0" encoding="utf-8"?>
<sst xmlns="http://schemas.openxmlformats.org/spreadsheetml/2006/main" count="6493" uniqueCount="3261">
  <si>
    <t xml:space="preserve">Type d’animaux</t>
  </si>
  <si>
    <t xml:space="preserve">Coeff UGB</t>
  </si>
  <si>
    <t xml:space="preserve">Animaux sur cb de mois (/!\ taurillon, broutard)?</t>
  </si>
  <si>
    <t xml:space="preserve">Effectif</t>
  </si>
  <si>
    <t xml:space="preserve">Vaches laitières</t>
  </si>
  <si>
    <t xml:space="preserve">Vache de réforme</t>
  </si>
  <si>
    <t xml:space="preserve">Vaches allaitantes</t>
  </si>
  <si>
    <t xml:space="preserve">Femelle &gt; 2 ans</t>
  </si>
  <si>
    <t xml:space="preserve">Mâle &gt; 2 ans</t>
  </si>
  <si>
    <t xml:space="preserve">Femelle 1-2 ans</t>
  </si>
  <si>
    <t xml:space="preserve">Mâle 1-2 ans, croissance ou engraissement</t>
  </si>
  <si>
    <t xml:space="preserve">Femelle &lt; 1 an</t>
  </si>
  <si>
    <t xml:space="preserve">Mâle 0-1 an, croissance ou engraissement (veaux boucherie)</t>
  </si>
  <si>
    <t xml:space="preserve">Mâle 0-1 an, engraissement</t>
  </si>
  <si>
    <t xml:space="preserve">Broutard &lt; 1an, engraissement</t>
  </si>
  <si>
    <t xml:space="preserve">g. Nombre total UGB sur l’EA </t>
  </si>
  <si>
    <t xml:space="preserve">Notice</t>
  </si>
  <si>
    <t xml:space="preserve">N° version </t>
  </si>
  <si>
    <t xml:space="preserve">4.1.7</t>
  </si>
  <si>
    <t xml:space="preserve">du</t>
  </si>
  <si>
    <t xml:space="preserve">Organisation des onglets</t>
  </si>
  <si>
    <t xml:space="preserve">Code couleur pour les onglets "Saisie et calculateur" et "Bilan apparent"</t>
  </si>
  <si>
    <t xml:space="preserve">Page 1</t>
  </si>
  <si>
    <t xml:space="preserve">Zone de saisie des données</t>
  </si>
  <si>
    <t xml:space="preserve">Liens</t>
  </si>
  <si>
    <t xml:space="preserve">Page 2</t>
  </si>
  <si>
    <t xml:space="preserve">Questionnaire pour impression</t>
  </si>
  <si>
    <t xml:space="preserve">Coefficient, paramètre (bibliographie)</t>
  </si>
  <si>
    <t xml:space="preserve">Page 3</t>
  </si>
  <si>
    <t xml:space="preserve">Calculateur</t>
  </si>
  <si>
    <t xml:space="preserve">Unités</t>
  </si>
  <si>
    <t xml:space="preserve">Des liens ont été faits entre le calculateur et les feuilles de résultats.</t>
  </si>
  <si>
    <t xml:space="preserve">Page 4</t>
  </si>
  <si>
    <t xml:space="preserve">Bilan apparent</t>
  </si>
  <si>
    <t xml:space="preserve">Résultats intermédiaires (formules)</t>
  </si>
  <si>
    <t xml:space="preserve">Les formules sont dans les feuilles résultats.</t>
  </si>
  <si>
    <t xml:space="preserve">Page 5</t>
  </si>
  <si>
    <t xml:space="preserve">Tables de conversion</t>
  </si>
  <si>
    <t xml:space="preserve">Titres </t>
  </si>
  <si>
    <t xml:space="preserve">Penser à effectuer les modifications à chaque niveau.</t>
  </si>
  <si>
    <t xml:space="preserve">Page 6</t>
  </si>
  <si>
    <t xml:space="preserve">Résultats par dimension</t>
  </si>
  <si>
    <t xml:space="preserve">Agroécologique</t>
  </si>
  <si>
    <t xml:space="preserve">Contexte</t>
  </si>
  <si>
    <t xml:space="preserve">Des modifications dans la mise en forme peuvent affecter certains calculs.</t>
  </si>
  <si>
    <t xml:space="preserve">Page 7</t>
  </si>
  <si>
    <t xml:space="preserve">Socio-territoriale</t>
  </si>
  <si>
    <t xml:space="preserve">Cas impossibles / Données non pertinentes (ne pas saisir)</t>
  </si>
  <si>
    <t xml:space="preserve">Penser à vérifier que rien n'a changé quand c'est le cas.</t>
  </si>
  <si>
    <t xml:space="preserve">Page 8</t>
  </si>
  <si>
    <t xml:space="preserve">Economique</t>
  </si>
  <si>
    <t xml:space="preserve">Cellule à encadré rouge =&gt; Donnée utilisée dans le calcul de l'indicateur (à saisir ou déjà calculé automatiquement)</t>
  </si>
  <si>
    <t xml:space="preserve">Page 9</t>
  </si>
  <si>
    <t xml:space="preserve">Bilan durabilité</t>
  </si>
  <si>
    <t xml:space="preserve">Le Questionnaire</t>
  </si>
  <si>
    <t xml:space="preserve">Il est construit pour récupérer les données nécessaires au calcul de tous les indicateurs lors de l'enquête en évitant les répétitions.</t>
  </si>
  <si>
    <t xml:space="preserve">Il mobilise un code couleur simple, les cases légèrement grisée sont a remlir lors de l'enquête</t>
  </si>
  <si>
    <t xml:space="preserve">Pour l'imprimer :</t>
  </si>
  <si>
    <t xml:space="preserve">Onglet Fichier --&gt; Imprimer --&gt; Dernière liste déroulante : "Ajuster toutes les colonnes à une page" (25 p.)</t>
  </si>
  <si>
    <t xml:space="preserve">Le Calculateur</t>
  </si>
  <si>
    <r>
      <rPr>
        <sz val="11"/>
        <color rgb="FFFF0000"/>
        <rFont val="Times New Roman"/>
        <family val="1"/>
        <charset val="1"/>
      </rPr>
      <t xml:space="preserve">"Saisie et calculateur" est l'onglet de saisie des données</t>
    </r>
    <r>
      <rPr>
        <sz val="11"/>
        <color rgb="FF000000"/>
        <rFont val="Times New Roman"/>
        <family val="1"/>
        <charset val="1"/>
      </rPr>
      <t xml:space="preserve"> obtenues lors de l'enquête. Il faut respecter le code couleur, c’est-à-dire remplir seulement les cases jaunes et roses. </t>
    </r>
  </si>
  <si>
    <t xml:space="preserve">Au besoin les tableaux peuvent généralement être aggrandis en utilisant la fonction d'insertion de ligne. Pour que les nouvelles lignes soient prises en compte automatiquement dans les calculs, attention à bien les insérer entre deux lignes qui appartenaient au tableau (et pas à la fin du tableau).</t>
  </si>
  <si>
    <t xml:space="preserve">Plusieurs tableaux comportent des virgules dans leur première ligne. Il faut systématiquement les supprimer ou les remplacer par les valeurs de votre exploitation afin de débloquer les calculs.</t>
  </si>
  <si>
    <t xml:space="preserve">Bilan Apparent</t>
  </si>
  <si>
    <r>
      <rPr>
        <sz val="11"/>
        <color rgb="FF000000"/>
        <rFont val="Times New Roman"/>
        <family val="1"/>
        <charset val="1"/>
      </rPr>
      <t xml:space="preserve">Cet onglet réalise un bilan apparent. Seuls </t>
    </r>
    <r>
      <rPr>
        <sz val="11"/>
        <color rgb="FFFF0000"/>
        <rFont val="Times New Roman"/>
        <family val="1"/>
        <charset val="1"/>
      </rPr>
      <t xml:space="preserve">trois tableaux sont à remplir</t>
    </r>
    <r>
      <rPr>
        <sz val="11"/>
        <color rgb="FF000000"/>
        <rFont val="Times New Roman"/>
        <family val="1"/>
        <charset val="1"/>
      </rPr>
      <t xml:space="preserve"> (E1, S3 et S4), les autres données sont à saisir dans l'onglet "Saisie et calculateur". </t>
    </r>
  </si>
  <si>
    <t xml:space="preserve">Attention, dans plusieurs cas les références en azote ne sont pas encore indiqué. Si les produits ou les intrants de l'exploitation, ou leur coefficient en zote, ne sont pas renseigné, il faut les indiquer dans les tableaux de correspondances.</t>
  </si>
  <si>
    <t xml:space="preserve">NON A JOUR</t>
  </si>
  <si>
    <t xml:space="preserve">Cet onglet répertorie "tous" les coefficients utilisés dans la méthode et cite les sources.</t>
  </si>
  <si>
    <t xml:space="preserve">Dimensions agroécologique, socio-territoriale et économique</t>
  </si>
  <si>
    <t xml:space="preserve">Ces onglets répertorient les indicateurs des dimensions agroécologique, socio-territoriale et économique.</t>
  </si>
  <si>
    <t xml:space="preserve">Pour chaque indicateur, les items sont détaillés avec la valeur calculée et la note correspondante. La somme des items est ensuite calculée, puis la valeur de la note de durabilité est plafonnée.</t>
  </si>
  <si>
    <r>
      <rPr>
        <sz val="11"/>
        <color rgb="FFFF0000"/>
        <rFont val="Times New Roman"/>
        <family val="1"/>
        <charset val="1"/>
      </rPr>
      <t xml:space="preserve">Rien n'est à remplir dans cet onglet</t>
    </r>
    <r>
      <rPr>
        <sz val="11"/>
        <color rgb="FF000000"/>
        <rFont val="Times New Roman"/>
        <family val="1"/>
        <charset val="1"/>
      </rPr>
      <t xml:space="preserve">, il est seulement conseillé de vérifier les notes attribuées aux indicateurs pour recenser tout problème de formule dans les calculs. </t>
    </r>
  </si>
  <si>
    <t xml:space="preserve">Le bilan des indicateurs pour chaque dimension est réalisé avec quatre sorties finales : </t>
  </si>
  <si>
    <t xml:space="preserve">* un grand tableau pésentant tous les résulats (notes des indicateurs, composantes et dimensions)</t>
  </si>
  <si>
    <t xml:space="preserve">* un histogramme qui donne à voir la note de durabilité pour chaque dimension,</t>
  </si>
  <si>
    <t xml:space="preserve">* un radar et un histogramme qui donnent à voir les notes pour chaque composante, </t>
  </si>
  <si>
    <t xml:space="preserve">* trois histogrammes horitzontaux montrant la marge de progression pour chaque indicateur dans les trois dimensions.</t>
  </si>
  <si>
    <t xml:space="preserve">Renvoi BDD</t>
  </si>
  <si>
    <t xml:space="preserve">Cet onglet reprend et organise les données de l'exploitation pour en faciliter le transfert vers les autres outils d'analyse utilisés pour l'évaluation par IDEA</t>
  </si>
  <si>
    <t xml:space="preserve">La colonne B peut être copiée/collée telle quelle dans le calculateur propriété</t>
  </si>
  <si>
    <t xml:space="preserve">I - Données générales</t>
  </si>
  <si>
    <t xml:space="preserve">Enquète réalisée par:</t>
  </si>
  <si>
    <t xml:space="preserve">le: </t>
  </si>
  <si>
    <t xml:space="preserve">NOM Prénom :</t>
  </si>
  <si>
    <t xml:space="preserve">Adresse:</t>
  </si>
  <si>
    <t xml:space="preserve">Tel:</t>
  </si>
  <si>
    <t xml:space="preserve">Mail:</t>
  </si>
  <si>
    <t xml:space="preserve">Type d'exploitation :</t>
  </si>
  <si>
    <t xml:space="preserve">Forme sociétale :</t>
  </si>
  <si>
    <t xml:space="preserve">Répartition des surfaces</t>
  </si>
  <si>
    <t xml:space="preserve">SAU (hors forêt) :</t>
  </si>
  <si>
    <t xml:space="preserve">ha</t>
  </si>
  <si>
    <t xml:space="preserve">dont</t>
  </si>
  <si>
    <t xml:space="preserve">Gds cultures, cultures fourragères et indus.</t>
  </si>
  <si>
    <t xml:space="preserve">Arboriculture</t>
  </si>
  <si>
    <t xml:space="preserve">Viticulture</t>
  </si>
  <si>
    <t xml:space="preserve">Prairies Temporaires</t>
  </si>
  <si>
    <t xml:space="preserve">Maraichage</t>
  </si>
  <si>
    <t xml:space="preserve">STH (PP) :</t>
  </si>
  <si>
    <t xml:space="preserve">Autres surf. de prod.</t>
  </si>
  <si>
    <t xml:space="preserve">Autres surf. non prod. (chemins, bâti…)</t>
  </si>
  <si>
    <t xml:space="preserve">Forêt :</t>
  </si>
  <si>
    <t xml:space="preserve">Présences d'élevage</t>
  </si>
  <si>
    <t xml:space="preserve">Nombre d'UGB :</t>
  </si>
  <si>
    <t xml:space="preserve">Bref historique de l'exploitation:</t>
  </si>
  <si>
    <t xml:space="preserve">Main d'œuvre:</t>
  </si>
  <si>
    <t xml:space="preserve">UTH non salariées (associés) :</t>
  </si>
  <si>
    <t xml:space="preserve">UTH total :</t>
  </si>
  <si>
    <t xml:space="preserve">Autres personnes travaillant sur l'exploitation :</t>
  </si>
  <si>
    <t xml:space="preserve">II - Gestion de l'élevage</t>
  </si>
  <si>
    <t xml:space="preserve">NOM RACES</t>
  </si>
  <si>
    <t xml:space="preserve">NB INDIVIDUS</t>
  </si>
  <si>
    <t xml:space="preserve">dont Nb individus croisés</t>
  </si>
  <si>
    <t xml:space="preserve">Temps de présence sur l'exploitation (mois/an)</t>
  </si>
  <si>
    <t xml:space="preserve">dont pâturage (mois/an)</t>
  </si>
  <si>
    <t xml:space="preserve">BOVINS</t>
  </si>
  <si>
    <t xml:space="preserve">Taureaux</t>
  </si>
  <si>
    <t xml:space="preserve">Veaux vendus</t>
  </si>
  <si>
    <t xml:space="preserve">Génisses 0-1 an</t>
  </si>
  <si>
    <t xml:space="preserve">Génisses 1-2 ans</t>
  </si>
  <si>
    <t xml:space="preserve">Génisses +2 ans</t>
  </si>
  <si>
    <t xml:space="preserve">Males 0-1 an</t>
  </si>
  <si>
    <t xml:space="preserve">Males 1-2 ans</t>
  </si>
  <si>
    <t xml:space="preserve">Males +2 ans</t>
  </si>
  <si>
    <t xml:space="preserve">OVINS/CAPRINS</t>
  </si>
  <si>
    <t xml:space="preserve">Brebis/Chèvre - lait</t>
  </si>
  <si>
    <t xml:space="preserve">Brebis/Chèvre - viande</t>
  </si>
  <si>
    <t xml:space="preserve">Béliers/Boucs</t>
  </si>
  <si>
    <t xml:space="preserve">Agneaux vendus</t>
  </si>
  <si>
    <t xml:space="preserve">Agnelles/Chevrettes</t>
  </si>
  <si>
    <t xml:space="preserve">PORCINS</t>
  </si>
  <si>
    <t xml:space="preserve">Truies</t>
  </si>
  <si>
    <t xml:space="preserve">Verrats</t>
  </si>
  <si>
    <t xml:space="preserve">Cochettes</t>
  </si>
  <si>
    <t xml:space="preserve">Porcelets en post-sevrage</t>
  </si>
  <si>
    <t xml:space="preserve">Porcs en engraissement</t>
  </si>
  <si>
    <t xml:space="preserve">VOLAILLES</t>
  </si>
  <si>
    <t xml:space="preserve">poules pondeuses (place)</t>
  </si>
  <si>
    <t xml:space="preserve">poulettes produites</t>
  </si>
  <si>
    <t xml:space="preserve">poulets de chair</t>
  </si>
  <si>
    <t xml:space="preserve">poulets label</t>
  </si>
  <si>
    <t xml:space="preserve">chapons</t>
  </si>
  <si>
    <t xml:space="preserve">dindes repro. fermières</t>
  </si>
  <si>
    <t xml:space="preserve">dindes chair</t>
  </si>
  <si>
    <t xml:space="preserve">canards à rôtir</t>
  </si>
  <si>
    <t xml:space="preserve">canards prêt à gaver ext.</t>
  </si>
  <si>
    <t xml:space="preserve">canards gras</t>
  </si>
  <si>
    <t xml:space="preserve">pintades label &amp; parcours</t>
  </si>
  <si>
    <t xml:space="preserve">oies à rôtir</t>
  </si>
  <si>
    <t xml:space="preserve">oies PAG</t>
  </si>
  <si>
    <t xml:space="preserve">oies grasses</t>
  </si>
  <si>
    <t xml:space="preserve">AUTRES</t>
  </si>
  <si>
    <t xml:space="preserve">Chevaux</t>
  </si>
  <si>
    <t xml:space="preserve">Juments</t>
  </si>
  <si>
    <t xml:space="preserve">Anes</t>
  </si>
  <si>
    <t xml:space="preserve">Anesses</t>
  </si>
  <si>
    <t xml:space="preserve">Abeilles </t>
  </si>
  <si>
    <t xml:space="preserve">ACHAT ANIMAUX</t>
  </si>
  <si>
    <t xml:space="preserve">VENTE ANIMAUX</t>
  </si>
  <si>
    <r>
      <rPr>
        <b val="true"/>
        <sz val="12"/>
        <rFont val="Calibri"/>
        <family val="2"/>
        <charset val="1"/>
      </rPr>
      <t xml:space="preserve">Origine / Destination
</t>
    </r>
    <r>
      <rPr>
        <sz val="12"/>
        <rFont val="Calibri"/>
        <family val="2"/>
        <charset val="1"/>
      </rPr>
      <t xml:space="preserve">(local, projet collectif)</t>
    </r>
  </si>
  <si>
    <t xml:space="preserve"> Individus achetés (nb)</t>
  </si>
  <si>
    <t xml:space="preserve">Poids achat
(kg)</t>
  </si>
  <si>
    <t xml:space="preserve">Individus vendus (nb)</t>
  </si>
  <si>
    <t xml:space="preserve">Poids vente
(kg)</t>
  </si>
  <si>
    <t xml:space="preserve">Porcelets post-sevrage</t>
  </si>
  <si>
    <t xml:space="preserve">noter aussi vente d'œuf</t>
  </si>
  <si>
    <t xml:space="preserve">Chevaux / Juments</t>
  </si>
  <si>
    <t xml:space="preserve">Anes / Annesse</t>
  </si>
  <si>
    <t xml:space="preserve">Quantités annuelles</t>
  </si>
  <si>
    <t xml:space="preserve">Taux protéique</t>
  </si>
  <si>
    <r>
      <rPr>
        <b val="true"/>
        <sz val="14"/>
        <rFont val="Calibri"/>
        <family val="2"/>
        <charset val="1"/>
      </rPr>
      <t xml:space="preserve">Lait vendu
</t>
    </r>
    <r>
      <rPr>
        <sz val="12"/>
        <rFont val="Calibri"/>
        <family val="2"/>
        <charset val="1"/>
      </rPr>
      <t xml:space="preserve">(y c. fromages)</t>
    </r>
  </si>
  <si>
    <t xml:space="preserve">vache</t>
  </si>
  <si>
    <t xml:space="preserve">L</t>
  </si>
  <si>
    <t xml:space="preserve">g/kg</t>
  </si>
  <si>
    <t xml:space="preserve">chèvre</t>
  </si>
  <si>
    <t xml:space="preserve">brebis</t>
  </si>
  <si>
    <t xml:space="preserve">ACHAT CONCENTRE</t>
  </si>
  <si>
    <t xml:space="preserve">ACHAT FOURRAGES</t>
  </si>
  <si>
    <t xml:space="preserve">Quantitée achetée (t)</t>
  </si>
  <si>
    <t xml:space="preserve">Origine</t>
  </si>
  <si>
    <t xml:space="preserve">Tourteaux de soja (TS)</t>
  </si>
  <si>
    <t xml:space="preserve">Ensilage maïs</t>
  </si>
  <si>
    <t xml:space="preserve">TS 48</t>
  </si>
  <si>
    <t xml:space="preserve">Ensilage herbe</t>
  </si>
  <si>
    <t xml:space="preserve">TS 46</t>
  </si>
  <si>
    <t xml:space="preserve">Foin</t>
  </si>
  <si>
    <t xml:space="preserve">TS 44</t>
  </si>
  <si>
    <t xml:space="preserve">Foin légumineuse</t>
  </si>
  <si>
    <t xml:space="preserve">Tourteau de colza</t>
  </si>
  <si>
    <t xml:space="preserve">Choux fourrager</t>
  </si>
  <si>
    <t xml:space="preserve">Céréales graines</t>
  </si>
  <si>
    <t xml:space="preserve">Sorgho fourrager</t>
  </si>
  <si>
    <t xml:space="preserve">blé tendre</t>
  </si>
  <si>
    <t xml:space="preserve">Colza fourrager</t>
  </si>
  <si>
    <t xml:space="preserve">orge</t>
  </si>
  <si>
    <t xml:space="preserve">Betterave fourragère</t>
  </si>
  <si>
    <t xml:space="preserve">maïs grain</t>
  </si>
  <si>
    <t xml:space="preserve">Pulpes bett. déshy.</t>
  </si>
  <si>
    <t xml:space="preserve">pois ptps</t>
  </si>
  <si>
    <t xml:space="preserve">Mélasse de bett.</t>
  </si>
  <si>
    <t xml:space="preserve">lupin ptps</t>
  </si>
  <si>
    <t xml:space="preserve">Drèches fraîches</t>
  </si>
  <si>
    <t xml:space="preserve">autre.1</t>
  </si>
  <si>
    <t xml:space="preserve">Paille litière</t>
  </si>
  <si>
    <t xml:space="preserve">autre.2</t>
  </si>
  <si>
    <t xml:space="preserve">Paille fourrage</t>
  </si>
  <si>
    <t xml:space="preserve">Pulpe surpressée</t>
  </si>
  <si>
    <t xml:space="preserve">Paille pois</t>
  </si>
  <si>
    <t xml:space="preserve">Concentrés</t>
  </si>
  <si>
    <t xml:space="preserve">Conc. NRJ 12%</t>
  </si>
  <si>
    <t xml:space="preserve">Conc. NRJ 14%</t>
  </si>
  <si>
    <t xml:space="preserve">Conc. Pdt° 18%</t>
  </si>
  <si>
    <t xml:space="preserve">Conc. Pdt° 22%</t>
  </si>
  <si>
    <t xml:space="preserve">Conc. Pdt° 26%</t>
  </si>
  <si>
    <t xml:space="preserve">Conc. Pdt° 30%</t>
  </si>
  <si>
    <t xml:space="preserve">Distinguer les achats locaux</t>
  </si>
  <si>
    <t xml:space="preserve">B9</t>
  </si>
  <si>
    <t xml:space="preserve">Conc. Prot. 36%</t>
  </si>
  <si>
    <t xml:space="preserve">Distinguer les achats effectués à un voisin ou dans le cadre d'un projet territorial collectif</t>
  </si>
  <si>
    <t xml:space="preserve">B2</t>
  </si>
  <si>
    <t xml:space="preserve">Conc. Prot. 40%</t>
  </si>
  <si>
    <t xml:space="preserve">Conc. Prot. 42%</t>
  </si>
  <si>
    <t xml:space="preserve">Conc. Prot. 44%</t>
  </si>
  <si>
    <t xml:space="preserve">Poudre de lait</t>
  </si>
  <si>
    <t xml:space="preserve">Aliment porc sevrage</t>
  </si>
  <si>
    <t xml:space="preserve">Aliment porc charcutier</t>
  </si>
  <si>
    <t xml:space="preserve">Aliment poulet</t>
  </si>
  <si>
    <t xml:space="preserve">Aliment poule pondeuse</t>
  </si>
  <si>
    <t xml:space="preserve">Luzerne déshydratée (LD)</t>
  </si>
  <si>
    <t xml:space="preserve">LD 16%</t>
  </si>
  <si>
    <t xml:space="preserve">LD 18%</t>
  </si>
  <si>
    <t xml:space="preserve">LD 20%</t>
  </si>
  <si>
    <t xml:space="preserve">LD 22%</t>
  </si>
  <si>
    <t xml:space="preserve">CMV</t>
  </si>
  <si>
    <t xml:space="preserve">ALIMENTATION CHEPTEL</t>
  </si>
  <si>
    <t xml:space="preserve">A7</t>
  </si>
  <si>
    <t xml:space="preserve">Quantité de concentré consommée annuellement (t) :</t>
  </si>
  <si>
    <t xml:space="preserve">A15</t>
  </si>
  <si>
    <t xml:space="preserve">Stock de fourrages à la date de mise à l'herbe des animaux (tMS) :</t>
  </si>
  <si>
    <t xml:space="preserve">REPRODUCTION </t>
  </si>
  <si>
    <t xml:space="preserve">A2</t>
  </si>
  <si>
    <t xml:space="preserve">Intégration du critère rusticité dans les choix de reproduction</t>
  </si>
  <si>
    <t xml:space="preserve">oui</t>
  </si>
  <si>
    <t xml:space="preserve">non</t>
  </si>
  <si>
    <t xml:space="preserve">Participation à des programmes d'entretien des ressources génétiques sur des races à petits effectifs :</t>
  </si>
  <si>
    <t xml:space="preserve">sélection participative avec possibilité d'en bénéficier; 
selection massale avec garantie sanitaire en viticulture</t>
  </si>
  <si>
    <t xml:space="preserve">B10</t>
  </si>
  <si>
    <r>
      <rPr>
        <sz val="11"/>
        <rFont val="Calibri"/>
        <family val="2"/>
        <charset val="1"/>
      </rPr>
      <t xml:space="preserve">Présence de races </t>
    </r>
    <r>
      <rPr>
        <b val="true"/>
        <sz val="11"/>
        <color rgb="FF000000"/>
        <rFont val="Calibri"/>
        <family val="2"/>
        <charset val="1"/>
      </rPr>
      <t xml:space="preserve">locales</t>
    </r>
    <r>
      <rPr>
        <sz val="11"/>
        <color rgb="FF000000"/>
        <rFont val="Calibri"/>
        <family val="2"/>
        <charset val="1"/>
      </rPr>
      <t xml:space="preserve"> à faibles effectifs rentrant dans l’acte de production</t>
    </r>
  </si>
  <si>
    <t xml:space="preserve">TRAITEMENTS VETOS </t>
  </si>
  <si>
    <t xml:space="preserve">A19</t>
  </si>
  <si>
    <t xml:space="preserve">Nombre de traitements vétérinaires unitaires totaux (sur un an) : </t>
  </si>
  <si>
    <t xml:space="preserve">Traitements homéopathiques ou par essences naturelles, implantation de plante de parasitaires :</t>
  </si>
  <si>
    <t xml:space="preserve">Utilisation non systématique ou non utilisation de produits rémanents :</t>
  </si>
  <si>
    <t xml:space="preserve">Absence de délais avant retour des animaux dans les parcelles:</t>
  </si>
  <si>
    <t xml:space="preserve">Utilisation d'antibiotique qualifié de critique:</t>
  </si>
  <si>
    <t xml:space="preserve">Alternances des familles chimiques utilisées:</t>
  </si>
  <si>
    <t xml:space="preserve">A14</t>
  </si>
  <si>
    <t xml:space="preserve">Mode de traitement après découverte d'un problème:</t>
  </si>
  <si>
    <t xml:space="preserve">Application systématique</t>
  </si>
  <si>
    <t xml:space="preserve">Traitement cas par cas</t>
  </si>
  <si>
    <t xml:space="preserve">A5</t>
  </si>
  <si>
    <r>
      <rPr>
        <sz val="11"/>
        <color rgb="FF000000"/>
        <rFont val="Calibri"/>
        <family val="2"/>
        <charset val="1"/>
      </rPr>
      <t xml:space="preserve">Nombre d'UGB recevant au moins un insecticide</t>
    </r>
    <r>
      <rPr>
        <sz val="11"/>
        <rFont val="Calibri"/>
        <family val="2"/>
        <charset val="1"/>
      </rPr>
      <t xml:space="preserve"> :</t>
    </r>
  </si>
  <si>
    <t xml:space="preserve">BIEN ETRE DES ANIMAUX D'ELEVAGE (B23)</t>
  </si>
  <si>
    <t xml:space="preserve">Auto-évaluation du socle de base de la condition animale :</t>
  </si>
  <si>
    <t xml:space="preserve">Accès à l’eau propre, alimentation suffisante </t>
  </si>
  <si>
    <t xml:space="preserve">Confort dans les bâtiments d’élevage et au champ (ombres, abris,…)</t>
  </si>
  <si>
    <t xml:space="preserve">Bon état général du troupeau (pas de boiteries généralisées, blessures,….)</t>
  </si>
  <si>
    <t xml:space="preserve">Conditions de transports et abattage repectant la legislation</t>
  </si>
  <si>
    <t xml:space="preserve">Initiatives ou engagements personnels:</t>
  </si>
  <si>
    <t xml:space="preserve">Cahier de charges avec volet BEA (Les 2 Vaches, Monoprix, Cooperl ..)</t>
  </si>
  <si>
    <t xml:space="preserve">Arrêt des interventions non curatives (écornage, caudectomie …)</t>
  </si>
  <si>
    <t xml:space="preserve">Outils de monitoring pour mise bas</t>
  </si>
  <si>
    <t xml:space="preserve">Euthanasie systématique des animaux pathologiquement condamnés</t>
  </si>
  <si>
    <t xml:space="preserve">Vision du métier / relation de l’éleveur à l’animal</t>
  </si>
  <si>
    <t xml:space="preserve">Elevage en plein air permanent avec présence d'abris</t>
  </si>
  <si>
    <t xml:space="preserve">Livraison à des abattoirs certifiés AB ou Label Rouge </t>
  </si>
  <si>
    <t xml:space="preserve">Abattage à la ferme (si la législation le permet)</t>
  </si>
  <si>
    <t xml:space="preserve">Autres initiatives pour le BEA</t>
  </si>
  <si>
    <t xml:space="preserve">La(es)quelle(s)?</t>
  </si>
  <si>
    <t xml:space="preserve">MALUS</t>
  </si>
  <si>
    <t xml:space="preserve">Présence d’atelier de claustration</t>
  </si>
  <si>
    <t xml:space="preserve">Zéro-pâturage</t>
  </si>
  <si>
    <t xml:space="preserve">Muselière pour veau de lait</t>
  </si>
  <si>
    <t xml:space="preserve">Ecornage à l’âge adulte</t>
  </si>
  <si>
    <t xml:space="preserve">III - Gestion des cultures</t>
  </si>
  <si>
    <t xml:space="preserve">INVENTAIRE FOURRAGE</t>
  </si>
  <si>
    <t xml:space="preserve">Variété</t>
  </si>
  <si>
    <t xml:space="preserve">Surface </t>
  </si>
  <si>
    <t xml:space="preserve">Rdmt</t>
  </si>
  <si>
    <t xml:space="preserve">% lég.</t>
  </si>
  <si>
    <t xml:space="preserve">Fourrage vendu</t>
  </si>
  <si>
    <t xml:space="preserve"> (pures, population, mélange)</t>
  </si>
  <si>
    <t xml:space="preserve">en ha</t>
  </si>
  <si>
    <t xml:space="preserve">en t MS/ha</t>
  </si>
  <si>
    <t xml:space="preserve">en % légumineuse</t>
  </si>
  <si>
    <t xml:space="preserve">Quantité en tMS</t>
  </si>
  <si>
    <t xml:space="preserve">Destination</t>
  </si>
  <si>
    <t xml:space="preserve">FOURRAGES annuels </t>
  </si>
  <si>
    <t xml:space="preserve">Maïs ensilage</t>
  </si>
  <si>
    <t xml:space="preserve">Chou fourrager</t>
  </si>
  <si>
    <t xml:space="preserve">FG annuel en dérobé 1</t>
  </si>
  <si>
    <t xml:space="preserve">FG annuel en dérobé 2</t>
  </si>
  <si>
    <t xml:space="preserve">Meteil 1</t>
  </si>
  <si>
    <t xml:space="preserve">Méteil 2</t>
  </si>
  <si>
    <t xml:space="preserve">Paille non traitée NH3</t>
  </si>
  <si>
    <t xml:space="preserve">Paille traitée NH3</t>
  </si>
  <si>
    <t xml:space="preserve">FOURRAGES pluriannuels (&gt; 2 ans)</t>
  </si>
  <si>
    <t xml:space="preserve">PT 1</t>
  </si>
  <si>
    <t xml:space="preserve">PT 2</t>
  </si>
  <si>
    <t xml:space="preserve">PT 3</t>
  </si>
  <si>
    <t xml:space="preserve">PT 4</t>
  </si>
  <si>
    <t xml:space="preserve">PT 5</t>
  </si>
  <si>
    <t xml:space="preserve">PT 6</t>
  </si>
  <si>
    <t xml:space="preserve">LEGUMINEUSES</t>
  </si>
  <si>
    <t xml:space="preserve">Luzerne seule</t>
  </si>
  <si>
    <t xml:space="preserve">Trèfles seuls</t>
  </si>
  <si>
    <t xml:space="preserve">Autres légum. seules</t>
  </si>
  <si>
    <t xml:space="preserve">Luzerne + graminées</t>
  </si>
  <si>
    <t xml:space="preserve">Trèfles + graminées</t>
  </si>
  <si>
    <t xml:space="preserve">FOURRAGES pérennes (&gt; 5 ans)</t>
  </si>
  <si>
    <t xml:space="preserve">PP 1</t>
  </si>
  <si>
    <t xml:space="preserve">PP 2</t>
  </si>
  <si>
    <t xml:space="preserve">PP 3</t>
  </si>
  <si>
    <t xml:space="preserve">PP 4</t>
  </si>
  <si>
    <t xml:space="preserve">INVENTAIRE CULTURES NON FOURRAGERES</t>
  </si>
  <si>
    <t xml:space="preserve">Achat / Vente</t>
  </si>
  <si>
    <t xml:space="preserve"> (pures, pop., mélange)</t>
  </si>
  <si>
    <t xml:space="preserve">en qx/ha 
ou t/ha</t>
  </si>
  <si>
    <t xml:space="preserve">Quantité 
en t brute</t>
  </si>
  <si>
    <t xml:space="preserve">Origine / Destination</t>
  </si>
  <si>
    <t xml:space="preserve">Cultures annuelles : </t>
  </si>
  <si>
    <t xml:space="preserve">Avoine grain</t>
  </si>
  <si>
    <t xml:space="preserve">Blé tendre</t>
  </si>
  <si>
    <t xml:space="preserve">Blé dur</t>
  </si>
  <si>
    <t xml:space="preserve">Colza ptps</t>
  </si>
  <si>
    <t xml:space="preserve">Maïs grain</t>
  </si>
  <si>
    <t xml:space="preserve">Orge grain</t>
  </si>
  <si>
    <t xml:space="preserve">Seigle grain</t>
  </si>
  <si>
    <t xml:space="preserve">Sorgho grain</t>
  </si>
  <si>
    <t xml:space="preserve">Tournesol grain</t>
  </si>
  <si>
    <t xml:space="preserve">Triticale</t>
  </si>
  <si>
    <t xml:space="preserve">Betteraves industrielles</t>
  </si>
  <si>
    <t xml:space="preserve">Association 1</t>
  </si>
  <si>
    <t xml:space="preserve">Association 2</t>
  </si>
  <si>
    <t xml:space="preserve">Légumineuse/ Protéagineuse:</t>
  </si>
  <si>
    <t xml:space="preserve">Féverole d'hiver</t>
  </si>
  <si>
    <t xml:space="preserve">Féverole de printemps</t>
  </si>
  <si>
    <t xml:space="preserve">Lupin de printemps</t>
  </si>
  <si>
    <t xml:space="preserve">Pois printemps</t>
  </si>
  <si>
    <t xml:space="preserve">Soja (grain)</t>
  </si>
  <si>
    <t xml:space="preserve">Maraîchage pleine terre: </t>
  </si>
  <si>
    <t xml:space="preserve">noter détail des vente par prod.</t>
  </si>
  <si>
    <t xml:space="preserve">Arboriculture : </t>
  </si>
  <si>
    <t xml:space="preserve">Pommes</t>
  </si>
  <si>
    <t xml:space="preserve">Poires </t>
  </si>
  <si>
    <t xml:space="preserve">Prunes </t>
  </si>
  <si>
    <t xml:space="preserve">Viticulture : </t>
  </si>
  <si>
    <t xml:space="preserve">Raisin de table</t>
  </si>
  <si>
    <t xml:space="preserve">Raisin jus ou vin</t>
  </si>
  <si>
    <t xml:space="preserve">Jachères</t>
  </si>
  <si>
    <t xml:space="preserve">Présence de parcelle en agroforesterie</t>
  </si>
  <si>
    <t xml:space="preserve">détail</t>
  </si>
  <si>
    <t xml:space="preserve">ROTATIONS</t>
  </si>
  <si>
    <r>
      <rPr>
        <b val="true"/>
        <sz val="10"/>
        <rFont val="Calibri"/>
        <family val="2"/>
        <charset val="1"/>
      </rPr>
      <t xml:space="preserve">Surface 
</t>
    </r>
    <r>
      <rPr>
        <b val="true"/>
        <sz val="8"/>
        <rFont val="Calibri"/>
        <family val="2"/>
        <charset val="1"/>
      </rPr>
      <t xml:space="preserve">(en ha)</t>
    </r>
  </si>
  <si>
    <r>
      <rPr>
        <b val="true"/>
        <sz val="10"/>
        <rFont val="Calibri"/>
        <family val="2"/>
        <charset val="1"/>
      </rPr>
      <t xml:space="preserve">Durée de la rotation </t>
    </r>
    <r>
      <rPr>
        <b val="true"/>
        <sz val="8"/>
        <rFont val="Calibri"/>
        <family val="2"/>
        <charset val="1"/>
      </rPr>
      <t xml:space="preserve">(an)</t>
    </r>
  </si>
  <si>
    <t xml:space="preserve">Cultures de la succession</t>
  </si>
  <si>
    <t xml:space="preserve">Rotation 1</t>
  </si>
  <si>
    <t xml:space="preserve">Rotation 2</t>
  </si>
  <si>
    <t xml:space="preserve">Rotation 3</t>
  </si>
  <si>
    <t xml:space="preserve">Rotation 4</t>
  </si>
  <si>
    <t xml:space="preserve">ENGRAIS MINERAUX</t>
  </si>
  <si>
    <t xml:space="preserve">Quantités utilisées</t>
  </si>
  <si>
    <t xml:space="preserve">tonnes</t>
  </si>
  <si>
    <t xml:space="preserve">K Chlorure de potasse</t>
  </si>
  <si>
    <t xml:space="preserve">K Patenkali</t>
  </si>
  <si>
    <t xml:space="preserve">K Sulfate de potasse</t>
  </si>
  <si>
    <t xml:space="preserve">N Ammonitrate</t>
  </si>
  <si>
    <t xml:space="preserve">N Cyanamide de chaux</t>
  </si>
  <si>
    <t xml:space="preserve">N Nitrate de chaux</t>
  </si>
  <si>
    <t xml:space="preserve">N Nitrate de chaux et magnésie</t>
  </si>
  <si>
    <t xml:space="preserve">N Nitrate de soude du Chili</t>
  </si>
  <si>
    <t xml:space="preserve">N Orgabio</t>
  </si>
  <si>
    <t xml:space="preserve">N Sulfate d'ammoniaque</t>
  </si>
  <si>
    <t xml:space="preserve">N Sulfonitrate</t>
  </si>
  <si>
    <t xml:space="preserve">N Urée - Perlurée</t>
  </si>
  <si>
    <t xml:space="preserve">NK Nitrate de Potasse</t>
  </si>
  <si>
    <t xml:space="preserve">NP Phosphate d'ammoniaque 18-46</t>
  </si>
  <si>
    <t xml:space="preserve">NPK Agrobio +</t>
  </si>
  <si>
    <t xml:space="preserve">NPK Azofort</t>
  </si>
  <si>
    <t xml:space="preserve">NPK Composts urbains</t>
  </si>
  <si>
    <t xml:space="preserve">NPK Engrais Ternaire 14-8-20</t>
  </si>
  <si>
    <t xml:space="preserve">NPK Guanofort</t>
  </si>
  <si>
    <t xml:space="preserve">P Scories Thomas</t>
  </si>
  <si>
    <t xml:space="preserve">P Super 18</t>
  </si>
  <si>
    <t xml:space="preserve">P Super 45</t>
  </si>
  <si>
    <t xml:space="preserve">N</t>
  </si>
  <si>
    <t xml:space="preserve">P2O5</t>
  </si>
  <si>
    <t xml:space="preserve">K2O</t>
  </si>
  <si>
    <t xml:space="preserve">PK Engrais Binaire </t>
  </si>
  <si>
    <t xml:space="preserve">kg /1000 kg d'engrais</t>
  </si>
  <si>
    <t xml:space="preserve">Tourbes</t>
  </si>
  <si>
    <t xml:space="preserve">ENGRAIS ORGANIQUES</t>
  </si>
  <si>
    <t xml:space="preserve">Quantité produite</t>
  </si>
  <si>
    <t xml:space="preserve">Quantité vendue</t>
  </si>
  <si>
    <t xml:space="preserve">Quantité importée</t>
  </si>
  <si>
    <t xml:space="preserve">Type d'engrais</t>
  </si>
  <si>
    <r>
      <rPr>
        <i val="true"/>
        <sz val="9"/>
        <rFont val="Calibri"/>
        <family val="2"/>
        <charset val="1"/>
      </rPr>
      <t xml:space="preserve">t ou m</t>
    </r>
    <r>
      <rPr>
        <vertAlign val="superscript"/>
        <sz val="11"/>
        <rFont val="Calibri"/>
        <family val="2"/>
        <charset val="1"/>
      </rPr>
      <t xml:space="preserve">3</t>
    </r>
  </si>
  <si>
    <t xml:space="preserve">Bovin : Fumier très compact, litière accumulée</t>
  </si>
  <si>
    <t xml:space="preserve">Bovin : Fumier compact</t>
  </si>
  <si>
    <t xml:space="preserve">Bovin : Fumier mou logette</t>
  </si>
  <si>
    <t xml:space="preserve">Lisier bovins à l'engrais</t>
  </si>
  <si>
    <t xml:space="preserve">Lisier autres bovins</t>
  </si>
  <si>
    <t xml:space="preserve">Lisier bovin dilué</t>
  </si>
  <si>
    <t xml:space="preserve">Lisier bovin très dilué</t>
  </si>
  <si>
    <t xml:space="preserve">Purin bovin pur</t>
  </si>
  <si>
    <t xml:space="preserve">Lixiviat bovin (purins dilués de fumières)</t>
  </si>
  <si>
    <t xml:space="preserve">Lisier poules pondeuses</t>
  </si>
  <si>
    <t xml:space="preserve">Fientes poules pondeuses</t>
  </si>
  <si>
    <t xml:space="preserve">Fientes préséchées sur tapis</t>
  </si>
  <si>
    <t xml:space="preserve">Fientes séchées sous hangar</t>
  </si>
  <si>
    <t xml:space="preserve">Lisier de porc à l'engrais (caillebotis)</t>
  </si>
  <si>
    <t xml:space="preserve">Lisier de porcs mixte (fosse extérieure)</t>
  </si>
  <si>
    <t xml:space="preserve">Porcs : Fumier de litière accumulée</t>
  </si>
  <si>
    <t xml:space="preserve">Porcs : Fumier de litière raclée</t>
  </si>
  <si>
    <t xml:space="preserve">Algues de mer</t>
  </si>
  <si>
    <t xml:space="preserve">Boue Station épuration</t>
  </si>
  <si>
    <t xml:space="preserve">Compost  méthode Guernevez</t>
  </si>
  <si>
    <t xml:space="preserve">Compost à base de marc de raisin</t>
  </si>
  <si>
    <t xml:space="preserve">Compost de déchets verts</t>
  </si>
  <si>
    <t xml:space="preserve">Compost de déchets verts + fientes de volaille</t>
  </si>
  <si>
    <t xml:space="preserve">Compost de déchets verts + fumier de volaille</t>
  </si>
  <si>
    <t xml:space="preserve">Compost de déchets verts avec lisier de porc</t>
  </si>
  <si>
    <t xml:space="preserve">Compost fumier bovins &lt; 6 mois</t>
  </si>
  <si>
    <t xml:space="preserve">Compost fumier porc litière accumulée</t>
  </si>
  <si>
    <t xml:space="preserve">Compost fumier porc litière raclée</t>
  </si>
  <si>
    <t xml:space="preserve">Compost fumier volailles</t>
  </si>
  <si>
    <t xml:space="preserve">Compost fumiers + tourt. (type Végor, Végéh)</t>
  </si>
  <si>
    <t xml:space="preserve">Marc de Raisin</t>
  </si>
  <si>
    <t xml:space="preserve">Si épandage de boues de stations d'épuration, prise en compte de la qualité des boues ?</t>
  </si>
  <si>
    <t xml:space="preserve">Part des effluents venant du territoire (en tonnes) :</t>
  </si>
  <si>
    <t xml:space="preserve">Echanges paille-fumier ou équivalent :</t>
  </si>
  <si>
    <t xml:space="preserve">DIVERSITE DES CULTURES</t>
  </si>
  <si>
    <t xml:space="preserve">Participation à des programmes de création/sélection variétale, entretien des ressources génétiques sur des espèces anciennes :</t>
  </si>
  <si>
    <t xml:space="preserve">sélection participative avec possibilité d'en bénéficier</t>
  </si>
  <si>
    <t xml:space="preserve">Prise en compte de critères de tolérance/résistance à des stress biotiques et abiotiques dans les choix variétaux ?</t>
  </si>
  <si>
    <t xml:space="preserve">y compris pour les port-greffes</t>
  </si>
  <si>
    <t xml:space="preserve">Grandes cultures / Arbo</t>
  </si>
  <si>
    <t xml:space="preserve">Nom variétés de la culture principale</t>
  </si>
  <si>
    <t xml:space="preserve">Surface (ha)</t>
  </si>
  <si>
    <t xml:space="preserve"> Arboriculture</t>
  </si>
  <si>
    <t xml:space="preserve">A3</t>
  </si>
  <si>
    <t xml:space="preserve">Durée de l'interculture en arboriculture :</t>
  </si>
  <si>
    <t xml:space="preserve">Qualité de l'interculture :</t>
  </si>
  <si>
    <t xml:space="preserve">Sol nu ou jachère</t>
  </si>
  <si>
    <t xml:space="preserve">Couvert enrichissant le sol en MO</t>
  </si>
  <si>
    <t xml:space="preserve">Couvert à effet nematicide</t>
  </si>
  <si>
    <t xml:space="preserve">Nombre de cépages sur l'exploitation :</t>
  </si>
  <si>
    <t xml:space="preserve">Pratique de l'encépagement polyclonale :</t>
  </si>
  <si>
    <t xml:space="preserve">Présence de cépage très peu représenté dans la zone d'appellation :</t>
  </si>
  <si>
    <t xml:space="preserve">Durée de l'interculture en viticulture</t>
  </si>
  <si>
    <t xml:space="preserve">A1</t>
  </si>
  <si>
    <t xml:space="preserve">Nombre de familles botaniques cultivées sur l'exploitation : </t>
  </si>
  <si>
    <t xml:space="preserve">Est-ce que la diversification des familles botaniques est présente toute l'année ? </t>
  </si>
  <si>
    <t xml:space="preserve">L'explotation produit-elle des légumes des trois catégories : tige/feuille; racine/tubercule/bulbe; fruits ? </t>
  </si>
  <si>
    <t xml:space="preserve">Nbre d'espèces botaniques cultivées en 3 variétés ou + :</t>
  </si>
  <si>
    <t xml:space="preserve">Présence de variété population dans la production :</t>
  </si>
  <si>
    <t xml:space="preserve">Nombre de familles botaniques différentes dans le cycle de rotation le plus important en surface :  </t>
  </si>
  <si>
    <t xml:space="preserve">Présence dans le cycle de rotation de la même famille botanique deux fois de suite :  </t>
  </si>
  <si>
    <t xml:space="preserve">Intégration de couverts intermédiaires à objectif agronomique dans les rotations :  </t>
  </si>
  <si>
    <t xml:space="preserve">A4</t>
  </si>
  <si>
    <t xml:space="preserve">Mise en place de cultures associés et/ou semis sous couvert sur une même planche </t>
  </si>
  <si>
    <t xml:space="preserve">SEMENCE ET GENETIQUE</t>
  </si>
  <si>
    <t xml:space="preserve">A6</t>
  </si>
  <si>
    <t xml:space="preserve">Surfaces cultivées en semences de ferme et/ou en « plants et greffons de ferme » (en %) :</t>
  </si>
  <si>
    <t xml:space="preserve">Démarche de sélection variétale, reproduction et/ou échanges de semences :</t>
  </si>
  <si>
    <t xml:space="preserve">Lesquelles: </t>
  </si>
  <si>
    <r>
      <rPr>
        <sz val="11"/>
        <color rgb="FF000000"/>
        <rFont val="Calibri"/>
        <family val="2"/>
        <charset val="1"/>
      </rPr>
      <t xml:space="preserve">Présence de variétés/cépages </t>
    </r>
    <r>
      <rPr>
        <b val="true"/>
        <sz val="11"/>
        <color rgb="FF000000"/>
        <rFont val="Calibri"/>
        <family val="2"/>
        <charset val="1"/>
      </rPr>
      <t xml:space="preserve">locaux</t>
    </r>
    <r>
      <rPr>
        <sz val="11"/>
        <color rgb="FF000000"/>
        <rFont val="Calibri"/>
        <family val="2"/>
        <charset val="1"/>
      </rPr>
      <t xml:space="preserve"> à faibles effectifs rentrant dans l’acte de production</t>
    </r>
  </si>
  <si>
    <t xml:space="preserve">GESTION PHYTO.</t>
  </si>
  <si>
    <t xml:space="preserve">Stratégie d'alternance des matières actives et lutte contre les résistance :</t>
  </si>
  <si>
    <t xml:space="preserve">Totale et systématique</t>
  </si>
  <si>
    <t xml:space="preserve">Partielle ou occasionnelle</t>
  </si>
  <si>
    <t xml:space="preserve">Aucune alternance</t>
  </si>
  <si>
    <t xml:space="preserve">A17</t>
  </si>
  <si>
    <t xml:space="preserve">Utilisation de matériel anti-dérive :</t>
  </si>
  <si>
    <t xml:space="preserve">Utilisation de produits de type CMR ou perturbateurs endocriniens (cancerogène, mutagène, …):</t>
  </si>
  <si>
    <t xml:space="preserve">Mise en place de pratiques alternatives pour gérer les adventices, pathogènes et/ou ravageurs :</t>
  </si>
  <si>
    <t xml:space="preserve">dans une stratégie d'action sur le stock initiale :</t>
  </si>
  <si>
    <t xml:space="preserve">dans une stratégie d'évitement :</t>
  </si>
  <si>
    <t xml:space="preserve">dans une stratégie d'atténuation en végétation :</t>
  </si>
  <si>
    <t xml:space="preserve">dans une stratégie de solution mécaniques et biologiques :</t>
  </si>
  <si>
    <t xml:space="preserve">SAU recevant au moins un insecticide  y compris  traitement de semences, hors produit de biocontrôle (ha) :</t>
  </si>
  <si>
    <t xml:space="preserve">Inventaire traitements </t>
  </si>
  <si>
    <t xml:space="preserve">Culture</t>
  </si>
  <si>
    <t xml:space="preserve">Nom produit</t>
  </si>
  <si>
    <t xml:space="preserve">Poste</t>
  </si>
  <si>
    <t xml:space="preserve">dose utilisée 
à l'ha</t>
  </si>
  <si>
    <t xml:space="preserve">dose homologuée</t>
  </si>
  <si>
    <t xml:space="preserve">surface traitée</t>
  </si>
  <si>
    <t xml:space="preserve">surface parcelle</t>
  </si>
  <si>
    <t xml:space="preserve">H: Herbicide
F: Fongicide
I: Insecticide</t>
  </si>
  <si>
    <t xml:space="preserve">IV - Gestion ressources 
(Eau, Air, Sol, Biodiversité, Energier …)</t>
  </si>
  <si>
    <t xml:space="preserve">GESTION DU SOL</t>
  </si>
  <si>
    <t xml:space="preserve">Legumineuse et N</t>
  </si>
  <si>
    <t xml:space="preserve">A8</t>
  </si>
  <si>
    <t xml:space="preserve">Surface de cultures intermédiaires en légumineuses :</t>
  </si>
  <si>
    <t xml:space="preserve">Surface de cultures pérennes enherbées avec des légumineuses :</t>
  </si>
  <si>
    <t xml:space="preserve">Surface en agroforesterie avec au moins 50% d'essences de légumineuses :</t>
  </si>
  <si>
    <t xml:space="preserve">Matière Organique</t>
  </si>
  <si>
    <t xml:space="preserve">A13</t>
  </si>
  <si>
    <t xml:space="preserve">Surface où sont mises en place des actions de gestion spécifique de la MO :</t>
  </si>
  <si>
    <t xml:space="preserve">lesquels:</t>
  </si>
  <si>
    <t xml:space="preserve">Brulage des pailles :</t>
  </si>
  <si>
    <t xml:space="preserve">Contamination par des métaux lourds :</t>
  </si>
  <si>
    <t xml:space="preserve">Cuivre en fongicide, apport de lisier de porc (Cd, Zn) ou boue de STEP, …</t>
  </si>
  <si>
    <t xml:space="preserve">Vie biologique des sols</t>
  </si>
  <si>
    <t xml:space="preserve">Couverture permanente du sol (au moins 3 ans) (ha)</t>
  </si>
  <si>
    <t xml:space="preserve">Surface non travaillée (semi direct) (ha)</t>
  </si>
  <si>
    <t xml:space="preserve">Surface ne recevant PAS de produits phytosanitaires (ha):</t>
  </si>
  <si>
    <t xml:space="preserve">Recours à la désinfection vapeur des sols :</t>
  </si>
  <si>
    <t xml:space="preserve">Erosion</t>
  </si>
  <si>
    <t xml:space="preserve">Mise en place de mesure spécifique pour contrer l'érosion :</t>
  </si>
  <si>
    <t xml:space="preserve">QUALITE DE L'AIR</t>
  </si>
  <si>
    <t xml:space="preserve">Nombre de passages d'engins émetteurs de particules et de gaz précurseurs sur la culture principale :</t>
  </si>
  <si>
    <t xml:space="preserve">,</t>
  </si>
  <si>
    <t xml:space="preserve">Travail du sol, récolte de tubercules, moissons, enfouissement de résidus, épandage d'engrais uréique, de lisier, d'engrais uréique, …</t>
  </si>
  <si>
    <t xml:space="preserve">Nombres de pratiques de réduction des émissions de particules et de gaz précurseurs :</t>
  </si>
  <si>
    <t xml:space="preserve">Exemples de pratiques: couverture des fosses, filtration de l’air, lavage de l'air, pendillards, injection, enfouissement, séchage des fientes, activateur de litière, haie brise vent, limitation/mutualisation des transports, matériel de chauffage et de réfrégiration économe, méthanisation avec récupération des gaz fermentiscibles…</t>
  </si>
  <si>
    <t xml:space="preserve">ENERGIE ET GES</t>
  </si>
  <si>
    <t xml:space="preserve">Utilisation d'énergie produite sur l'exploitation ou valorisation directe d'énergie renouvelable :</t>
  </si>
  <si>
    <t xml:space="preserve">détails:</t>
  </si>
  <si>
    <t xml:space="preserve">A11</t>
  </si>
  <si>
    <t xml:space="preserve">Consommation en énergie</t>
  </si>
  <si>
    <t xml:space="preserve">Unité d'entrée</t>
  </si>
  <si>
    <t xml:space="preserve">Quantité consommée</t>
  </si>
  <si>
    <t xml:space="preserve">électricité de l'exploitation</t>
  </si>
  <si>
    <t xml:space="preserve">kWh</t>
  </si>
  <si>
    <t xml:space="preserve">fioul, essence, gazoil</t>
  </si>
  <si>
    <t xml:space="preserve">y compris par les éventuels prestataires de service sur l'exploitation</t>
  </si>
  <si>
    <t xml:space="preserve">biocarburburant</t>
  </si>
  <si>
    <t xml:space="preserve">gaz naturel, propane/butane</t>
  </si>
  <si>
    <t xml:space="preserve">kg</t>
  </si>
  <si>
    <t xml:space="preserve">biogaz  (65% méthane)</t>
  </si>
  <si>
    <t xml:space="preserve">bois</t>
  </si>
  <si>
    <t xml:space="preserve">kg MS</t>
  </si>
  <si>
    <t xml:space="preserve">Miscanthus</t>
  </si>
  <si>
    <t xml:space="preserve">charbon</t>
  </si>
  <si>
    <t xml:space="preserve">lubrifiant</t>
  </si>
  <si>
    <t xml:space="preserve">pailles</t>
  </si>
  <si>
    <t xml:space="preserve">A18</t>
  </si>
  <si>
    <t xml:space="preserve">Nombre d'arbre implanté en agroforesterie</t>
  </si>
  <si>
    <t xml:space="preserve">Production d’énergie sur l’exploitation à partir de ressources locales (méthanisation, chaudière bois, …)</t>
  </si>
  <si>
    <t xml:space="preserve"> (autre qu'agro-carburants de 1ère génération et fermes solaires avec panneaux au sol) </t>
  </si>
  <si>
    <t xml:space="preserve">Utilisation d’énergie produite sur le territoire locale :</t>
  </si>
  <si>
    <t xml:space="preserve">EAU</t>
  </si>
  <si>
    <t xml:space="preserve">Exploitation prélevant de l'eau</t>
  </si>
  <si>
    <t xml:space="preserve">A9</t>
  </si>
  <si>
    <t xml:space="preserve">Exploitation implantée dans une zone de conflit sur l'eau</t>
  </si>
  <si>
    <t xml:space="preserve">Origine du prélèvement</t>
  </si>
  <si>
    <t xml:space="preserve">Eaux souterraines</t>
  </si>
  <si>
    <t xml:space="preserve">Eaux superficielles</t>
  </si>
  <si>
    <t xml:space="preserve">Retenues collinaires</t>
  </si>
  <si>
    <t xml:space="preserve">Quantité totale d'eau prélevée annuellement</t>
  </si>
  <si>
    <r>
      <rPr>
        <sz val="11"/>
        <rFont val="Calibri"/>
        <family val="2"/>
        <charset val="1"/>
      </rPr>
      <t xml:space="preserve">m</t>
    </r>
    <r>
      <rPr>
        <vertAlign val="superscript"/>
        <sz val="11"/>
        <rFont val="Calibri"/>
        <family val="2"/>
        <charset val="1"/>
      </rPr>
      <t xml:space="preserve">3</t>
    </r>
  </si>
  <si>
    <t xml:space="preserve">A12</t>
  </si>
  <si>
    <t xml:space="preserve">Présence de sous-compteurs ou de vannes d'arrêt sur les différents réseaux :</t>
  </si>
  <si>
    <t xml:space="preserve">Abreuvement en elevage</t>
  </si>
  <si>
    <t xml:space="preserve">Exploitation en système herbagé avec pâturage dominant</t>
  </si>
  <si>
    <t xml:space="preserve">Utilisation de technique ou de matériel d'abreuvement économe en eau</t>
  </si>
  <si>
    <t xml:space="preserve">Exploitation irrigante</t>
  </si>
  <si>
    <t xml:space="preserve">Réutilisation d’eau de station ou de process agro-alimentaire pour irrigation :</t>
  </si>
  <si>
    <t xml:space="preserve">Type de culture irrigué</t>
  </si>
  <si>
    <t xml:space="preserve">Maraichage sous serres - Cultures florales sous serres - Arboriculture</t>
  </si>
  <si>
    <t xml:space="preserve">Systèmes en grandes cultures avec cultures irriguées dominantes de maïs, soja, pomme de terre ou légumes plein champ</t>
  </si>
  <si>
    <t xml:space="preserve">Autres cultures irriguées</t>
  </si>
  <si>
    <t xml:space="preserve">Aucune culture irriguée</t>
  </si>
  <si>
    <t xml:space="preserve">Mise en place de stratégies d'irrigation économes :</t>
  </si>
  <si>
    <t xml:space="preserve">Irrigation à l’ETM, variété précoce, date de semis précoce, réduction de la densité, paillage, BRF…</t>
  </si>
  <si>
    <r>
      <rPr>
        <sz val="11"/>
        <color rgb="FF000000"/>
        <rFont val="Calibri"/>
        <family val="2"/>
        <charset val="1"/>
      </rPr>
      <t xml:space="preserve">Utilisation de technique ou de matériel d'irrigation économe en eau</t>
    </r>
    <r>
      <rPr>
        <i val="true"/>
        <sz val="8"/>
        <color rgb="FF000000"/>
        <rFont val="Calibri"/>
        <family val="2"/>
        <charset val="1"/>
      </rPr>
      <t xml:space="preserve"> 
(micro irrigation, goutte à goute, pivot ou rampe frontale)</t>
    </r>
  </si>
  <si>
    <t xml:space="preserve">Autres usages</t>
  </si>
  <si>
    <t xml:space="preserve">Utilisation de technique ou de matériel de lavage des batiments et du matériel économe en eau</t>
  </si>
  <si>
    <t xml:space="preserve">Utilisation de technique ou de matériel de lavage des prodiuits économe en eau</t>
  </si>
  <si>
    <t xml:space="preserve">Récupération significative et réutilisation des eaux de pluie, eaux de drainage, eaux de lavage pour les besoins de l'exploitation</t>
  </si>
  <si>
    <t xml:space="preserve">Qualité de l'eau</t>
  </si>
  <si>
    <t xml:space="preserve">A16</t>
  </si>
  <si>
    <t xml:space="preserve">Fertilisation minérale ou apport de lisier entre septembre et novembre :</t>
  </si>
  <si>
    <t xml:space="preserve">Mise en place d'actions pour limiter les transferts lors des traitements</t>
  </si>
  <si>
    <t xml:space="preserve">Enherbement des cultures pérennes, dispositif de remédiation (bassin "de décantation" avant rejet), protection par enherbement des zones de transfert rapide (au-delà des obligations BCAE), semis sous couvert permanent sans destruction chimique</t>
  </si>
  <si>
    <t xml:space="preserve">Surface en culture à forte capacité d'absorption d'azote pendant le drainage à l'automne (ha)</t>
  </si>
  <si>
    <t xml:space="preserve">Comprend:
les CIPAN implantés au plus 3 semaines après les récoltes d'été (au 15 septembre max), durant au moins 3 mois ;
les cultures de vente pièges à nitrates (notamment les crucifères et le colza, mais aussi les choux, poireaux, épinards, betteraves, céleris, salades d'hivers) ;
les PT de plus de 1 an qui ne seront pas retournées dans l'année ;
les PP et les surfaces enherbées en culture pérenne ;</t>
  </si>
  <si>
    <t xml:space="preserve">GESTION DE LA BIODIVERSITE</t>
  </si>
  <si>
    <t xml:space="preserve">Gestion de l'espace</t>
  </si>
  <si>
    <t xml:space="preserve">linéaire</t>
  </si>
  <si>
    <t xml:space="preserve">surface</t>
  </si>
  <si>
    <t xml:space="preserve">m</t>
  </si>
  <si>
    <t xml:space="preserve">Haies basses</t>
  </si>
  <si>
    <t xml:space="preserve">Agroforesterie intraparcellaire</t>
  </si>
  <si>
    <t xml:space="preserve">Arbres denses, lisière forêt</t>
  </si>
  <si>
    <t xml:space="preserve">Tourbières</t>
  </si>
  <si>
    <t xml:space="preserve">Arbres isolés (nb arbre)</t>
  </si>
  <si>
    <t xml:space="preserve">Prairies permanentes</t>
  </si>
  <si>
    <t xml:space="preserve">Mares, lavognes (m de perimetre)</t>
  </si>
  <si>
    <t xml:space="preserve">Ripisylve</t>
  </si>
  <si>
    <t xml:space="preserve">Bordures et bandes enherbées </t>
  </si>
  <si>
    <t xml:space="preserve">Murets et terrasses</t>
  </si>
  <si>
    <t xml:space="preserve">Enherbement permanent des cultures perennes 
(avec au moins 30% peu fauché)</t>
  </si>
  <si>
    <t xml:space="preserve">Nombre d'unités spatiales supérieures à 12 ha</t>
  </si>
  <si>
    <t xml:space="preserve">Pour arboriculture, viticulture ou maraichage: 
Nombre d'unités spatiales supérieures à  6 ha.</t>
  </si>
  <si>
    <t xml:space="preserve">Implantations de jachères/intercultures mellifères, ou bandes fleuries à destination des insectes pollinisateurs :</t>
  </si>
  <si>
    <t xml:space="preserve">Mode de gestion des zones non-productives :</t>
  </si>
  <si>
    <t xml:space="preserve">sans phyto entretien écologique</t>
  </si>
  <si>
    <t xml:space="preserve">sans phyto entretien intensif</t>
  </si>
  <si>
    <t xml:space="preserve">présence phyto</t>
  </si>
  <si>
    <t xml:space="preserve">aucune zone non productive</t>
  </si>
  <si>
    <t xml:space="preserve">B23 </t>
  </si>
  <si>
    <t xml:space="preserve">Tenir compte de la faune sauvage</t>
  </si>
  <si>
    <t xml:space="preserve">Mise en place/entretien d'habitats pour la faune sauvage</t>
  </si>
  <si>
    <t xml:space="preserve">Présence et entretien de haies, rangées d'arbres ou bosquets</t>
  </si>
  <si>
    <t xml:space="preserve">Bandes enherbées, bord de champs ou enherbement permanent des cultures pérennes avec une gestion favorable à la faune</t>
  </si>
  <si>
    <t xml:space="preserve">Mare et plan d'eau</t>
  </si>
  <si>
    <t xml:space="preserve">Implantation d'intercultures ou de jachères favorables à la faune sauvage</t>
  </si>
  <si>
    <t xml:space="preserve">Maintien d'habitats dans les parcelles 
(retard de la fauche après le 15 juillet, maintien des chaumes d'environ 20 cm et/ou de bandes refuges non-récoltées)</t>
  </si>
  <si>
    <t xml:space="preserve">Libre accès aux étabes et toitures de bâtiments pour la nidification</t>
  </si>
  <si>
    <t xml:space="preserve">Mise en place de nichoir (oiseaux, insectes, chauve-souris, etc….)</t>
  </si>
  <si>
    <t xml:space="preserve">Cohabiter avec la faune sauvage et éviter les accidents</t>
  </si>
  <si>
    <t xml:space="preserve">Largeur de travail réduite et utilisation de barres d'effarouchement (moisson, herse, …)</t>
  </si>
  <si>
    <t xml:space="preserve">Fauche ou récolte à faible vitesse (&lt; 15 km/h), notamment en bords de champs (&lt;10km/h)</t>
  </si>
  <si>
    <t xml:space="preserve">Fauche ou récolte selon un itinéraire centrifuge</t>
  </si>
  <si>
    <t xml:space="preserve">Limitation de l'utilisation d'intrants à partir de mars sur les lisières des parcelles</t>
  </si>
  <si>
    <t xml:space="preserve">Utilisation de repulsifs (non toxiques), d'effaroucheurs sonores ou visuels comme mesure de prévention non-létale</t>
  </si>
  <si>
    <t xml:space="preserve">Chantier de récolte nocturne </t>
  </si>
  <si>
    <t xml:space="preserve">V - Aspects socio-territoriaux</t>
  </si>
  <si>
    <t xml:space="preserve">APPROVISIONNEMENT</t>
  </si>
  <si>
    <t xml:space="preserve">Vous arrive-t-il d’avoir des problèmes d’approvisionnement : qualité, quantité, délais?</t>
  </si>
  <si>
    <t xml:space="preserve">Approvisionnement en semences, phytos, engrais, aliments.
HORS RESSOURSES FOURRAGERES</t>
  </si>
  <si>
    <t xml:space="preserve">Aucun problème</t>
  </si>
  <si>
    <t xml:space="preserve">Je trouve tout ce que je veux, en quantité et livré rapidement</t>
  </si>
  <si>
    <t xml:space="preserve">Problèmes mineurs</t>
  </si>
  <si>
    <t xml:space="preserve">Quelques gammes sont inaccessibles ou limitées. Les délais sont parfois un peu longs.  </t>
  </si>
  <si>
    <t xml:space="preserve">Problèmes majeurs</t>
  </si>
  <si>
    <t xml:space="preserve">Je n’ai pas de choix dans différentes gammes. Au moins un produit manque en quantité. </t>
  </si>
  <si>
    <t xml:space="preserve">Pb de sécurisation</t>
  </si>
  <si>
    <t xml:space="preserve">Au moins un produit essentiel est introuvable. Certaines commandes ne sont pas livrées. </t>
  </si>
  <si>
    <t xml:space="preserve">Vous arrive-t-il d’avoir des problèmes d'accès et de disponibilité des moyens de collecte?</t>
  </si>
  <si>
    <t xml:space="preserve">Diversité des collecte (individuel, collective, privée), pluralité des acteurs, problème de délais de collecte</t>
  </si>
  <si>
    <t xml:space="preserve">Choix entre les options de collectes, acteurs nombreux. Pas problème de délais</t>
  </si>
  <si>
    <t xml:space="preserve">Seuls qqs acteurs de collecte sont disponibles. J’ai déjà eu des problèmes de délais. </t>
  </si>
  <si>
    <t xml:space="preserve">Un seul acteur de collecte est disponible. Il est fréquent qu’il y ait des problèmes de délais </t>
  </si>
  <si>
    <t xml:space="preserve">Une production n’est pas collectée. Le retard m’a déjà fait perdre une partie de ma prod.</t>
  </si>
  <si>
    <t xml:space="preserve">Approvisionnements significatifs en produits locaux (emballages, bouteilles, …)</t>
  </si>
  <si>
    <t xml:space="preserve">MATERIEL EQUIPEMENT ET MUTUALISATION</t>
  </si>
  <si>
    <t xml:space="preserve">Autoconstruction en matière de machinisme ou adaptation de matériel existant :</t>
  </si>
  <si>
    <t xml:space="preserve">Autonomie dans la réparation du matériel agricole (hors entretien courant): </t>
  </si>
  <si>
    <t xml:space="preserve">Utilisation de matériaux (cloture, bâti, construction):</t>
  </si>
  <si>
    <t xml:space="preserve">produits sur l’exploitation ou en groupe </t>
  </si>
  <si>
    <t xml:space="preserve">produits localement</t>
  </si>
  <si>
    <t xml:space="preserve">B13</t>
  </si>
  <si>
    <t xml:space="preserve">Mutualisation des matériels / équipements / bâtiments / services :</t>
  </si>
  <si>
    <t xml:space="preserve">CUMA, copropriété, atelier de transfo ou de vente collectif, …</t>
  </si>
  <si>
    <t xml:space="preserve">B15</t>
  </si>
  <si>
    <t xml:space="preserve">Mutualisation de projets productifs :</t>
  </si>
  <si>
    <t xml:space="preserve">Assolement en commun, projet en commun de diversification, points de vente partagés…</t>
  </si>
  <si>
    <t xml:space="preserve">CHARTE et LABELS</t>
  </si>
  <si>
    <t xml:space="preserve">B3</t>
  </si>
  <si>
    <t xml:space="preserve">Obtention d'un lable de qualité</t>
  </si>
  <si>
    <t xml:space="preserve">Liée au territoire: IGP</t>
  </si>
  <si>
    <t xml:space="preserve">Liée au territoire: AOP ou AOC</t>
  </si>
  <si>
    <t xml:space="preserve">Liée au process (label rouge et autres normes STG) :</t>
  </si>
  <si>
    <t xml:space="preserve">Liée à la nutrition (lait de système herbager, alimentation à base de lin…) :</t>
  </si>
  <si>
    <t xml:space="preserve">Agriculture Biologique (AB) :</t>
  </si>
  <si>
    <t xml:space="preserve">B6</t>
  </si>
  <si>
    <t xml:space="preserve">Contractualisation pour la prévention des risques naturels pour la collectivité :</t>
  </si>
  <si>
    <t xml:space="preserve">Limiter les crues par présence de prairies inondables, limiter les coulées de boue, lutte contre les incendies (DFCI)...</t>
  </si>
  <si>
    <t xml:space="preserve">Adhésion à des chartes environnementales, contractualisation de programmes locaux environnementaux :</t>
  </si>
  <si>
    <t xml:space="preserve">oui, sur moins de 50% de SAU</t>
  </si>
  <si>
    <t xml:space="preserve">oui, sur plus de 50% de SAU</t>
  </si>
  <si>
    <t xml:space="preserve">Part de la SAU sous respect d’un cahier des charges territorialisé, lié ou non à un dédomagement :
-MAET;  -MAEC système;  -Contrat lié au document d'objectif des sites Natura 2000;  -Préservation des captages
-Conventions avec des Parcs Naturels Régionaux, Réserves Naturelles, ou des Conservatoires de Sites
-Tout autre engagement de respect d'un cahier des charges précis dans des objectifs environnementaux et/ou patrimoniaux</t>
  </si>
  <si>
    <t xml:space="preserve">PERTES ET GASPILLAGES</t>
  </si>
  <si>
    <t xml:space="preserve">B4</t>
  </si>
  <si>
    <t xml:space="preserve">Actions pour limiter les pertes et le gaspillage :</t>
  </si>
  <si>
    <t xml:space="preserve">Participation à un programme de prévention, de formation contre gaspillage</t>
  </si>
  <si>
    <t xml:space="preserve">Présence d'une capacité de stockage adaptée et de qualité sur l'exploitation</t>
  </si>
  <si>
    <r>
      <rPr>
        <sz val="10"/>
        <color rgb="FF333333"/>
        <rFont val="Calibri"/>
        <family val="2"/>
        <charset val="1"/>
      </rPr>
      <t xml:space="preserve">Développement d'action sociale pour limiter les pertes de produits restés au champ (toutes formes de glanage associatif ou d’ateliers</t>
    </r>
    <r>
      <rPr>
        <sz val="10"/>
        <color rgb="FF0000FF"/>
        <rFont val="Calibri"/>
        <family val="2"/>
        <charset val="1"/>
      </rPr>
      <t xml:space="preserve"> </t>
    </r>
    <r>
      <rPr>
        <sz val="10"/>
        <color rgb="FF000000"/>
        <rFont val="Calibri"/>
        <family val="2"/>
        <charset val="1"/>
      </rPr>
      <t xml:space="preserve">cueillette à la ferme</t>
    </r>
    <r>
      <rPr>
        <sz val="10"/>
        <color rgb="FF333333"/>
        <rFont val="Calibri"/>
        <family val="2"/>
        <charset val="1"/>
      </rPr>
      <t xml:space="preserve">)</t>
    </r>
  </si>
  <si>
    <t xml:space="preserve">Dons à des associations d’aide alimentaire</t>
  </si>
  <si>
    <t xml:space="preserve">Dons ou trocs/échanges des produits autres qu'aux associations</t>
  </si>
  <si>
    <t xml:space="preserve">Valorisation alimentaire des produits non conformes aux standards des distributeurs ou des transformateurs, ou commercialisation sans marché rémunérateur, ou adhésion à des groupements de producteurs ou de coopératives valorisant ces types de produits </t>
  </si>
  <si>
    <t xml:space="preserve">Transformation et valorisation à destination alimentaire de tout produit qui aurait été écarté, y compris co- et sous-produits (sous toutes leurs formes)</t>
  </si>
  <si>
    <t xml:space="preserve">Autres</t>
  </si>
  <si>
    <t xml:space="preserve">GESTION DES DECHETS</t>
  </si>
  <si>
    <t xml:space="preserve">Présence</t>
  </si>
  <si>
    <t xml:space="preserve">Pratiques</t>
  </si>
  <si>
    <t xml:space="preserve">B12</t>
  </si>
  <si>
    <t xml:space="preserve">Oui / Non</t>
  </si>
  <si>
    <t xml:space="preserve">Tri, recyclage, autre</t>
  </si>
  <si>
    <t xml:space="preserve">Types de déchets</t>
  </si>
  <si>
    <t xml:space="preserve">Déchets dangereux</t>
  </si>
  <si>
    <t xml:space="preserve">Batteries, huiles usagées, déchets amiantés</t>
  </si>
  <si>
    <t xml:space="preserve">Produits phytosanitaires, médicaments et  déchets de soins à risques infectieux DASRI (gants, compresses, seringues…), produits lessiviels et leurs emballages</t>
  </si>
  <si>
    <t xml:space="preserve">Autres (ampoules, tubes néons, ampoules infrarouges, à vapeur de sodium…)</t>
  </si>
  <si>
    <t xml:space="preserve">Déchets volumineux </t>
  </si>
  <si>
    <t xml:space="preserve">Déchets plastiques et pneumatiques</t>
  </si>
  <si>
    <t xml:space="preserve">Pratiques à risques dans la gestion des déchets</t>
  </si>
  <si>
    <t xml:space="preserve">Brûlage, dépôt sauvage, enfouissement, abandon</t>
  </si>
  <si>
    <t xml:space="preserve">Valorisation de boues de station et/ou autres déchets urbains transformés :</t>
  </si>
  <si>
    <t xml:space="preserve">Autres utilisation de sous produit issu de la collectivité</t>
  </si>
  <si>
    <t xml:space="preserve">SERVICES RENDUS AU TERRITOIRE</t>
  </si>
  <si>
    <t xml:space="preserve">B7</t>
  </si>
  <si>
    <t xml:space="preserve">Services marchands (rétribué):</t>
  </si>
  <si>
    <t xml:space="preserve">Agrotourisme :</t>
  </si>
  <si>
    <t xml:space="preserve">Ferme pédagogique :</t>
  </si>
  <si>
    <t xml:space="preserve">Services marchands rendus au territoire :</t>
  </si>
  <si>
    <t xml:space="preserve">B11</t>
  </si>
  <si>
    <t xml:space="preserve">Accessibilité de l'espace</t>
  </si>
  <si>
    <t xml:space="preserve">En zone rurale :</t>
  </si>
  <si>
    <t xml:space="preserve">(libre accès des chemins aux randonnneurs, VTT, chevaux, parapentes,…)</t>
  </si>
  <si>
    <t xml:space="preserve">En zone urbaine : </t>
  </si>
  <si>
    <t xml:space="preserve">(libre accès des chemins privatifs)</t>
  </si>
  <si>
    <t xml:space="preserve">Entretien des chemins de randonnée ou de voirie d'accès : </t>
  </si>
  <si>
    <t xml:space="preserve">PATRIMOINE</t>
  </si>
  <si>
    <r>
      <rPr>
        <b val="true"/>
        <sz val="10"/>
        <color rgb="FF000000"/>
        <rFont val="Calibri"/>
        <family val="2"/>
        <charset val="1"/>
      </rPr>
      <t xml:space="preserve">Qualité du patrimoine bâti</t>
    </r>
    <r>
      <rPr>
        <b val="true"/>
        <sz val="8"/>
        <color rgb="FF000000"/>
        <rFont val="Calibri"/>
        <family val="2"/>
        <charset val="1"/>
      </rPr>
      <t xml:space="preserve"> </t>
    </r>
    <r>
      <rPr>
        <sz val="8"/>
        <color rgb="FF000000"/>
        <rFont val="Calibri"/>
        <family val="2"/>
        <charset val="1"/>
      </rPr>
      <t xml:space="preserve">(y compris habitation si présente sur la ferme): </t>
    </r>
  </si>
  <si>
    <t xml:space="preserve">Entretien ou restauration du bâti ancien :</t>
  </si>
  <si>
    <t xml:space="preserve">Qualité et typicité architecturale et intégration paysagère</t>
  </si>
  <si>
    <t xml:space="preserve">Qualité paysagère :</t>
  </si>
  <si>
    <t xml:space="preserve">Aménagement paysager des surfaces de l’exploitation</t>
  </si>
  <si>
    <t xml:space="preserve">Mise en œuvre d’actions visant à valoriser le paysage</t>
  </si>
  <si>
    <t xml:space="preserve">(concours fermes fleuries, jachères fleuries, engagement chartes paysagères locales)</t>
  </si>
  <si>
    <t xml:space="preserve">Contribution par les pratiques à l’entretien du paysage culturel :</t>
  </si>
  <si>
    <t xml:space="preserve">Bonne qualité des abords du siège d’exploitation :</t>
  </si>
  <si>
    <t xml:space="preserve">Contribution au maintien de savoirs locaux productifs ou culturels reconnus :</t>
  </si>
  <si>
    <t xml:space="preserve">Détail</t>
  </si>
  <si>
    <t xml:space="preserve">B5</t>
  </si>
  <si>
    <t xml:space="preserve">Liens sociaux, hédoniques et culturels à l'alimentation</t>
  </si>
  <si>
    <t xml:space="preserve">Démarches favorisant le lien ou l'entre-aide entre le consommateur et le produceur :</t>
  </si>
  <si>
    <t xml:space="preserve">Ouverture de l'exploitation aux consommateurs pour vente ou visite, contractualisation entre consommateurs et producteur (ex: AMAP), participation à des journées sur la découverte des produits alimentaires, tables d'hôtes, restauration à la ferme, commerce equitable…</t>
  </si>
  <si>
    <t xml:space="preserve">Démarches favorisant l'apprentissage ou la culture autour de l'aliment :</t>
  </si>
  <si>
    <t xml:space="preserve">Ferme pédagogique avec ateliers de transformation et de cuisine sur la ferme, communication par le prodcuteur de recettes de cuisine à partir de ses produits, contribution à des réseaux ou projet alimentaire territoriaux</t>
  </si>
  <si>
    <t xml:space="preserve">Production significative de variétés d'aliments à forte valeur patrimoniale locale ou peu représentées en commercialisation courante :</t>
  </si>
  <si>
    <t xml:space="preserve">CONNAISSANCE ET FORMATION</t>
  </si>
  <si>
    <t xml:space="preserve">Participation à des réseaux de connaissance :</t>
  </si>
  <si>
    <t xml:space="preserve">Travail ou participation à des réseaux d'essai, de connaissance, de gestion, collectifs d'apprentissage ou de conception de pratiques environnementales innovantes        </t>
  </si>
  <si>
    <t xml:space="preserve">Lesquels ?</t>
  </si>
  <si>
    <t xml:space="preserve">B18</t>
  </si>
  <si>
    <t xml:space="preserve">Participation à des formations continues : nombre de jours par an et par UTH</t>
  </si>
  <si>
    <t xml:space="preserve">Accueil de groupes de professionnels ou d'étudiants : nombre de groupes accueillis</t>
  </si>
  <si>
    <t xml:space="preserve">TRAVAIL ET EMPLOI</t>
  </si>
  <si>
    <t xml:space="preserve">Accueil de stagiaire (1 mois minimum) ou apprenti au cours des deux dernières années :</t>
  </si>
  <si>
    <t xml:space="preserve">B14</t>
  </si>
  <si>
    <t xml:space="preserve">Plus de 50% de la main d’œuvre saisonnière réside de façon permanente sur le territoire :</t>
  </si>
  <si>
    <t xml:space="preserve">Territoire = dans un rayon de 80 km</t>
  </si>
  <si>
    <t xml:space="preserve">Recours à la mutualisation du travail :</t>
  </si>
  <si>
    <t xml:space="preserve">Entraide (&gt;10j/an) :</t>
  </si>
  <si>
    <t xml:space="preserve">Banque de travail :</t>
  </si>
  <si>
    <t xml:space="preserve">Appartenance à un groupement d'employeur :</t>
  </si>
  <si>
    <t xml:space="preserve">CUMA service complet (=/ CUMA intégrale) :</t>
  </si>
  <si>
    <t xml:space="preserve">Création d’un emploi sur l’exploitation dans les 5 dernières années : </t>
  </si>
  <si>
    <t xml:space="preserve">Création d’un emploi dans un réseau de proximité (groupement d’employeur, etc.) dans les 5 dernières années : </t>
  </si>
  <si>
    <t xml:space="preserve">Emploi équivalent à 1 UTH annuel</t>
  </si>
  <si>
    <t xml:space="preserve">Qualité au travail</t>
  </si>
  <si>
    <t xml:space="preserve">Qualité au travail des salariés :</t>
  </si>
  <si>
    <t xml:space="preserve">Présence d'un accident du travail ou maladie professionnelle parmi les salariés au cours de l'année précédente :</t>
  </si>
  <si>
    <t xml:space="preserve">Autonomie et responsabilité dans les missions confiées aux salariés :</t>
  </si>
  <si>
    <t xml:space="preserve">Nature des tâches confiées au(x) salarié(s)</t>
  </si>
  <si>
    <t xml:space="preserve">variée</t>
  </si>
  <si>
    <t xml:space="preserve">répétitives</t>
  </si>
  <si>
    <t xml:space="preserve">B16</t>
  </si>
  <si>
    <t xml:space="preserve">Qualité au travail de(s) exploitant(e.s)</t>
  </si>
  <si>
    <t xml:space="preserve">Plaisir et satisfaction au travail de 0 à 4 :</t>
  </si>
  <si>
    <t xml:space="preserve">Pénibilité du travail de 0 (aucune) à -4 (très pénible)</t>
  </si>
  <si>
    <t xml:space="preserve">Nb de semaines par an où l'agriculteur se sent surchargé</t>
  </si>
  <si>
    <t xml:space="preserve">L'exploitant estime-il nécessaire de prendre des congés ?</t>
  </si>
  <si>
    <t xml:space="preserve">L'exploitant prend-t-il des congés?</t>
  </si>
  <si>
    <t xml:space="preserve">ACCUEIL ET SECURITE</t>
  </si>
  <si>
    <t xml:space="preserve">B17</t>
  </si>
  <si>
    <t xml:space="preserve">Auto-évaluation de la qualité d'accueil et d'hébergement de la main-d'œuvre temporaire/stagiaires entre 0 et 2</t>
  </si>
  <si>
    <t xml:space="preserve">Contrôle des installations par un organisme certifié :</t>
  </si>
  <si>
    <t xml:space="preserve">Protection des cardans, des fosses à lisier, éléctricité aux normes…</t>
  </si>
  <si>
    <t xml:space="preserve">Local de stockage des pesticides conforme aux préconisations réglementaires :</t>
  </si>
  <si>
    <t xml:space="preserve">Pratiques exposants les individus aux produits phytosanitaires</t>
  </si>
  <si>
    <t xml:space="preserve">Fumigation, brumisation, traitement manuel, non respect des délais de réentrée à la parcelle</t>
  </si>
  <si>
    <t xml:space="preserve">Aucun produit phytosanitaire utilisé (hors produits de bio-contrôle) :</t>
  </si>
  <si>
    <t xml:space="preserve">IMPLICATON SOCIAL TERRITORIALE ET SOLIDAIRE</t>
  </si>
  <si>
    <t xml:space="preserve">B19</t>
  </si>
  <si>
    <t xml:space="preserve">Implication dans des structures professionnelles agricoles</t>
  </si>
  <si>
    <t xml:space="preserve">Responsabilités dans une de ces structures :</t>
  </si>
  <si>
    <t xml:space="preserve">Implication dans des structures non agricoles (associatives et/ou électives) hors champ professionnel dans le territoire</t>
  </si>
  <si>
    <r>
      <rPr>
        <sz val="11"/>
        <color rgb="FF000000"/>
        <rFont val="Calibri"/>
        <family val="2"/>
        <charset val="1"/>
      </rPr>
      <t xml:space="preserve">Travail</t>
    </r>
    <r>
      <rPr>
        <sz val="11"/>
        <color rgb="FF333333"/>
        <rFont val="Calibri"/>
        <family val="2"/>
        <charset val="1"/>
      </rPr>
      <t xml:space="preserve"> avec des structures relevant du champ de l'économie sociale et solidaire et pratiques d’insertion et/ou d’expérimentation sociale : </t>
    </r>
  </si>
  <si>
    <t xml:space="preserve">Implication de citoyens dans les travaux ou la vie de l'exploitation :</t>
  </si>
  <si>
    <t xml:space="preserve">Si non, raisons? (impossibilité réglementaire, difficultés familiales…)
Si oui, comment?</t>
  </si>
  <si>
    <t xml:space="preserve">Accueil bénévole de public :</t>
  </si>
  <si>
    <t xml:space="preserve">DEMARCHE DE TRANSPARENCE</t>
  </si>
  <si>
    <t xml:space="preserve">B20</t>
  </si>
  <si>
    <t xml:space="preserve">Communication de l'agriculteur sur ses pratiques :</t>
  </si>
  <si>
    <t xml:space="preserve">A partir de démarches certifiées (ou non) individuelles ou collectives</t>
  </si>
  <si>
    <t xml:space="preserve">Lesquelles?</t>
  </si>
  <si>
    <t xml:space="preserve">Adhésion à un système participatif de garantie :</t>
  </si>
  <si>
    <t xml:space="preserve">Ex: Nature et Progrès</t>
  </si>
  <si>
    <t xml:space="preserve">Le(s)quel(s)?</t>
  </si>
  <si>
    <t xml:space="preserve">QUALITE DE VIE ET ISOLEMENT</t>
  </si>
  <si>
    <t xml:space="preserve">B21</t>
  </si>
  <si>
    <t xml:space="preserve">Auto-Estimation de la qualité de vie sur une echelle de 0 à 6 :</t>
  </si>
  <si>
    <t xml:space="preserve">0 = très mauvaise qualité de vie ; 6 = très bonne qualité de vie</t>
  </si>
  <si>
    <t xml:space="preserve">B22</t>
  </si>
  <si>
    <r>
      <rPr>
        <sz val="11"/>
        <color rgb="FF000000"/>
        <rFont val="Calibri"/>
        <family val="2"/>
        <charset val="1"/>
      </rPr>
      <t xml:space="preserve">Auto-estimation de</t>
    </r>
    <r>
      <rPr>
        <b val="true"/>
        <sz val="11"/>
        <color rgb="FFFF8080"/>
        <rFont val="Calibri"/>
        <family val="2"/>
        <charset val="1"/>
      </rPr>
      <t xml:space="preserve"> 0 à 3</t>
    </r>
    <r>
      <rPr>
        <b val="true"/>
        <i val="true"/>
        <sz val="11"/>
        <color rgb="FFFF8080"/>
        <rFont val="Calibri"/>
        <family val="2"/>
        <charset val="1"/>
      </rPr>
      <t xml:space="preserve"> </t>
    </r>
    <r>
      <rPr>
        <b val="true"/>
        <sz val="11"/>
        <color rgb="FF000000"/>
        <rFont val="Calibri"/>
        <family val="2"/>
        <charset val="1"/>
      </rPr>
      <t xml:space="preserve">du</t>
    </r>
    <r>
      <rPr>
        <b val="true"/>
        <i val="true"/>
        <sz val="11"/>
        <color rgb="FF000000"/>
        <rFont val="Calibri"/>
        <family val="2"/>
        <charset val="1"/>
      </rPr>
      <t xml:space="preserve"> </t>
    </r>
    <r>
      <rPr>
        <b val="true"/>
        <sz val="11"/>
        <color rgb="FF000000"/>
        <rFont val="Calibri"/>
        <family val="2"/>
        <charset val="1"/>
      </rPr>
      <t xml:space="preserve">sentiment d'isolement géographique, social, culturel, accès aux services publics :</t>
    </r>
  </si>
  <si>
    <r>
      <rPr>
        <sz val="11"/>
        <color rgb="FF000000"/>
        <rFont val="Calibri"/>
        <family val="2"/>
        <charset val="1"/>
      </rPr>
      <t xml:space="preserve">Auto-estimation de</t>
    </r>
    <r>
      <rPr>
        <b val="true"/>
        <sz val="11"/>
        <color rgb="FFFF8080"/>
        <rFont val="Calibri"/>
        <family val="2"/>
        <charset val="1"/>
      </rPr>
      <t xml:space="preserve"> 0 à 3</t>
    </r>
    <r>
      <rPr>
        <b val="true"/>
        <i val="true"/>
        <sz val="11"/>
        <color rgb="FFFF8080"/>
        <rFont val="Calibri"/>
        <family val="2"/>
        <charset val="1"/>
      </rPr>
      <t xml:space="preserve"> </t>
    </r>
    <r>
      <rPr>
        <b val="true"/>
        <sz val="11"/>
        <color rgb="FF000000"/>
        <rFont val="Calibri"/>
        <family val="2"/>
        <charset val="1"/>
      </rPr>
      <t xml:space="preserve">de la qualité d'accès aux services productifs de l'exploitation :</t>
    </r>
  </si>
  <si>
    <t xml:space="preserve">Ex: voirie, déneigement, électricité, réseau téléphonique, internet…</t>
  </si>
  <si>
    <t xml:space="preserve">VI - Aspects économiques</t>
  </si>
  <si>
    <t xml:space="preserve">COLLECTE DES DONNEE COMPTABLES</t>
  </si>
  <si>
    <t xml:space="preserve">Compte de résultat: Charges</t>
  </si>
  <si>
    <t xml:space="preserve">Variables</t>
  </si>
  <si>
    <t xml:space="preserve">Valeur (en euros)</t>
  </si>
  <si>
    <t xml:space="preserve">N-1</t>
  </si>
  <si>
    <t xml:space="preserve">N-2</t>
  </si>
  <si>
    <t xml:space="preserve">Charges d'approvisionnement</t>
  </si>
  <si>
    <t xml:space="preserve">C10 / C11</t>
  </si>
  <si>
    <t xml:space="preserve">Comprend les semences, engrais, amendements, produits phytosanitaires, produits vétérinaires, aliments achetés et autres fournitures stockées</t>
  </si>
  <si>
    <t xml:space="preserve">Charges de travaux par tiers et services pour les cultures et l'elevage</t>
  </si>
  <si>
    <t xml:space="preserve">C10</t>
  </si>
  <si>
    <t xml:space="preserve">Comprend les charges d'entreprises de travaux agricoles (ETA) ainsi que les frais vétérinaires et d'insémination</t>
  </si>
  <si>
    <t xml:space="preserve">Charges énergétiques et eau</t>
  </si>
  <si>
    <t xml:space="preserve">Comprend les carburants, lubrifiants, combustibles, gaz, électricité ainsi que l'eau du réseau et l'eau d'irrigation</t>
  </si>
  <si>
    <t xml:space="preserve">Charges de matériel et batiment</t>
  </si>
  <si>
    <t xml:space="preserve">Comprend les frais d'entretien des batiments et du matériel (notamment garagiste), les charges de petit matériel ainsi que les locations de matériel et de cheptel.
Attention, ne comprend pas les fermages et autres locations de terres</t>
  </si>
  <si>
    <t xml:space="preserve">Charges d'achat du cheptel</t>
  </si>
  <si>
    <t xml:space="preserve">C11</t>
  </si>
  <si>
    <t xml:space="preserve">Comprend uniquement l'achat d'animaux (non reproducteurs) pour les cycles de production courts
Les locations de cheptels sont a renseigner dans les charges de matériel. Les frais vétérinaires sont à renseigner dans les charges de services pour l'élevage</t>
  </si>
  <si>
    <t xml:space="preserve">Charges de transformation et de commercialisation </t>
  </si>
  <si>
    <t xml:space="preserve">Comprend l'achat de matériel spécifique à la transformation et à la commercialisation</t>
  </si>
  <si>
    <t xml:space="preserve">Charges de transports, de gestion et de communication</t>
  </si>
  <si>
    <t xml:space="preserve">Comprend les frais de transports, les frais de gestions, de comptabilité, les assurances, les redevances de crédit-bail, les frais de poste, de téléphonie et d'internet</t>
  </si>
  <si>
    <t xml:space="preserve">Dotation aux amortissements </t>
  </si>
  <si>
    <t xml:space="preserve">C1</t>
  </si>
  <si>
    <t xml:space="preserve">Souvent dans la catégorie charges financières</t>
  </si>
  <si>
    <t xml:space="preserve">Compte de résultat: Produits</t>
  </si>
  <si>
    <t xml:space="preserve">Chiffre d'affaires</t>
  </si>
  <si>
    <t xml:space="preserve">C4 / C10</t>
  </si>
  <si>
    <t xml:space="preserve">Total de toutes les ventes de l'exploitation  = tous les comptes 70
Y compris les produits des activités annexes (travaux à façon, produits résiduels, pension d’animaux, terres louées prêtes à semer, autres locations, agritourisme, …)</t>
  </si>
  <si>
    <t xml:space="preserve">Variation de stock</t>
  </si>
  <si>
    <t xml:space="preserve">Production autoconsommée ou immobilisée</t>
  </si>
  <si>
    <t xml:space="preserve">Ventes issues des actions d'achat revente</t>
  </si>
  <si>
    <t xml:space="preserve">Total des comptes 707</t>
  </si>
  <si>
    <t xml:space="preserve">Subvention PAC du 1er pilier ( DPB + paiement vert +aides couplées)</t>
  </si>
  <si>
    <t xml:space="preserve">C6</t>
  </si>
  <si>
    <t xml:space="preserve">Aides non prises en compte : ICHN, MAEC, MAB et conversion bio, DJA, Aides des collectivités locales, Aides à l’investissement</t>
  </si>
  <si>
    <t xml:space="preserve">EBE retenu IDEA</t>
  </si>
  <si>
    <t xml:space="preserve">C1 / C2 
C6 / C8</t>
  </si>
  <si>
    <t xml:space="preserve">*Calcul de l'EBE:  = valeur ajoutée + subventions d'exploitation - (charges de personnel et impôts et taxes) + rémunération des associés
Attention avec l'EBE fourni par le doc comptable: réintégrer dans l'EBE la rémunération des associés (compte 6412 ou 6413) et soustraire de l'EBE les charges sociales des associées (à demander à l'agriculteur) si elle n'ont pas été prise en compte dans son calcul (notamment dans le cas des sociétés avec plusieurs associés)</t>
  </si>
  <si>
    <t xml:space="preserve">Emprunts</t>
  </si>
  <si>
    <r>
      <rPr>
        <b val="true"/>
        <sz val="11"/>
        <rFont val="Calibri"/>
        <family val="2"/>
        <charset val="1"/>
      </rPr>
      <t xml:space="preserve">Emprunts Long et Moyen Terme (LMT)</t>
    </r>
    <r>
      <rPr>
        <b val="true"/>
        <sz val="10"/>
        <rFont val="Calibri"/>
        <family val="2"/>
        <charset val="1"/>
      </rPr>
      <t xml:space="preserve"> (capital total restant du) </t>
    </r>
  </si>
  <si>
    <t xml:space="preserve">C3</t>
  </si>
  <si>
    <t xml:space="preserve">Solde des comptes 16 hors comptes 1643 qui correspondent aux emprunts à court-terme et comptes 1688 qui correspondent aux interets courus
Attention: Si les comptes d’associés sont importants, il convient de les diviser en deux blocs:
• une 1ère part qui est laissée en dettes CT (prendre le montant moyen des prélèvements annuels des associés sur les 3 dernières),
• une 2nd part correspond au reste de la valeur du compte associé que l’on considère alors comme des dettes LMT.
On a alors Emprunts LMT = dettes LMT + montant du compte associé - montant moyen des prélèvements annuels des associés sur les 3 dernières années.
</t>
  </si>
  <si>
    <r>
      <rPr>
        <b val="true"/>
        <sz val="11"/>
        <rFont val="Calibri"/>
        <family val="2"/>
        <charset val="1"/>
      </rPr>
      <t xml:space="preserve">Annuités LMT </t>
    </r>
    <r>
      <rPr>
        <b val="true"/>
        <sz val="9"/>
        <rFont val="Calibri"/>
        <family val="2"/>
        <charset val="1"/>
      </rPr>
      <t xml:space="preserve">(capital remboursé + intérêt des emprunts LMT) </t>
    </r>
    <r>
      <rPr>
        <b val="true"/>
        <sz val="11"/>
        <rFont val="Calibri"/>
        <family val="2"/>
        <charset val="1"/>
      </rPr>
      <t xml:space="preserve"> </t>
    </r>
  </si>
  <si>
    <t xml:space="preserve">C1 / C2</t>
  </si>
  <si>
    <t xml:space="preserve">Pour la partie capital : dans les débits des comptes 16, notamment 164  (attention : ne pas prendre en compte les montants du compte 1643 des emprunts CT )
Pour la partie intérêt : soit dans les comptes 66 (intérêt d'emprunt LMT 6612), soit dans le débit des comptes 168842</t>
  </si>
  <si>
    <t xml:space="preserve">Frais financiers des emprunts Court Terme (CT)</t>
  </si>
  <si>
    <t xml:space="preserve">C2</t>
  </si>
  <si>
    <t xml:space="preserve">Bilan</t>
  </si>
  <si>
    <t xml:space="preserve">Actif net hors foncier</t>
  </si>
  <si>
    <t xml:space="preserve">C8</t>
  </si>
  <si>
    <t xml:space="preserve">actif net total (en bas de l'actif) - valeur des terres (dans la catégorie immo. corporelles de l'actif)</t>
  </si>
  <si>
    <t xml:space="preserve">Capitaux propres</t>
  </si>
  <si>
    <t xml:space="preserve">Provisions pour risques et charges </t>
  </si>
  <si>
    <t xml:space="preserve">REVENUS</t>
  </si>
  <si>
    <t xml:space="preserve">Estimez-vous que votre exploitation dégage un revenu suffisant sur une échelle de 0 à 5 ? </t>
  </si>
  <si>
    <t xml:space="preserve">C7</t>
  </si>
  <si>
    <t xml:space="preserve">Existence d'un revenu significatif extérieur ou issu de la pluriactivité de l'agriculteur </t>
  </si>
  <si>
    <t xml:space="preserve">y compris revenu du conjoit/ de la conjointe</t>
  </si>
  <si>
    <t xml:space="preserve">PERENNITE</t>
  </si>
  <si>
    <t xml:space="preserve">C9</t>
  </si>
  <si>
    <t xml:space="preserve">Vision de l'exploitant sur l'existence de l'exploitation dans 10 ans ?</t>
  </si>
  <si>
    <t xml:space="preserve">Existence quasi-certaine</t>
  </si>
  <si>
    <t xml:space="preserve">Existence probable</t>
  </si>
  <si>
    <t xml:space="preserve">Existence souhaitée si possible</t>
  </si>
  <si>
    <t xml:space="preserve">Disparition probable </t>
  </si>
  <si>
    <t xml:space="preserve">Foncier sécurisé :</t>
  </si>
  <si>
    <t xml:space="preserve">Propriété ou présence de baux à long terme.</t>
  </si>
  <si>
    <t xml:space="preserve">Existence d'un projet de développement, d'aménagement ou d'extension</t>
  </si>
  <si>
    <t xml:space="preserve">Lequel?</t>
  </si>
  <si>
    <t xml:space="preserve">Qualité de la structure du parcellaire :</t>
  </si>
  <si>
    <t xml:space="preserve">Difficile</t>
  </si>
  <si>
    <t xml:space="preserve">Eloignement du parcellaire par rapport à l'exploitation</t>
  </si>
  <si>
    <t xml:space="preserve">Normale</t>
  </si>
  <si>
    <t xml:space="preserve">Atomisation et discontinuité du parcellaire (mitage)</t>
  </si>
  <si>
    <t xml:space="preserve">Bonne</t>
  </si>
  <si>
    <t xml:space="preserve">Forme et taille facilitant un travail mécanique (découpage)</t>
  </si>
  <si>
    <t xml:space="preserve">Habitation très éloignée des lieux de production (&gt;20km) </t>
  </si>
  <si>
    <t xml:space="preserve">COMMERCIALISATION</t>
  </si>
  <si>
    <t xml:space="preserve">Le CA comme le PB s'entendent hors subvention</t>
  </si>
  <si>
    <t xml:space="preserve">CA par produits</t>
  </si>
  <si>
    <t xml:space="preserve">Produit brut par atelier</t>
  </si>
  <si>
    <t xml:space="preserve">k€</t>
  </si>
  <si>
    <t xml:space="preserve">Atelier 1 : grandes cultures (hors cultures sous contrat)</t>
  </si>
  <si>
    <t xml:space="preserve">céréales à paille</t>
  </si>
  <si>
    <t xml:space="preserve">maïs - sorgho</t>
  </si>
  <si>
    <t xml:space="preserve">oléagineux</t>
  </si>
  <si>
    <t xml:space="preserve">protéagineux</t>
  </si>
  <si>
    <r>
      <rPr>
        <sz val="11"/>
        <color rgb="FF000000"/>
        <rFont val="Calibri"/>
        <family val="2"/>
        <charset val="1"/>
      </rPr>
      <t xml:space="preserve">Atelier 2 : cultures industrielles </t>
    </r>
    <r>
      <rPr>
        <sz val="8"/>
        <color rgb="FF000000"/>
        <rFont val="Calibri"/>
        <family val="2"/>
        <charset val="1"/>
      </rPr>
      <t xml:space="preserve">(dont plantes à fibres, semences, plantes aromatiques et médécinales et grandes cultures sous contrat)</t>
    </r>
  </si>
  <si>
    <t xml:space="preserve">Bettrave</t>
  </si>
  <si>
    <t xml:space="preserve">Pomme de terre (feculerie)</t>
  </si>
  <si>
    <t xml:space="preserve">autre culture</t>
  </si>
  <si>
    <t xml:space="preserve">Atelier 3 : cultures légumières +  cultures Horticulture ornementale</t>
  </si>
  <si>
    <t xml:space="preserve">culture 1</t>
  </si>
  <si>
    <t xml:space="preserve">culture 2</t>
  </si>
  <si>
    <t xml:space="preserve">culture 3</t>
  </si>
  <si>
    <t xml:space="preserve">Atelier  4 : arboriculture et/ou raisin de table</t>
  </si>
  <si>
    <t xml:space="preserve">arbo: espèce 1</t>
  </si>
  <si>
    <t xml:space="preserve">arbo: espèce 2</t>
  </si>
  <si>
    <t xml:space="preserve">arbo: espèce 3</t>
  </si>
  <si>
    <t xml:space="preserve">Atelier  5 : viticulture et vinification</t>
  </si>
  <si>
    <t xml:space="preserve">raisin de table</t>
  </si>
  <si>
    <t xml:space="preserve">Vin rouge</t>
  </si>
  <si>
    <t xml:space="preserve">Vin rosé</t>
  </si>
  <si>
    <t xml:space="preserve">Vin blanc</t>
  </si>
  <si>
    <t xml:space="preserve">Vin liquoreux</t>
  </si>
  <si>
    <t xml:space="preserve">Vin doux naturel</t>
  </si>
  <si>
    <t xml:space="preserve">Vin effervescent</t>
  </si>
  <si>
    <t xml:space="preserve">eaux de vie</t>
  </si>
  <si>
    <t xml:space="preserve">Atelier  6: bovin lait </t>
  </si>
  <si>
    <t xml:space="preserve">ventes d'animaux vifs</t>
  </si>
  <si>
    <t xml:space="preserve">lait</t>
  </si>
  <si>
    <t xml:space="preserve">produits laitiers</t>
  </si>
  <si>
    <t xml:space="preserve">Atelier  7: bovin viande</t>
  </si>
  <si>
    <t xml:space="preserve">viande transformée</t>
  </si>
  <si>
    <t xml:space="preserve">Atelier  8 : ovin lait viande</t>
  </si>
  <si>
    <t xml:space="preserve">vente d'animaux vifs</t>
  </si>
  <si>
    <t xml:space="preserve">Atelier  9 :caprin lait et viande </t>
  </si>
  <si>
    <t xml:space="preserve">Atelier 10 : porc </t>
  </si>
  <si>
    <t xml:space="preserve">Atelier 11 : volaille</t>
  </si>
  <si>
    <t xml:space="preserve">œufs</t>
  </si>
  <si>
    <t xml:space="preserve">Atelier 12: services, transformation et agritourisme</t>
  </si>
  <si>
    <t xml:space="preserve">transformation</t>
  </si>
  <si>
    <t xml:space="preserve">agritourisme</t>
  </si>
  <si>
    <t xml:space="preserve">Atelier 13 Autres typres de production (dont électricité, gaz naturel, …)</t>
  </si>
  <si>
    <t xml:space="preserve">production 1</t>
  </si>
  <si>
    <t xml:space="preserve">production 2</t>
  </si>
  <si>
    <t xml:space="preserve">C5</t>
  </si>
  <si>
    <t xml:space="preserve">% du CA représenté par le principal client :</t>
  </si>
  <si>
    <t xml:space="preserve">Nom du principal client :</t>
  </si>
  <si>
    <t xml:space="preserve">Qualité de la relation contractuelle pour la production principale :</t>
  </si>
  <si>
    <t xml:space="preserve">absence de contrat</t>
  </si>
  <si>
    <t xml:space="preserve">adhésion coop</t>
  </si>
  <si>
    <t xml:space="preserve">Détails, remarques sur les contrats :</t>
  </si>
  <si>
    <t xml:space="preserve">contrat longue durée</t>
  </si>
  <si>
    <t xml:space="preserve">contrat solidaire</t>
  </si>
  <si>
    <t xml:space="preserve">Atelier principal en intégration</t>
  </si>
  <si>
    <t xml:space="preserve">B8</t>
  </si>
  <si>
    <t xml:space="preserve">Valeur des ventes en vente directe ou circuit court :</t>
  </si>
  <si>
    <t xml:space="preserve">Vente de proximité (rayon de 80 km maximum) :</t>
  </si>
  <si>
    <t xml:space="preserve">- de façon collective :</t>
  </si>
  <si>
    <t xml:space="preserve">- de façon individuelle :</t>
  </si>
  <si>
    <t xml:space="preserve">Démarche de contractualisation avec des cantines locales / restauration locale / marchés publics locaux :</t>
  </si>
  <si>
    <t xml:space="preserve">I - Données générales et inventaires de l'exploitation</t>
  </si>
  <si>
    <t xml:space="preserve">1.1 L'exploitation agricole</t>
  </si>
  <si>
    <t xml:space="preserve">pg 1</t>
  </si>
  <si>
    <t xml:space="preserve">Date d'enquête :</t>
  </si>
  <si>
    <t xml:space="preserve">1995 = installation avec les parents de Philippe Dintrat. La surface et le cheptel sont multiplées par deux soit 120ha avec 120 vélages broutards et 200 moutons. 2000 = retraite du père. 2006 = retraite de la mère et aide du beau frère, qui envisage de s'installer. Celui-ci va finir par s'installer pour arrêter 4 ans plus tard. 2012 = seul a gérer 170 ha, 150 brebis et 90 vélages. 2016 = construction d'un batiment d'engraissement. 2019 = abandon des parcelles au nord très éloignées. Il achète 30 ha plus proche de chez lui pour avoir en tout 200 ha, 80 vélages et 100 agnelages.</t>
  </si>
  <si>
    <t xml:space="preserve">Département :</t>
  </si>
  <si>
    <t xml:space="preserve">Haute Vienne</t>
  </si>
  <si>
    <t xml:space="preserve">Téléphone :</t>
  </si>
  <si>
    <t xml:space="preserve">Polyculture - élevage</t>
  </si>
  <si>
    <t xml:space="preserve">Forme sociétaire :</t>
  </si>
  <si>
    <t xml:space="preserve">EARL</t>
  </si>
  <si>
    <t xml:space="preserve">Grandes cultures, cultures fourragères et industrielles</t>
  </si>
  <si>
    <t xml:space="preserve">Prairies temporaires</t>
  </si>
  <si>
    <r>
      <rPr>
        <b val="true"/>
        <i val="true"/>
        <sz val="11"/>
        <color rgb="FF000000"/>
        <rFont val="Times New Roman"/>
        <family val="1"/>
        <charset val="1"/>
      </rPr>
      <t xml:space="preserve">Surface Toujours en Herbe 
</t>
    </r>
    <r>
      <rPr>
        <b val="true"/>
        <i val="true"/>
        <sz val="10"/>
        <color rgb="FF000000"/>
        <rFont val="Times New Roman"/>
        <family val="1"/>
        <charset val="1"/>
      </rPr>
      <t xml:space="preserve">(prairies perm., alpages...)</t>
    </r>
  </si>
  <si>
    <t xml:space="preserve">Autres terres productives</t>
  </si>
  <si>
    <t xml:space="preserve">Lesquelles:</t>
  </si>
  <si>
    <t xml:space="preserve">Autres terres non-productives (chemins, batiments…)</t>
  </si>
  <si>
    <t xml:space="preserve">Bandes tampons</t>
  </si>
  <si>
    <t xml:space="preserve">Présence d'élevage :</t>
  </si>
  <si>
    <t xml:space="preserve">1.2 Le personnel de l'exploitation</t>
  </si>
  <si>
    <t xml:space="preserve">Aide du voisin</t>
  </si>
  <si>
    <t xml:space="preserve">1.3 Les animaux de l'exploitation</t>
  </si>
  <si>
    <t xml:space="preserve">1.3.1 Description du cheptel</t>
  </si>
  <si>
    <t xml:space="preserve">pg 2</t>
  </si>
  <si>
    <t xml:space="preserve">Nom des Races </t>
  </si>
  <si>
    <t xml:space="preserve">Catégories d'individus</t>
  </si>
  <si>
    <t xml:space="preserve">Nombre d'individus total</t>
  </si>
  <si>
    <t xml:space="preserve">Nombre d'individus:</t>
  </si>
  <si>
    <t xml:space="preserve">dont temps au pâturage (mois/an)</t>
  </si>
  <si>
    <t xml:space="preserve">Coefficient UGB</t>
  </si>
  <si>
    <t xml:space="preserve">Nombre d'UGB (équivalent)</t>
  </si>
  <si>
    <t xml:space="preserve">Races pures</t>
  </si>
  <si>
    <t xml:space="preserve">Croisée</t>
  </si>
  <si>
    <t xml:space="preserve">Bovin</t>
  </si>
  <si>
    <t xml:space="preserve">(mois/an)</t>
  </si>
  <si>
    <t xml:space="preserve">Réfèrence UGB</t>
  </si>
  <si>
    <t xml:space="preserve">Bovin laitier:</t>
  </si>
  <si>
    <t xml:space="preserve">PURE</t>
  </si>
  <si>
    <t xml:space="preserve">taureaux</t>
  </si>
  <si>
    <t xml:space="preserve">veaux vendus</t>
  </si>
  <si>
    <t xml:space="preserve">Bovin alaitant:</t>
  </si>
  <si>
    <t xml:space="preserve">génisses 0-1 an</t>
  </si>
  <si>
    <t xml:space="preserve">génisses 1-2 ans</t>
  </si>
  <si>
    <t xml:space="preserve">génisses +2 ans</t>
  </si>
  <si>
    <t xml:space="preserve">males 0-1 an</t>
  </si>
  <si>
    <t xml:space="preserve">males 1-2 ans</t>
  </si>
  <si>
    <t xml:space="preserve">males +2 ans</t>
  </si>
  <si>
    <t xml:space="preserve">Ovins-Caprins :</t>
  </si>
  <si>
    <t xml:space="preserve">Brebis/chèvre mère -lait</t>
  </si>
  <si>
    <t xml:space="preserve">Brebis/chèvre mère - viande</t>
  </si>
  <si>
    <t xml:space="preserve">PURE - Texel et Sufolk</t>
  </si>
  <si>
    <t xml:space="preserve">agnelles/chevrettes de souche</t>
  </si>
  <si>
    <t xml:space="preserve">béliers/boucs</t>
  </si>
  <si>
    <t xml:space="preserve">agneaux à l'engrais vendus</t>
  </si>
  <si>
    <t xml:space="preserve">Porcins :</t>
  </si>
  <si>
    <t xml:space="preserve">Volailles :</t>
  </si>
  <si>
    <t xml:space="preserve">dindes reproductrices fermières</t>
  </si>
  <si>
    <t xml:space="preserve">Equins</t>
  </si>
  <si>
    <t xml:space="preserve">Anes </t>
  </si>
  <si>
    <t xml:space="preserve">Autres espèces productives et touristiques (abeilles, …) :</t>
  </si>
  <si>
    <t xml:space="preserve">races</t>
  </si>
  <si>
    <t xml:space="preserve">espèce</t>
  </si>
  <si>
    <t xml:space="preserve">Nombre individus totaux</t>
  </si>
  <si>
    <t xml:space="preserve">Nombre individus croisés</t>
  </si>
  <si>
    <t xml:space="preserve">Totaux UGB:</t>
  </si>
  <si>
    <t xml:space="preserve">UGB Ruminants</t>
  </si>
  <si>
    <t xml:space="preserve">Nombre totales de mères</t>
  </si>
  <si>
    <t xml:space="preserve">Nombre de mères croisés</t>
  </si>
  <si>
    <t xml:space="preserve">UGB monogastrique</t>
  </si>
  <si>
    <t xml:space="preserve">1.3.2 Les produits animaux qui entrent et sortent de l'exploitation</t>
  </si>
  <si>
    <t xml:space="preserve">pg 3</t>
  </si>
  <si>
    <t xml:space="preserve">Lait vendu (y c. fromages)</t>
  </si>
  <si>
    <t xml:space="preserve">litres</t>
  </si>
  <si>
    <t xml:space="preserve">TP</t>
  </si>
  <si>
    <t xml:space="preserve">Entrée d'animaux</t>
  </si>
  <si>
    <t xml:space="preserve">Nb achetés</t>
  </si>
  <si>
    <t xml:space="preserve">Poids unitaire</t>
  </si>
  <si>
    <t xml:space="preserve">Poids total entré</t>
  </si>
  <si>
    <t xml:space="preserve">Origine </t>
  </si>
  <si>
    <t xml:space="preserve">Sortie d'animaux</t>
  </si>
  <si>
    <t xml:space="preserve">Nb sortis</t>
  </si>
  <si>
    <t xml:space="preserve">Poids total sorti</t>
  </si>
  <si>
    <t xml:space="preserve">tonne</t>
  </si>
  <si>
    <t xml:space="preserve">Bovins:</t>
  </si>
  <si>
    <t xml:space="preserve">Vache allaitante</t>
  </si>
  <si>
    <t xml:space="preserve">LOCAL</t>
  </si>
  <si>
    <t xml:space="preserve">Génisse viande</t>
  </si>
  <si>
    <t xml:space="preserve">Taurillons, bœufs viande</t>
  </si>
  <si>
    <t xml:space="preserve">Veau viande</t>
  </si>
  <si>
    <t xml:space="preserve">Taureau</t>
  </si>
  <si>
    <t xml:space="preserve">Locale</t>
  </si>
  <si>
    <t xml:space="preserve">Vache laitière</t>
  </si>
  <si>
    <t xml:space="preserve">Génisses laitières</t>
  </si>
  <si>
    <t xml:space="preserve">Veau laitier</t>
  </si>
  <si>
    <t xml:space="preserve">Ovins-caprins :</t>
  </si>
  <si>
    <t xml:space="preserve">Agneaux/chevreaux 1 mois</t>
  </si>
  <si>
    <t xml:space="preserve">Agneaux/chevreaux 3 mois</t>
  </si>
  <si>
    <t xml:space="preserve">brebis/chèvres</t>
  </si>
  <si>
    <t xml:space="preserve">agnelles/chevrettes</t>
  </si>
  <si>
    <t xml:space="preserve">Porcs :</t>
  </si>
  <si>
    <t xml:space="preserve">Verrat</t>
  </si>
  <si>
    <t xml:space="preserve">Porcs charcutiers</t>
  </si>
  <si>
    <t xml:space="preserve">Porcelets</t>
  </si>
  <si>
    <t xml:space="preserve">poussins</t>
  </si>
  <si>
    <t xml:space="preserve">Poulets</t>
  </si>
  <si>
    <t xml:space="preserve">dindonneaux</t>
  </si>
  <si>
    <t xml:space="preserve">Dindes</t>
  </si>
  <si>
    <t xml:space="preserve">canetons</t>
  </si>
  <si>
    <t xml:space="preserve">Canards</t>
  </si>
  <si>
    <t xml:space="preserve">poussins de pintades</t>
  </si>
  <si>
    <t xml:space="preserve">pintades</t>
  </si>
  <si>
    <t xml:space="preserve">Oies</t>
  </si>
  <si>
    <t xml:space="preserve">Autres espèces:</t>
  </si>
  <si>
    <t xml:space="preserve">Chevaux / Jument</t>
  </si>
  <si>
    <t xml:space="preserve">Béliers</t>
  </si>
  <si>
    <t xml:space="preserve">Nombre d'animaux achetés localement</t>
  </si>
  <si>
    <t xml:space="preserve">bêtes</t>
  </si>
  <si>
    <t xml:space="preserve">1.3.3 Achats de concentrés et de fourrages pour le bétails</t>
  </si>
  <si>
    <t xml:space="preserve">pg 4</t>
  </si>
  <si>
    <t xml:space="preserve">Type d'aliments concentrés</t>
  </si>
  <si>
    <t xml:space="preserve">Quantité achetée </t>
  </si>
  <si>
    <t xml:space="preserve">Fourrages grossiers et litières</t>
  </si>
  <si>
    <t xml:space="preserve">Quantité achetée</t>
  </si>
  <si>
    <t xml:space="preserve">tonne produit brute</t>
  </si>
  <si>
    <t xml:space="preserve">t MS</t>
  </si>
  <si>
    <t xml:space="preserve">tourteaux de soja (TS)</t>
  </si>
  <si>
    <t xml:space="preserve">tourteau de colza</t>
  </si>
  <si>
    <t xml:space="preserve">céréales graines</t>
  </si>
  <si>
    <t xml:space="preserve">total fourrages :</t>
  </si>
  <si>
    <t xml:space="preserve">achetés</t>
  </si>
  <si>
    <t xml:space="preserve">Origine des fourrages:</t>
  </si>
  <si>
    <t xml:space="preserve">fourrage d'origine locale</t>
  </si>
  <si>
    <t xml:space="preserve">fourrage achetés dans le cadre d'un projet territorial collectif :</t>
  </si>
  <si>
    <t xml:space="preserve">dont fourrage d'origine locale</t>
  </si>
  <si>
    <t xml:space="preserve">dont fourrage d'origine non-locale</t>
  </si>
  <si>
    <t xml:space="preserve">poudre de lait</t>
  </si>
  <si>
    <t xml:space="preserve">luzerne déshydratée (LD)</t>
  </si>
  <si>
    <t xml:space="preserve">Autre.1</t>
  </si>
  <si>
    <t xml:space="preserve">COMPLET POUR AGNEAUX</t>
  </si>
  <si>
    <t xml:space="preserve">Autre.2</t>
  </si>
  <si>
    <t xml:space="preserve">Autre.3</t>
  </si>
  <si>
    <t xml:space="preserve">Autre.4</t>
  </si>
  <si>
    <t xml:space="preserve">Total concentrés</t>
  </si>
  <si>
    <t xml:space="preserve"> achetés</t>
  </si>
  <si>
    <t xml:space="preserve">Concentrés d'origine locale</t>
  </si>
  <si>
    <t xml:space="preserve">Concentrés achetés dans le cadre d'un projet territorial collectif :</t>
  </si>
  <si>
    <t xml:space="preserve">dont concentré d'origine locale</t>
  </si>
  <si>
    <t xml:space="preserve">dont concentré d'origine non-locale</t>
  </si>
  <si>
    <t xml:space="preserve">1.4. Les cultures de l'exploitation</t>
  </si>
  <si>
    <t xml:space="preserve">1.4.1 Les cultures fourragères (et litière) destinées aux animaux ou à la vente</t>
  </si>
  <si>
    <t xml:space="preserve">pg 6</t>
  </si>
  <si>
    <t xml:space="preserve">Production</t>
  </si>
  <si>
    <t xml:space="preserve">Entrée</t>
  </si>
  <si>
    <t xml:space="preserve">Sorties</t>
  </si>
  <si>
    <t xml:space="preserve">Variété (pures, population ou mélange variétal)</t>
  </si>
  <si>
    <t xml:space="preserve">Rendement</t>
  </si>
  <si>
    <t xml:space="preserve">Part de légumineuse</t>
  </si>
  <si>
    <t xml:space="preserve">Quantité de fourrage achetée</t>
  </si>
  <si>
    <t xml:space="preserve">Quantité de fourrage vendue</t>
  </si>
  <si>
    <t xml:space="preserve">Nombre de  Variétés (NB Var)</t>
  </si>
  <si>
    <t xml:space="preserve">t MS / ha</t>
  </si>
  <si>
    <t xml:space="preserve">%</t>
  </si>
  <si>
    <t xml:space="preserve">Fourrages annuels 
(durée &lt;= 18mois)</t>
  </si>
  <si>
    <t xml:space="preserve">RG en cult. principale</t>
  </si>
  <si>
    <t xml:space="preserve">Fourrage annuel en dérobé</t>
  </si>
  <si>
    <t xml:space="preserve">autre Fourrage dérobé</t>
  </si>
  <si>
    <t xml:space="preserve">Drèches fraiches</t>
  </si>
  <si>
    <t xml:space="preserve">Autre</t>
  </si>
  <si>
    <t xml:space="preserve">Pailles</t>
  </si>
  <si>
    <t xml:space="preserve">Qté achetée</t>
  </si>
  <si>
    <t xml:space="preserve">Fourrages pluriannuels
(de 2 à 5 ans)</t>
  </si>
  <si>
    <t xml:space="preserve">reference</t>
  </si>
  <si>
    <t xml:space="preserve">RG anglais et hybride</t>
  </si>
  <si>
    <t xml:space="preserve">mélange</t>
  </si>
  <si>
    <t xml:space="preserve">Ens.herbe</t>
  </si>
  <si>
    <t xml:space="preserve">Dactyle</t>
  </si>
  <si>
    <t xml:space="preserve">Fétuque</t>
  </si>
  <si>
    <t xml:space="preserve">Autres graminées seules</t>
  </si>
  <si>
    <t xml:space="preserve">Foin  </t>
  </si>
  <si>
    <t xml:space="preserve">Autres graminées seules 2</t>
  </si>
  <si>
    <t xml:space="preserve">Légumineuses :</t>
  </si>
  <si>
    <t xml:space="preserve">Foin legum.</t>
  </si>
  <si>
    <t xml:space="preserve">Autres mélanges G+L</t>
  </si>
  <si>
    <t xml:space="preserve">Autres mélanges G+L 2</t>
  </si>
  <si>
    <t xml:space="preserve">Autres mélanges G+L 3</t>
  </si>
  <si>
    <t xml:space="preserve">Fourrages pérennes 
(durée &gt; 5 ans)</t>
  </si>
  <si>
    <t xml:space="preserve">Prairies Nat. (PN) 1</t>
  </si>
  <si>
    <t xml:space="preserve">PN 2</t>
  </si>
  <si>
    <t xml:space="preserve">PN 3</t>
  </si>
  <si>
    <t xml:space="preserve">PN 4</t>
  </si>
  <si>
    <t xml:space="preserve">Qté de fourrage produite</t>
  </si>
  <si>
    <t xml:space="preserve">Qté de fourrage vendue</t>
  </si>
  <si>
    <t xml:space="preserve">Qté de fourrage achetée</t>
  </si>
  <si>
    <t xml:space="preserve">Qté fourrage consommée</t>
  </si>
  <si>
    <t xml:space="preserve">1.4.2 Les cultures non fourragères destinées aux animaux ou à la vente</t>
  </si>
  <si>
    <t xml:space="preserve">pg 7</t>
  </si>
  <si>
    <t xml:space="preserve">Caractéristique de parcelle</t>
  </si>
  <si>
    <t xml:space="preserve">Rendement </t>
  </si>
  <si>
    <t xml:space="preserve">Quantité produite </t>
  </si>
  <si>
    <t xml:space="preserve">présence d'agroforesterie</t>
  </si>
  <si>
    <t xml:space="preserve">NB Var</t>
  </si>
  <si>
    <t xml:space="preserve">qtx / ha</t>
  </si>
  <si>
    <t xml:space="preserve">tonne de produit brute</t>
  </si>
  <si>
    <t xml:space="preserve">NON</t>
  </si>
  <si>
    <t xml:space="preserve">Autre 1 </t>
  </si>
  <si>
    <t xml:space="preserve">Autre 2</t>
  </si>
  <si>
    <t xml:space="preserve">Autre 3</t>
  </si>
  <si>
    <t xml:space="preserve">Autre 4</t>
  </si>
  <si>
    <t xml:space="preserve">Autre 5</t>
  </si>
  <si>
    <t xml:space="preserve">Légumineuse/Protéagineuse:</t>
  </si>
  <si>
    <t xml:space="preserve">t / ha</t>
  </si>
  <si>
    <t xml:space="preserve">Qté vendue</t>
  </si>
  <si>
    <t xml:space="preserve">qtx/ha</t>
  </si>
  <si>
    <t xml:space="preserve">Haricot grain</t>
  </si>
  <si>
    <t xml:space="preserve">Haricot vert</t>
  </si>
  <si>
    <t xml:space="preserve">Type d'enherbement des parcelles</t>
  </si>
  <si>
    <t xml:space="preserve">Autres arbo </t>
  </si>
  <si>
    <t xml:space="preserve">Raisin de table (en t/ha)</t>
  </si>
  <si>
    <t xml:space="preserve">Raisin vendu transformé (jus ou vin)</t>
  </si>
  <si>
    <t xml:space="preserve">Qté produite</t>
  </si>
  <si>
    <t xml:space="preserve">Qté  vendue</t>
  </si>
  <si>
    <t xml:space="preserve">Qté acheté</t>
  </si>
  <si>
    <t xml:space="preserve">Qté consommée</t>
  </si>
  <si>
    <t xml:space="preserve">1.4.3 Les rotations</t>
  </si>
  <si>
    <t xml:space="preserve">pg 8</t>
  </si>
  <si>
    <t xml:space="preserve">Caractéristique de la succession:</t>
  </si>
  <si>
    <t xml:space="preserve">Numéro de la rotation</t>
  </si>
  <si>
    <t xml:space="preserve">Durée: 
courte = 3 ans ou moins
longue = 4 ans ou plus</t>
  </si>
  <si>
    <t xml:space="preserve">Retour d'une même culture deux années de suite: 
(Expl: monoculture, blé sur blé,….)</t>
  </si>
  <si>
    <t xml:space="preserve">Surface en ha </t>
  </si>
  <si>
    <t xml:space="preserve">Cultures de la succession (liste ou ouverte)</t>
  </si>
  <si>
    <t xml:space="preserve">Somme des surfaces en succession à délais de retour court:</t>
  </si>
  <si>
    <t xml:space="preserve">R1</t>
  </si>
  <si>
    <t xml:space="preserve">rotation longues</t>
  </si>
  <si>
    <t xml:space="preserve">maïs (1 an) - céréales (1 an)- prairies (4-5 ans)</t>
  </si>
  <si>
    <t xml:space="preserve">R2</t>
  </si>
  <si>
    <t xml:space="preserve">R3</t>
  </si>
  <si>
    <t xml:space="preserve">R4</t>
  </si>
  <si>
    <t xml:space="preserve">R5</t>
  </si>
  <si>
    <t xml:space="preserve">R6</t>
  </si>
  <si>
    <t xml:space="preserve">1.5 les effluents d'élevage</t>
  </si>
  <si>
    <t xml:space="preserve">pg 9</t>
  </si>
  <si>
    <t xml:space="preserve">quantité produite</t>
  </si>
  <si>
    <t xml:space="preserve">quantité vendue</t>
  </si>
  <si>
    <t xml:space="preserve">quantité importée</t>
  </si>
  <si>
    <t xml:space="preserve">quantité épandue</t>
  </si>
  <si>
    <t xml:space="preserve">Coef d'utilisation d'N (pour calcul du N disponible dans l'année N)</t>
  </si>
  <si>
    <t xml:space="preserve">N organique épandu</t>
  </si>
  <si>
    <t xml:space="preserve">N organique épandu effet direct (N dispo. dans l'année N)</t>
  </si>
  <si>
    <t xml:space="preserve">dont N organique importé effet direct (N dispo. dans l'année N)</t>
  </si>
  <si>
    <r>
      <rPr>
        <sz val="11"/>
        <rFont val="Times New Roman"/>
        <family val="1"/>
        <charset val="1"/>
      </rPr>
      <t xml:space="preserve">tonne ou m</t>
    </r>
    <r>
      <rPr>
        <vertAlign val="superscript"/>
        <sz val="11"/>
        <rFont val="Times New Roman"/>
        <family val="1"/>
        <charset val="1"/>
      </rPr>
      <t xml:space="preserve">3</t>
    </r>
  </si>
  <si>
    <t xml:space="preserve">kg / m3 ou kg / tonne</t>
  </si>
  <si>
    <t xml:space="preserve">référence</t>
  </si>
  <si>
    <t xml:space="preserve">kg </t>
  </si>
  <si>
    <t xml:space="preserve">Compost de déchets verts avec du lisier de porc</t>
  </si>
  <si>
    <t xml:space="preserve">Compost fumiers + tourteaux    (type Végor, Végéh...)</t>
  </si>
  <si>
    <t xml:space="preserve">Total quantité importée</t>
  </si>
  <si>
    <t xml:space="preserve">Total quantité épandue</t>
  </si>
  <si>
    <r>
      <rPr>
        <b val="true"/>
        <sz val="11"/>
        <rFont val="Times New Roman"/>
        <family val="1"/>
        <charset val="1"/>
      </rPr>
      <t xml:space="preserve">N organique épandu effet direct </t>
    </r>
    <r>
      <rPr>
        <b val="true"/>
        <sz val="9"/>
        <rFont val="Times New Roman"/>
        <family val="1"/>
        <charset val="1"/>
      </rPr>
      <t xml:space="preserve">(N dispo. dans l'année N)</t>
    </r>
  </si>
  <si>
    <r>
      <rPr>
        <b val="true"/>
        <sz val="11"/>
        <rFont val="Times New Roman"/>
        <family val="1"/>
        <charset val="1"/>
      </rPr>
      <t xml:space="preserve">dont N organique importé effet direct 
</t>
    </r>
    <r>
      <rPr>
        <b val="true"/>
        <sz val="9"/>
        <rFont val="Times New Roman"/>
        <family val="1"/>
        <charset val="1"/>
      </rPr>
      <t xml:space="preserve">(N dispo. dans l'année N)</t>
    </r>
  </si>
  <si>
    <t xml:space="preserve">Total </t>
  </si>
  <si>
    <t xml:space="preserve">Part des effluents importés venant du territoire en tonnes :</t>
  </si>
  <si>
    <t xml:space="preserve">II- L'agriculteur et son système productif: Dimension Agro-écologique</t>
  </si>
  <si>
    <t xml:space="preserve">Questionnaire page</t>
  </si>
  <si>
    <t xml:space="preserve">A1 ROB 1 - Diversité des espèces cultivées</t>
  </si>
  <si>
    <t xml:space="preserve">pg 6-7-10</t>
  </si>
  <si>
    <t xml:space="preserve">Grandes cultures, cultures fourragères et industrielles, cultures perennes</t>
  </si>
  <si>
    <t xml:space="preserve">pg 6-7</t>
  </si>
  <si>
    <t xml:space="preserve">Part dans l'assolement de la culture la plus importante :</t>
  </si>
  <si>
    <t xml:space="preserve">Attention si code d'erreur #nombre </t>
  </si>
  <si>
    <t xml:space="preserve">Part dans l'assolement de la 2e culture la plus importante :</t>
  </si>
  <si>
    <t xml:space="preserve">Total</t>
  </si>
  <si>
    <t xml:space="preserve">"Équitabilité" des cultures</t>
  </si>
  <si>
    <t xml:space="preserve">Monoculture sur 95% ou plus de la (SAU-PP)</t>
  </si>
  <si>
    <t xml:space="preserve">1 à 2 espèces représentent plus de 80% de la (SAU-PP)</t>
  </si>
  <si>
    <t xml:space="preserve">Autres cas</t>
  </si>
  <si>
    <t xml:space="preserve">Indice de diversité des cultures (IDC)</t>
  </si>
  <si>
    <t xml:space="preserve">1 à 2</t>
  </si>
  <si>
    <t xml:space="preserve">Cultures en pur</t>
  </si>
  <si>
    <t xml:space="preserve">Nombre d'espèces en pur</t>
  </si>
  <si>
    <t xml:space="preserve">3 à 5</t>
  </si>
  <si>
    <t xml:space="preserve">Cultures en association 
(dont prairie temporaire, agroforesterie)</t>
  </si>
  <si>
    <t xml:space="preserve">Nombre d'espèce cultivée dans chaque association</t>
  </si>
  <si>
    <t xml:space="preserve">6 à 9</t>
  </si>
  <si>
    <t xml:space="preserve">10 et +</t>
  </si>
  <si>
    <t xml:space="preserve">SCORE TABLEAU</t>
  </si>
  <si>
    <t xml:space="preserve">pg 10</t>
  </si>
  <si>
    <t xml:space="preserve">Référence</t>
  </si>
  <si>
    <t xml:space="preserve">L'explotation produit-elle l'ensemble des trois catégories de légumes  ? </t>
  </si>
  <si>
    <t xml:space="preserve">(tige/feuille/inflorescence; racine/tubercule/bulbe; fruits/légumes)</t>
  </si>
  <si>
    <t xml:space="preserve">Part des prairies permanentes % :</t>
  </si>
  <si>
    <t xml:space="preserve">A2 ROB2 - Diversité génétique</t>
  </si>
  <si>
    <t xml:space="preserve">pg 4-5-10-11</t>
  </si>
  <si>
    <t xml:space="preserve">Participation à des programmes de création/sélection variétale; entretien des ressources génétiques sur des races à petits effectifs ou espèces anciennes; pratique de sélection massale avec garantie sanitaire :</t>
  </si>
  <si>
    <t xml:space="preserve">pg 5-10</t>
  </si>
  <si>
    <t xml:space="preserve">Végétaux</t>
  </si>
  <si>
    <t xml:space="preserve">Prise en compte de critères de tolérance/résistance à des stress biotiques et abiotiques dans les choix variétaux et/ou de porte greffe ?</t>
  </si>
  <si>
    <t xml:space="preserve"> Dans quel but?</t>
  </si>
  <si>
    <t xml:space="preserve">Résistance aux maladies</t>
  </si>
  <si>
    <t xml:space="preserve">Grandes cultures, cultures industrielles et cultures fourragères : pour l'espèce principale</t>
  </si>
  <si>
    <t xml:space="preserve">nom variété</t>
  </si>
  <si>
    <t xml:space="preserve">compteur variétés</t>
  </si>
  <si>
    <t xml:space="preserve">surface variété</t>
  </si>
  <si>
    <t xml:space="preserve">PRAIRIE</t>
  </si>
  <si>
    <t xml:space="preserve">on ne sait pas quelle est la culture principale ➝ mais ? </t>
  </si>
  <si>
    <t xml:space="preserve">Présence de variété population :</t>
  </si>
  <si>
    <t xml:space="preserve">Présence au moins d'un mélange variétal intra-parcellaire :</t>
  </si>
  <si>
    <t xml:space="preserve">Part de la sole de la culture principale occupée par la variété principale (EV) :</t>
  </si>
  <si>
    <t xml:space="preserve">EV</t>
  </si>
  <si>
    <t xml:space="preserve">Nombre de variétés totales retenues (NVCgc) :</t>
  </si>
  <si>
    <t xml:space="preserve">NVCgc</t>
  </si>
  <si>
    <t xml:space="preserve">Les deux variétés principales représentent 80% ou plus de la sole de l'espèce</t>
  </si>
  <si>
    <t xml:space="preserve">≤ 3</t>
  </si>
  <si>
    <t xml:space="preserve">4 à 7</t>
  </si>
  <si>
    <t xml:space="preserve">≥ 8</t>
  </si>
  <si>
    <t xml:space="preserve">SCORE TABLEAU GRANDE CULTURE</t>
  </si>
  <si>
    <t xml:space="preserve">Arboriculture : pour l'espèce principale</t>
  </si>
  <si>
    <t xml:space="preserve">Nombre de variétés :</t>
  </si>
  <si>
    <t xml:space="preserve">Surface des deux variétés principales de la culture principale :</t>
  </si>
  <si>
    <t xml:space="preserve">Mélange de variétés intraparcellaire :</t>
  </si>
  <si>
    <t xml:space="preserve">Surface de la culture principale de l'atelier : </t>
  </si>
  <si>
    <t xml:space="preserve">Nombre de variétés totales retenues (NVCarb) :</t>
  </si>
  <si>
    <t xml:space="preserve">NVCarb</t>
  </si>
  <si>
    <t xml:space="preserve">≤ 5</t>
  </si>
  <si>
    <t xml:space="preserve">6 à 10</t>
  </si>
  <si>
    <t xml:space="preserve">≥ 10</t>
  </si>
  <si>
    <t xml:space="preserve">SCORE TABLEAU ARBORICULTURE</t>
  </si>
  <si>
    <t xml:space="preserve">SCORE VITICULTURE</t>
  </si>
  <si>
    <t xml:space="preserve">Nombre d'espèces botaniques cultivées en 3 variétés ou plus :</t>
  </si>
  <si>
    <t xml:space="preserve">SCORE MARAICHAGE</t>
  </si>
  <si>
    <t xml:space="preserve">Animaux</t>
  </si>
  <si>
    <t xml:space="preserve">(ne pas remplir si pas d'élevage)</t>
  </si>
  <si>
    <t xml:space="preserve">L'exploitation gère-t-elle la reproduction du cheptel (exploitation naisseur) :</t>
  </si>
  <si>
    <t xml:space="preserve">Nombre de mères croisées :</t>
  </si>
  <si>
    <t xml:space="preserve">Nombre total de mères :</t>
  </si>
  <si>
    <t xml:space="preserve">Ratio =</t>
  </si>
  <si>
    <t xml:space="preserve">pg 4-5</t>
  </si>
  <si>
    <t xml:space="preserve">Intégration de la rusticité comme un critère principal dans les choix de reproduction :</t>
  </si>
  <si>
    <t xml:space="preserve">oui, critère principal</t>
  </si>
  <si>
    <t xml:space="preserve">A3 ROB3 - Diversité temporelle des cultures</t>
  </si>
  <si>
    <t xml:space="preserve">pg 8-10-11</t>
  </si>
  <si>
    <t xml:space="preserve">Grandes cultures, cultures fouragères et industrielles</t>
  </si>
  <si>
    <t xml:space="preserve">Poids des successions à délais de retour courts  (% Surface Assolable) :</t>
  </si>
  <si>
    <t xml:space="preserve">Présence de cultures pluriannuelles à fauches multiples dans la succession :</t>
  </si>
  <si>
    <t xml:space="preserve">Ex: luzerne, prairie</t>
  </si>
  <si>
    <t xml:space="preserve">Cultures perennes
(arboriculture et viticulture)</t>
  </si>
  <si>
    <t xml:space="preserve">Durée de l'interculture en viticulture :</t>
  </si>
  <si>
    <t xml:space="preserve">pg 11</t>
  </si>
  <si>
    <t xml:space="preserve">A4 ROB4 - Qualité de l'organisation spatiale</t>
  </si>
  <si>
    <t xml:space="preserve">pg 16-11</t>
  </si>
  <si>
    <t xml:space="preserve">Nombre d'unités spatiales supérieures à 12 ha :</t>
  </si>
  <si>
    <t xml:space="preserve">pg 16</t>
  </si>
  <si>
    <t xml:space="preserve">Arboriculture </t>
  </si>
  <si>
    <t xml:space="preserve">Nombre d'unités spatiales supérieures à 6 ha :</t>
  </si>
  <si>
    <t xml:space="preserve">Mise en place de cultures associés et/ou semis sous couvert sur une même planche :</t>
  </si>
  <si>
    <t xml:space="preserve">A l'aide du parcellaire PAC et de la déclaration PAC (SIE), évaluation des infrastructures agroécologiques. Mesure de la surface développée des bordures : </t>
  </si>
  <si>
    <t xml:space="preserve">Linéaire</t>
  </si>
  <si>
    <t xml:space="preserve">Coefficient conversion</t>
  </si>
  <si>
    <t xml:space="preserve">Eq Surface développée</t>
  </si>
  <si>
    <t xml:space="preserve">eq m2</t>
  </si>
  <si>
    <t xml:space="preserve">Arbres isolés (en nombre d'arbre)</t>
  </si>
  <si>
    <t xml:space="preserve">Surface en biodiversité développée en %</t>
  </si>
  <si>
    <t xml:space="preserve">Mares et lavognes (en m de perimetre)</t>
  </si>
  <si>
    <t xml:space="preserve">Muret</t>
  </si>
  <si>
    <t xml:space="preserve">m2</t>
  </si>
  <si>
    <t xml:space="preserve">STH : Prairies permanentes</t>
  </si>
  <si>
    <t xml:space="preserve">Bordures (bandes enherbées …) qui n'ont pas été comptée dans les STH</t>
  </si>
  <si>
    <t xml:space="preserve">A5 CAP1 RES1 - Gestion des insectes pollinisateurs et des auxiliaires des cultures </t>
  </si>
  <si>
    <t xml:space="preserve">pg 6-11-16</t>
  </si>
  <si>
    <r>
      <rPr>
        <b val="true"/>
        <sz val="11"/>
        <rFont val="Times New Roman"/>
        <family val="1"/>
        <charset val="1"/>
      </rPr>
      <t xml:space="preserve">SAU recevant au moins un insecticide</t>
    </r>
    <r>
      <rPr>
        <sz val="11"/>
        <rFont val="Times New Roman"/>
        <family val="1"/>
        <charset val="1"/>
      </rPr>
      <t xml:space="preserve"> :</t>
    </r>
  </si>
  <si>
    <r>
      <rPr>
        <b val="true"/>
        <sz val="11"/>
        <rFont val="Times New Roman"/>
        <family val="1"/>
        <charset val="1"/>
      </rPr>
      <t xml:space="preserve">Nombre d'UGB recevant au moins un insecticide</t>
    </r>
    <r>
      <rPr>
        <sz val="11"/>
        <rFont val="Times New Roman"/>
        <family val="1"/>
        <charset val="1"/>
      </rPr>
      <t xml:space="preserve"> :</t>
    </r>
  </si>
  <si>
    <t xml:space="preserve">UGB</t>
  </si>
  <si>
    <t xml:space="preserve">A6 AUT1 - Autonomie en énergie, matériaux, matériels, semences et plants</t>
  </si>
  <si>
    <t xml:space="preserve">pg 11-17</t>
  </si>
  <si>
    <t xml:space="preserve">Non</t>
  </si>
  <si>
    <t xml:space="preserve">pg 17</t>
  </si>
  <si>
    <t xml:space="preserve">Autonomie dans la réparation du matériel agricole (hors entretien courant) : </t>
  </si>
  <si>
    <t xml:space="preserve">Utilisation de matériaux produits sur l’exploitation ou en groupe :</t>
  </si>
  <si>
    <t xml:space="preserve">Oui</t>
  </si>
  <si>
    <t xml:space="preserve">Autonomie en matériaux et matériels agricoles :</t>
  </si>
  <si>
    <t xml:space="preserve">Part des surfaces cultivées en semences de ferme et/ou en « plants et greffons de ferme » (en %) :</t>
  </si>
  <si>
    <t xml:space="preserve">A7 AUT2 - Autonomie alimentaire de l'élevage</t>
  </si>
  <si>
    <t xml:space="preserve">Elevage principal :</t>
  </si>
  <si>
    <t xml:space="preserve">herbivore</t>
  </si>
  <si>
    <t xml:space="preserve">Données estimées mais il est de possible de mettre les valeurs réelles si l'exploitant peut les fournir</t>
  </si>
  <si>
    <t xml:space="preserve"> Fourrage acheté :</t>
  </si>
  <si>
    <t xml:space="preserve">t MS/an</t>
  </si>
  <si>
    <r>
      <rPr>
        <b val="true"/>
        <sz val="11"/>
        <color rgb="FF000000"/>
        <rFont val="Times New Roman"/>
        <family val="1"/>
        <charset val="1"/>
      </rPr>
      <t xml:space="preserve">Quantité de fourrage consommée :
</t>
    </r>
    <r>
      <rPr>
        <i val="true"/>
        <sz val="10"/>
        <color rgb="FF000000"/>
        <rFont val="Times New Roman"/>
        <family val="1"/>
        <charset val="1"/>
      </rPr>
      <t xml:space="preserve">Estimée en multipliant le nombre d'UGB par 5tMS </t>
    </r>
  </si>
  <si>
    <t xml:space="preserve">TMS/an</t>
  </si>
  <si>
    <t xml:space="preserve">Autonomie en fourrage</t>
  </si>
  <si>
    <t xml:space="preserve">Estimée selon les productions et les achats de l'EA</t>
  </si>
  <si>
    <t xml:space="preserve">Concentré acheté :</t>
  </si>
  <si>
    <t xml:space="preserve">tonnes brutes/an</t>
  </si>
  <si>
    <r>
      <rPr>
        <b val="true"/>
        <sz val="11"/>
        <color rgb="FF000000"/>
        <rFont val="Times New Roman"/>
        <family val="1"/>
        <charset val="1"/>
      </rPr>
      <t xml:space="preserve">Quantité de concentré consommée :
</t>
    </r>
    <r>
      <rPr>
        <i val="true"/>
        <sz val="10"/>
        <color rgb="FF000000"/>
        <rFont val="Times New Roman"/>
        <family val="1"/>
        <charset val="1"/>
      </rPr>
      <t xml:space="preserve">Selon les coefficients précisés à droite</t>
    </r>
  </si>
  <si>
    <t xml:space="preserve">Autonomie en concentré</t>
  </si>
  <si>
    <t xml:space="preserve">Exemples grossiers de coefficients de consommation de concentrés (source V. Manneville)</t>
  </si>
  <si>
    <t xml:space="preserve">1VL = 1,2 tonnes concentrés
1 truie = 1,2 tonnes concentrés
500 équivalents volailles =  1,2 tonnes concentrés
Entre 5 et 6 porcs charcutiers = 1,2 tonnes concentrés</t>
  </si>
  <si>
    <t xml:space="preserve">A8 AUT3 - Autonomie en azote</t>
  </si>
  <si>
    <t xml:space="preserve">pg 13</t>
  </si>
  <si>
    <t xml:space="preserve">N importé sur l’EA :</t>
  </si>
  <si>
    <t xml:space="preserve">Kg</t>
  </si>
  <si>
    <t xml:space="preserve">N total épandu :</t>
  </si>
  <si>
    <t xml:space="preserve">Autonomie de l'EA 
vis-à-vis de l'azote extérieur</t>
  </si>
  <si>
    <t xml:space="preserve">Engrais minéral importé :</t>
  </si>
  <si>
    <t xml:space="preserve">Engrais organique importée (direct) :</t>
  </si>
  <si>
    <t xml:space="preserve">Engrais organique total (direct) :</t>
  </si>
  <si>
    <t xml:space="preserve">(legumineuse fourrage et non fourrage)</t>
  </si>
  <si>
    <t xml:space="preserve">Surface dédiée aux plantes fixatrices d'N dans l'assolement : </t>
  </si>
  <si>
    <t xml:space="preserve">Part de légumineuses dans l'assolement</t>
  </si>
  <si>
    <t xml:space="preserve">A9 RES2 - Sobriété dans l'usage de l'eau et partage de la ressource</t>
  </si>
  <si>
    <t xml:space="preserve">pg 14</t>
  </si>
  <si>
    <t xml:space="preserve">Prélèvement d'eau pour la production:</t>
  </si>
  <si>
    <t xml:space="preserve">Si Non, passer à l'indicateur suivant.</t>
  </si>
  <si>
    <t xml:space="preserve">irrigation, abreuvement, pulvérisation, transformation, lavage, …</t>
  </si>
  <si>
    <t xml:space="preserve">Sensibilité de la ressource en eau :</t>
  </si>
  <si>
    <t xml:space="preserve">Très forte sensibilité</t>
  </si>
  <si>
    <t xml:space="preserve">Forte sensibilité</t>
  </si>
  <si>
    <t xml:space="preserve">Faible sensibilité</t>
  </si>
  <si>
    <t xml:space="preserve">Sensibilité moyenne</t>
  </si>
  <si>
    <t xml:space="preserve">Quantité totale d'eau prélevée par l'exploitation :</t>
  </si>
  <si>
    <t xml:space="preserve">QP =</t>
  </si>
  <si>
    <t xml:space="preserve">en m3/an</t>
  </si>
  <si>
    <t xml:space="preserve">Pression de prélèvement</t>
  </si>
  <si>
    <t xml:space="preserve">QP &lt; 10 000 m3</t>
  </si>
  <si>
    <t xml:space="preserve">10 000 m3 &lt; QP &lt; 30 000 m3</t>
  </si>
  <si>
    <t xml:space="preserve">QP &gt; 30 000 m3</t>
  </si>
  <si>
    <t xml:space="preserve">Sensibilité de la ressource en eau</t>
  </si>
  <si>
    <t xml:space="preserve">Très forte</t>
  </si>
  <si>
    <t xml:space="preserve">Forte</t>
  </si>
  <si>
    <t xml:space="preserve">Résultat tableau croisée</t>
  </si>
  <si>
    <t xml:space="preserve">Moyenne</t>
  </si>
  <si>
    <t xml:space="preserve">Faible</t>
  </si>
  <si>
    <t xml:space="preserve">A10 RES3 - Sobriété dans l'utilisation du phosphore</t>
  </si>
  <si>
    <t xml:space="preserve">Phosphore minéral épandu (kg):</t>
  </si>
  <si>
    <t xml:space="preserve">Consommation en phosphore</t>
  </si>
  <si>
    <t xml:space="preserve">A11 RES4 - Sobriété dans la consommation en énergie</t>
  </si>
  <si>
    <t xml:space="preserve">Energie Directe</t>
  </si>
  <si>
    <t xml:space="preserve">type</t>
  </si>
  <si>
    <t xml:space="preserve">unité d'entrée</t>
  </si>
  <si>
    <t xml:space="preserve">quantité consommée</t>
  </si>
  <si>
    <t xml:space="preserve">coefficient de conversion</t>
  </si>
  <si>
    <t xml:space="preserve">quantié consommée </t>
  </si>
  <si>
    <t xml:space="preserve">en EQF / unité</t>
  </si>
  <si>
    <t xml:space="preserve">EQF</t>
  </si>
  <si>
    <t xml:space="preserve">Attention: prendre en compte l'énergie consommé par les ETA si prestation de service sur l'exploitation</t>
  </si>
  <si>
    <t xml:space="preserve">Total consommation d'énergie directe</t>
  </si>
  <si>
    <t xml:space="preserve">Energie Indirecte</t>
  </si>
  <si>
    <t xml:space="preserve">quantité achetée</t>
  </si>
  <si>
    <t xml:space="preserve">quantié consommée indirectement</t>
  </si>
  <si>
    <t xml:space="preserve">Total intrants énergétiques (en EQF)</t>
  </si>
  <si>
    <t xml:space="preserve">Tourteaux de soja</t>
  </si>
  <si>
    <t xml:space="preserve">TMB</t>
  </si>
  <si>
    <t xml:space="preserve">Tourteaux de colza</t>
  </si>
  <si>
    <t xml:space="preserve">Céréales graines (référence blé)</t>
  </si>
  <si>
    <t xml:space="preserve">pulpes surpréssées</t>
  </si>
  <si>
    <t xml:space="preserve">TMS</t>
  </si>
  <si>
    <t xml:space="preserve">Consommation en énergie (EQF/ha)</t>
  </si>
  <si>
    <t xml:space="preserve">concentré du commerce</t>
  </si>
  <si>
    <t xml:space="preserve">T</t>
  </si>
  <si>
    <t xml:space="preserve">aliments porcs (blé,orge,TS)</t>
  </si>
  <si>
    <t xml:space="preserve">Aliment volaille</t>
  </si>
  <si>
    <t xml:space="preserve">luzerne deshydratée</t>
  </si>
  <si>
    <t xml:space="preserve">Fertilisation N (ref ammonitrate)</t>
  </si>
  <si>
    <t xml:space="preserve">pour 1 unité d'N</t>
  </si>
  <si>
    <t xml:space="preserve">Total consommation d'énergie indirecte =</t>
  </si>
  <si>
    <t xml:space="preserve">A12 CAP2 - Raisonner l'utilisation de l'eau</t>
  </si>
  <si>
    <t xml:space="preserve">pg 14-15</t>
  </si>
  <si>
    <t xml:space="preserve">Réduire les besoins</t>
  </si>
  <si>
    <r>
      <rPr>
        <u val="single"/>
        <sz val="12"/>
        <color rgb="FF000000"/>
        <rFont val="Times New Roman"/>
        <family val="1"/>
        <charset val="1"/>
      </rPr>
      <t xml:space="preserve">Exploitation sans élevage</t>
    </r>
    <r>
      <rPr>
        <b val="true"/>
        <sz val="12"/>
        <color rgb="FF000000"/>
        <rFont val="Times New Roman"/>
        <family val="1"/>
        <charset val="1"/>
      </rPr>
      <t xml:space="preserve"> </t>
    </r>
  </si>
  <si>
    <t xml:space="preserve">Type de cultures consommatrices d'eau :</t>
  </si>
  <si>
    <r>
      <rPr>
        <u val="single"/>
        <sz val="12"/>
        <color rgb="FF000000"/>
        <rFont val="Times New Roman"/>
        <family val="1"/>
        <charset val="1"/>
      </rPr>
      <t xml:space="preserve">Exploitation avec élevage</t>
    </r>
    <r>
      <rPr>
        <b val="true"/>
        <u val="single"/>
        <sz val="12"/>
        <color rgb="FF000000"/>
        <rFont val="Times New Roman"/>
        <family val="1"/>
        <charset val="1"/>
      </rPr>
      <t xml:space="preserve"> </t>
    </r>
    <r>
      <rPr>
        <u val="single"/>
        <sz val="12"/>
        <color rgb="FF000000"/>
        <rFont val="Times New Roman"/>
        <family val="1"/>
        <charset val="1"/>
      </rPr>
      <t xml:space="preserve">dominant</t>
    </r>
  </si>
  <si>
    <t xml:space="preserve">Système herbagé avec pâturage dominant :</t>
  </si>
  <si>
    <t xml:space="preserve">Mise en place de stratégies d'économie (pour les irrigants):</t>
  </si>
  <si>
    <t xml:space="preserve">Exemples: 
- Evitement (variété précoce, dates de semis précoce…) 
- Atténuation des besoins (réduction de la densité, paillage, BRF…)
- Rationnement (Irrigation en dessous de l’ETM)</t>
  </si>
  <si>
    <t xml:space="preserve">Réduire le gaspillage</t>
  </si>
  <si>
    <t xml:space="preserve">Optimiser l'usage par des dispositifs économes en eau</t>
  </si>
  <si>
    <t xml:space="preserve">Efficience du lavage des produits </t>
  </si>
  <si>
    <t xml:space="preserve">matériel spécialisé économe en eau</t>
  </si>
  <si>
    <t xml:space="preserve">Efficience du matériel d'irrigation :</t>
  </si>
  <si>
    <t xml:space="preserve">micro irrigation, goutte à goutte, pivot ou rampe frontale</t>
  </si>
  <si>
    <t xml:space="preserve">Efficience de l'abreuvement :</t>
  </si>
  <si>
    <t xml:space="preserve">dispositif économe en eau tels que arrêt-flotteurs</t>
  </si>
  <si>
    <t xml:space="preserve">Efficience du lavage des bâtiments et du matériel de l'exploitation :</t>
  </si>
  <si>
    <t xml:space="preserve">matérriel économe, lavage à haute préssion</t>
  </si>
  <si>
    <t xml:space="preserve">Recycler et réutiliser l'eau</t>
  </si>
  <si>
    <t xml:space="preserve">Récupération significative des eaux de pluie pour les besoins de l'exploitation, réutilisation des eaux de drainage pour l'irrigation en serre ou réutilisation des eaux de lavage pour d'autres usages :</t>
  </si>
  <si>
    <t xml:space="preserve">A13 CAP3 -Favoriser la fertilité des sols</t>
  </si>
  <si>
    <t xml:space="preserve">Gestion de la matière organique des sols</t>
  </si>
  <si>
    <t xml:space="preserve">% de la SAU</t>
  </si>
  <si>
    <t xml:space="preserve">Actions possibles : BRF, restitution des résidus de culture à la parcelle en majorité (pailles, sarments…), production de biomasse en interculture pour restitution, enherbement des cultures pérennes, système de culture sans labour systématique et  sous couvert permanent…</t>
  </si>
  <si>
    <t xml:space="preserve">Couverture permanente du sol (au moins 3 ans)</t>
  </si>
  <si>
    <t xml:space="preserve">CPS =</t>
  </si>
  <si>
    <t xml:space="preserve">Surface non travaillée durant l'année (semi direct) y compris les prairies</t>
  </si>
  <si>
    <t xml:space="preserve">NTS =</t>
  </si>
  <si>
    <t xml:space="preserve">Surface ne recevant PAS de produits phytosanitaires</t>
  </si>
  <si>
    <t xml:space="preserve">Lesquelles :</t>
  </si>
  <si>
    <t xml:space="preserve">Agroforesterie, couverture du sol, travail simplifié, sens d'implantation, terrasses, murets, haies, bandes enherbées, dispositifs aménagés d'abreuvement, mise en place de fascine et clayon, etc.</t>
  </si>
  <si>
    <t xml:space="preserve">A14 ROB5 - Maintenir l'efficacité de la protection sanitaire des cultures et des animaux</t>
  </si>
  <si>
    <t xml:space="preserve">pg 5-11</t>
  </si>
  <si>
    <t xml:space="preserve">Usage de produits phytosanitaires ou vétérinaires :</t>
  </si>
  <si>
    <t xml:space="preserve">Oui les 2</t>
  </si>
  <si>
    <t xml:space="preserve">Uniquement pour produits phytosanitaires</t>
  </si>
  <si>
    <t xml:space="preserve">Uniquement pour produits vétérinaires</t>
  </si>
  <si>
    <t xml:space="preserve">pg 5</t>
  </si>
  <si>
    <t xml:space="preserve">Mode d'action des familles chimiques :</t>
  </si>
  <si>
    <t xml:space="preserve">Alternance</t>
  </si>
  <si>
    <t xml:space="preserve">Raisonnement du traitement :</t>
  </si>
  <si>
    <t xml:space="preserve">Traitement au cas par cas</t>
  </si>
  <si>
    <t xml:space="preserve">Raisonnement du traitement</t>
  </si>
  <si>
    <t xml:space="preserve">Mode d’action famille chimique </t>
  </si>
  <si>
    <t xml:space="preserve">Traitements avec application systématique</t>
  </si>
  <si>
    <t xml:space="preserve">Traitement cas par cas (en fonction du problème constaté)</t>
  </si>
  <si>
    <t xml:space="preserve">Alternance familles chimiques </t>
  </si>
  <si>
    <t xml:space="preserve">Absence d’alternance</t>
  </si>
  <si>
    <t xml:space="preserve">A15 ROB6 - Sécuriser la disponibilité des moyens matériels de production</t>
  </si>
  <si>
    <t xml:space="preserve">pg 4-17</t>
  </si>
  <si>
    <t xml:space="preserve">Approvisionnement en semences, phytos, engrais, aliment (coopératives et négoces).
HORS RESSOURSES FOURRAGERES (voir item 3)</t>
  </si>
  <si>
    <t xml:space="preserve">Quelques gammes sont inaccessibles ou limitées. Les délais de livraison sont parfois un peu longs.  </t>
  </si>
  <si>
    <t xml:space="preserve">Diversité des méthodologies de collecte (individuel, collective, privée), pluralité des acteurs de collecte, problème de délais de collecte (attente de la disponibilité des acteurs)</t>
  </si>
  <si>
    <t xml:space="preserve">J’ai le choix entre de nombreuses options de collectes, les acteurs sont nombreux. Je n’ai jamais eu de problème de délais</t>
  </si>
  <si>
    <t xml:space="preserve">Seuls deux ou trois acteurs de collecte sont disponibles. J’ai déjà eu des problèmes de délais. </t>
  </si>
  <si>
    <t xml:space="preserve">Au moins une de mes productions n’est pas collectée. Le retard de collecte m’a déjà fait perdre une partie de ma production.</t>
  </si>
  <si>
    <t xml:space="preserve">Pour élevage ruminant uniquement </t>
  </si>
  <si>
    <t xml:space="preserve">Concerné par cet item</t>
  </si>
  <si>
    <r>
      <rPr>
        <sz val="11"/>
        <color rgb="FF000000"/>
        <rFont val="Times New Roman"/>
        <family val="1"/>
        <charset val="1"/>
      </rPr>
      <t xml:space="preserve">Quantité de Stock de Fourrages à la date de mise à l'herbe des animaux  </t>
    </r>
    <r>
      <rPr>
        <b val="true"/>
        <sz val="11"/>
        <color rgb="FF000000"/>
        <rFont val="Times New Roman"/>
        <family val="1"/>
        <charset val="1"/>
      </rPr>
      <t xml:space="preserve">QSF</t>
    </r>
    <r>
      <rPr>
        <sz val="11"/>
        <color rgb="FF000000"/>
        <rFont val="Times New Roman"/>
        <family val="1"/>
        <charset val="1"/>
      </rPr>
      <t xml:space="preserve"> :</t>
    </r>
  </si>
  <si>
    <t xml:space="preserve">en TMS</t>
  </si>
  <si>
    <t xml:space="preserve">Besoin du bétail/mois:</t>
  </si>
  <si>
    <t xml:space="preserve">tMS</t>
  </si>
  <si>
    <t xml:space="preserve">Mois de sécurité en stock fourager</t>
  </si>
  <si>
    <t xml:space="preserve">A16 RES5 - Réduire l'impact des pratiques sur la qualité de l'eau</t>
  </si>
  <si>
    <t xml:space="preserve">pg 15</t>
  </si>
  <si>
    <t xml:space="preserve">Résultat du bilan apparent :</t>
  </si>
  <si>
    <t xml:space="preserve">Chargement (UGB/ha) :</t>
  </si>
  <si>
    <t xml:space="preserve">IFT Herbicide :</t>
  </si>
  <si>
    <t xml:space="preserve">Mise en place d'actions pour limiter les transferts :</t>
  </si>
  <si>
    <t xml:space="preserve">Enherbement des cultures pérennes, dispositif de remédiation (bassin "de décantation" avant rejet dans le milieu), protection par enherbement des zones de transfert rapide (au-delà des obligations BCAE), semis sous couvert permanent sans destruction chimique</t>
  </si>
  <si>
    <t xml:space="preserve">Surface en culture à forte capacité d'absorption d'azote pendant le drainage à l'automne :</t>
  </si>
  <si>
    <t xml:space="preserve">En proportion de la SAU :</t>
  </si>
  <si>
    <t xml:space="preserve">Comprend:
</t>
  </si>
  <si>
    <t xml:space="preserve">les CIPAN implantés au plus 3 semaines après les récoltes d'été (au 15 septembre max), durant au moins 3 mois ;</t>
  </si>
  <si>
    <t xml:space="preserve">les cultures de vente pièges à nitrates (notamment les crucifères et le colza) ;</t>
  </si>
  <si>
    <t xml:space="preserve">les PT de plus de 1 an qui ne seront pas retournées dans l'année ;</t>
  </si>
  <si>
    <t xml:space="preserve">les PP ;</t>
  </si>
  <si>
    <t xml:space="preserve">les surfaces enherbées en culture pérenne ;</t>
  </si>
  <si>
    <t xml:space="preserve">les cultures légumières d'automne de plein champs à forte absorption d'azote (choux, poireaux, épinards, betteraves, céleris, salades d'hivers)</t>
  </si>
  <si>
    <t xml:space="preserve">A17 RES6 - Réduire l'impact des pratiques sur la qualité de l'air</t>
  </si>
  <si>
    <t xml:space="preserve">pg 11-13-14</t>
  </si>
  <si>
    <t xml:space="preserve">Nombre de passages d'engins émetteurs de particules primaires et de gaz précurseurs de particules secondaires sur la culture principale :</t>
  </si>
  <si>
    <t xml:space="preserve">pg 13-14</t>
  </si>
  <si>
    <t xml:space="preserve">Travail du sol, récolte de tubercules, moissons, enfouissement de résidus, épandage d'engrais uréique, azoté ou de lisier…</t>
  </si>
  <si>
    <t xml:space="preserve">Nombres de pratiques de réduction des émissions de particules primaires et de gaz précurseurs de particules secondaires :</t>
  </si>
  <si>
    <t xml:space="preserve">Exemples de pratiques: couverture des fosses, filtration de l’air, lavage de l'air, pendillards, injection , enfouissement, séchage des fientes,</t>
  </si>
  <si>
    <t xml:space="preserve">activateur de litière, haie brise vent, limitation/mutualisation des transports, matériel de chauffage et de réfrégiration économe, </t>
  </si>
  <si>
    <t xml:space="preserve">méthanisation avec récupération des gaz fermentiscibles…</t>
  </si>
  <si>
    <t xml:space="preserve">IFT exploitation (Rappel)</t>
  </si>
  <si>
    <t xml:space="preserve">Pression d’usage de pesticides</t>
  </si>
  <si>
    <t xml:space="preserve">IFT ≤ 1</t>
  </si>
  <si>
    <t xml:space="preserve">1 &lt; IFT ≤ 4</t>
  </si>
  <si>
    <t xml:space="preserve">4 &lt; IFT</t>
  </si>
  <si>
    <t xml:space="preserve">Matériel 
anti-dérive</t>
  </si>
  <si>
    <t xml:space="preserve">Aucun traitement </t>
  </si>
  <si>
    <t xml:space="preserve">A18 RES7 - Réduire l'impact des pratiques sur le changement climatique</t>
  </si>
  <si>
    <t xml:space="preserve">pg 2-14</t>
  </si>
  <si>
    <t xml:space="preserve">Postes</t>
  </si>
  <si>
    <t xml:space="preserve">Valeur de l’exploitation</t>
  </si>
  <si>
    <t xml:space="preserve">Unité</t>
  </si>
  <si>
    <t xml:space="preserve">Référence en kg équivalent CO2</t>
  </si>
  <si>
    <t xml:space="preserve">Total exploitation</t>
  </si>
  <si>
    <r>
      <rPr>
        <b val="true"/>
        <sz val="10"/>
        <rFont val="Times New Roman"/>
        <family val="1"/>
        <charset val="1"/>
      </rPr>
      <t xml:space="preserve">CO</t>
    </r>
    <r>
      <rPr>
        <b val="true"/>
        <vertAlign val="subscript"/>
        <sz val="10"/>
        <rFont val="Times New Roman"/>
        <family val="1"/>
        <charset val="1"/>
      </rPr>
      <t xml:space="preserve">2</t>
    </r>
  </si>
  <si>
    <t xml:space="preserve">Gasoil, essence, fioul</t>
  </si>
  <si>
    <t xml:space="preserve">Electricité</t>
  </si>
  <si>
    <t xml:space="preserve"> KWh</t>
  </si>
  <si>
    <t xml:space="preserve">Gaz</t>
  </si>
  <si>
    <t xml:space="preserve"> m3</t>
  </si>
  <si>
    <t xml:space="preserve">N minéral épandu</t>
  </si>
  <si>
    <t xml:space="preserve">kg éléments fertilisants</t>
  </si>
  <si>
    <t xml:space="preserve">Concentrés achetés</t>
  </si>
  <si>
    <r>
      <rPr>
        <b val="true"/>
        <sz val="10"/>
        <rFont val="Times New Roman"/>
        <family val="1"/>
        <charset val="1"/>
      </rPr>
      <t xml:space="preserve">CH</t>
    </r>
    <r>
      <rPr>
        <b val="true"/>
        <vertAlign val="subscript"/>
        <sz val="10"/>
        <rFont val="Times New Roman"/>
        <family val="1"/>
        <charset val="1"/>
      </rPr>
      <t xml:space="preserve">4</t>
    </r>
  </si>
  <si>
    <t xml:space="preserve">Entérique</t>
  </si>
  <si>
    <t xml:space="preserve">UGB Ruminant</t>
  </si>
  <si>
    <t xml:space="preserve">Effluents (bat, stock)</t>
  </si>
  <si>
    <t xml:space="preserve">UGB totaux</t>
  </si>
  <si>
    <t xml:space="preserve">Mois de présence au batiment</t>
  </si>
  <si>
    <t xml:space="preserve">Pâturage</t>
  </si>
  <si>
    <t xml:space="preserve">Mois de présence en paturage</t>
  </si>
  <si>
    <r>
      <rPr>
        <b val="true"/>
        <sz val="10"/>
        <rFont val="Times New Roman"/>
        <family val="1"/>
        <charset val="1"/>
      </rPr>
      <t xml:space="preserve">N</t>
    </r>
    <r>
      <rPr>
        <b val="true"/>
        <vertAlign val="subscript"/>
        <sz val="10"/>
        <rFont val="Times New Roman"/>
        <family val="1"/>
        <charset val="1"/>
      </rPr>
      <t xml:space="preserve">2</t>
    </r>
    <r>
      <rPr>
        <b val="true"/>
        <sz val="10"/>
        <rFont val="Times New Roman"/>
        <family val="1"/>
        <charset val="1"/>
      </rPr>
      <t xml:space="preserve">O</t>
    </r>
  </si>
  <si>
    <t xml:space="preserve">Effluents (bat, stock, ép)</t>
  </si>
  <si>
    <t xml:space="preserve">kg de N</t>
  </si>
  <si>
    <t xml:space="preserve">EB : Emissions brutes (en kg éq CO2) =</t>
  </si>
  <si>
    <t xml:space="preserve">Stockage de carbone</t>
  </si>
  <si>
    <t xml:space="preserve">Prairies permanentes (STH)</t>
  </si>
  <si>
    <t xml:space="preserve">Haies</t>
  </si>
  <si>
    <t xml:space="preserve">mètres linéaires</t>
  </si>
  <si>
    <t xml:space="preserve">Agroforesterie</t>
  </si>
  <si>
    <t xml:space="preserve">100 arbres moyens</t>
  </si>
  <si>
    <t xml:space="preserve"> S : Stockage de carbone (en kg éq CO2) =</t>
  </si>
  <si>
    <t xml:space="preserve">Emissions nettes (en T eq. CO2 / an)</t>
  </si>
  <si>
    <t xml:space="preserve">T eq. CO2 / an</t>
  </si>
  <si>
    <t xml:space="preserve">A19 RES8 - Réduire l'usage des produits phytosanitaires et des traitements vétérinaires</t>
  </si>
  <si>
    <t xml:space="preserve">pg 5-11-12</t>
  </si>
  <si>
    <t xml:space="preserve">Sobriété dans l'utilisation des produits phytosanitaires 
(calcul de l'IFT global simplifié - remplir le tableau suivant - une ligne par traitement - hors produit de biocontrole (sauf soufre))</t>
  </si>
  <si>
    <t xml:space="preserve">pg 11-12</t>
  </si>
  <si>
    <t xml:space="preserve">dose utilisée à l'ha</t>
  </si>
  <si>
    <t xml:space="preserve">surface de la parcelle</t>
  </si>
  <si>
    <t xml:space="preserve">IFT traitement</t>
  </si>
  <si>
    <t xml:space="preserve">BLE TENDRE</t>
  </si>
  <si>
    <t xml:space="preserve">Herbicide (H)</t>
  </si>
  <si>
    <t xml:space="preserve">Fongicide (F)</t>
  </si>
  <si>
    <t xml:space="preserve">MAIS FOURRAGE</t>
  </si>
  <si>
    <t xml:space="preserve">MELANGE CEREALES</t>
  </si>
  <si>
    <t xml:space="preserve">TRITICALE</t>
  </si>
  <si>
    <t xml:space="preserve">IFT global de l'exploitation : </t>
  </si>
  <si>
    <t xml:space="preserve">IFT herbicide de l'exploitation :</t>
  </si>
  <si>
    <t xml:space="preserve">Utilisation de produits de type CMR ou perturbateurs endocriniens :</t>
  </si>
  <si>
    <t xml:space="preserve">CMR : Cancérogènes, Mutagènes, Reprotoxiques</t>
  </si>
  <si>
    <t xml:space="preserve">L'exploitation a recours à des pratiques alternatives pour gérer les adventices, pathogènes et/ou ravageurs :</t>
  </si>
  <si>
    <t xml:space="preserve">Sobriété dans l'utilisation des traitements vétérinaires</t>
  </si>
  <si>
    <t xml:space="preserve">Ne pas remplir si pas d'élevage.</t>
  </si>
  <si>
    <t xml:space="preserve">Nombre de traitements vétérinaires annuels : </t>
  </si>
  <si>
    <t xml:space="preserve">Nombre de traitements vétérinaires moyen :</t>
  </si>
  <si>
    <t xml:space="preserve">Traitements homéopathiques ou par essences naturelles, implantation de plante deparasitaires :</t>
  </si>
  <si>
    <t xml:space="preserve">Absence de délais avant retour des animaux dans les parcelles :</t>
  </si>
  <si>
    <t xml:space="preserve">Utilisation d'antibiotique critique :</t>
  </si>
  <si>
    <t xml:space="preserve">III - Données socio-territoriales</t>
  </si>
  <si>
    <t xml:space="preserve">B1 CAP4 RES9- Production alimentaire de l'exploitation</t>
  </si>
  <si>
    <t xml:space="preserve">Surface consacrée à l'alimentation humaine et animale :</t>
  </si>
  <si>
    <t xml:space="preserve">Part de la SAU consacrée à l'alimentation Humaine:             PAE =</t>
  </si>
  <si>
    <t xml:space="preserve">Production de légumes secs sur l'exploitation ou de fruits et légumes destinées à la vente et à la consommation humaine :</t>
  </si>
  <si>
    <t xml:space="preserve">Présence d'ateliers de production animale hors sol :</t>
  </si>
  <si>
    <t xml:space="preserve">B2 RES10 - Contribution à l'équilibre alimentaire mondial</t>
  </si>
  <si>
    <t xml:space="preserve">pg 4-6-7</t>
  </si>
  <si>
    <t xml:space="preserve">En présence d'élevage uniquement :</t>
  </si>
  <si>
    <t xml:space="preserve">Aliment du bétail concentré acheté hors projet territorial collectif :</t>
  </si>
  <si>
    <t xml:space="preserve">Taux d'importation:                  TI =</t>
  </si>
  <si>
    <t xml:space="preserve">Surface importée:</t>
  </si>
  <si>
    <t xml:space="preserve">En absence d'élevage uniquement :</t>
  </si>
  <si>
    <r>
      <rPr>
        <b val="true"/>
        <sz val="11"/>
        <rFont val="Times New Roman"/>
        <family val="1"/>
        <charset val="1"/>
      </rPr>
      <t xml:space="preserve">Surface avec p</t>
    </r>
    <r>
      <rPr>
        <b val="true"/>
        <sz val="11"/>
        <color rgb="FF000000"/>
        <rFont val="Times New Roman"/>
        <family val="1"/>
        <charset val="1"/>
      </rPr>
      <t xml:space="preserve">roduction de plantes riches en protéines :</t>
    </r>
  </si>
  <si>
    <t xml:space="preserve">Part de la SAU consacrée à la production de protéines               Pprot =</t>
  </si>
  <si>
    <t xml:space="preserve">Plantes riches en protéines : soja, tournesol, colza, protéagineux fourragers (luzene) ou alimentaires (pois, féverole, lupin), légumes secs (haricot, lentille, pois chiche)</t>
  </si>
  <si>
    <t xml:space="preserve">B3 ANC1 CAP5 - Qualité de la production</t>
  </si>
  <si>
    <t xml:space="preserve">Production à la qualité alimentaire reconnue / certifiée</t>
  </si>
  <si>
    <t xml:space="preserve">de par son originie par une IGP :</t>
  </si>
  <si>
    <t xml:space="preserve">Laquelle ?</t>
  </si>
  <si>
    <t xml:space="preserve">de par son origine par une AOP ou AOC : </t>
  </si>
  <si>
    <t xml:space="preserve">de par son process (label rouge et autres normes STG) :</t>
  </si>
  <si>
    <t xml:space="preserve">de par sa qualité nutritionnelle (lait de système herbager, alimentation à base de lin…) :</t>
  </si>
  <si>
    <t xml:space="preserve">B4 RES11 - Pertes et gaspillages</t>
  </si>
  <si>
    <t xml:space="preserve">pg 18</t>
  </si>
  <si>
    <t xml:space="preserve">Participation à un programme de prévention, de formation contre le gaspillage :</t>
  </si>
  <si>
    <t xml:space="preserve">NC</t>
  </si>
  <si>
    <t xml:space="preserve">Présence d'une capacité de stockage adaptée et de qualité sur l'exploitation :</t>
  </si>
  <si>
    <r>
      <rPr>
        <sz val="11"/>
        <color rgb="FF333333"/>
        <rFont val="Times New Roman"/>
        <family val="1"/>
        <charset val="1"/>
      </rPr>
      <t xml:space="preserve">Développement d'action sociale pour limiter les pertes de produits restés au champ (toutes formes de glanage associatif ou d’ateliers</t>
    </r>
    <r>
      <rPr>
        <sz val="11"/>
        <color rgb="FF0000FF"/>
        <rFont val="Times New Roman"/>
        <family val="1"/>
        <charset val="1"/>
      </rPr>
      <t xml:space="preserve"> </t>
    </r>
    <r>
      <rPr>
        <sz val="11"/>
        <color rgb="FF000000"/>
        <rFont val="Times New Roman"/>
        <family val="1"/>
        <charset val="1"/>
      </rPr>
      <t xml:space="preserve">cueillette à la ferme</t>
    </r>
    <r>
      <rPr>
        <sz val="11"/>
        <color rgb="FF333333"/>
        <rFont val="Times New Roman"/>
        <family val="1"/>
        <charset val="1"/>
      </rPr>
      <t xml:space="preserve">) :</t>
    </r>
  </si>
  <si>
    <t xml:space="preserve">Dons à des associations d’aide alimentaire (banque alimentaire, associations, épiceries solidaires, etc.) :</t>
  </si>
  <si>
    <t xml:space="preserve">Dons ou trocs/échanges de produits autre qu'aux associations (particulier, …) :</t>
  </si>
  <si>
    <t xml:space="preserve">Valorisation alimentaire des produits non conformes aux standards des distributeurs ou des transformateurs, ou commercialisation sans marché rémunérateur, ou adhésion à des groupements de producteurs ou de coopératives valorisant ces types de produits :</t>
  </si>
  <si>
    <t xml:space="preserve">Transformation et valorisation à destination alimentaire de tout produit qui aurait été écarté, y compris co- et sous-produits (sous toutes leurs formes) :</t>
  </si>
  <si>
    <t xml:space="preserve">Autres / Lesquelles :</t>
  </si>
  <si>
    <t xml:space="preserve">B5 RES12 - Liens sociaux, hédoniques et culturels à l'alimentation</t>
  </si>
  <si>
    <t xml:space="preserve">pg 19</t>
  </si>
  <si>
    <t xml:space="preserve">Démarches favorisant le lien ou l'entre-aide entre le consommateur et le producteur :</t>
  </si>
  <si>
    <t xml:space="preserve">oui </t>
  </si>
  <si>
    <t xml:space="preserve">Ouverture de l'exploitation aux consommateurs pour vente ou visite, contractualisation entre consommateurs et producteur (ex: AMAP), participation à des journées sur la découverte des produits alimentaires, tables d'hôtes, restauration à la ferme, commerce équitable…</t>
  </si>
  <si>
    <t xml:space="preserve">Production significative de variétés d'aliments à forte valeur patrimoniale territoriale ou peu représentées en commercialisation courante :</t>
  </si>
  <si>
    <t xml:space="preserve">B6 ANC2 -  Engagement dans des démarches environnementales contractualisées et territoriales</t>
  </si>
  <si>
    <t xml:space="preserve">pg 17-18</t>
  </si>
  <si>
    <t xml:space="preserve">Oui sur plus de 50% de la SAU</t>
  </si>
  <si>
    <t xml:space="preserve">Part de la SAU sous respect d’un cahier des charges territorialisé, lié ou non à un dédomagement :
-MAET
-MAEC système
-Contrat lié au document d'objectif des sites Natura 2000
-Préservation des captages
-Conventions avec des Parcs Naturels Régionaux, Réserves Naturelles, ou des Conservatoires de Sites
-Tout autre engagement de respect d'un cahier des charges précis dans des objectifs environnementaux et/ou patrimoniaux</t>
  </si>
  <si>
    <t xml:space="preserve">B7 ANC3 - Services marchands au territoire</t>
  </si>
  <si>
    <t xml:space="preserve">Services marchands :</t>
  </si>
  <si>
    <t xml:space="preserve">Le(s)quel(s) ? </t>
  </si>
  <si>
    <t xml:space="preserve">Déneigement , débroussaillage</t>
  </si>
  <si>
    <t xml:space="preserve">B8 ANC4 AUT4 - Valorisation par filières courtes ou de proximité</t>
  </si>
  <si>
    <t xml:space="preserve">pg 25</t>
  </si>
  <si>
    <t xml:space="preserve">€</t>
  </si>
  <si>
    <t xml:space="preserve">Part du CA en vente directe ou circuit court :</t>
  </si>
  <si>
    <t xml:space="preserve">Détail(s)</t>
  </si>
  <si>
    <t xml:space="preserve">Boucheries locales</t>
  </si>
  <si>
    <t xml:space="preserve">B9 ANC5 - Valorisation des ressources locales</t>
  </si>
  <si>
    <t xml:space="preserve">pg 3-4-9-11-14-15-17-18</t>
  </si>
  <si>
    <t xml:space="preserve">Approvisionnements locaux auprès de la communauté agricole</t>
  </si>
  <si>
    <t xml:space="preserve">Part de l'alimentation du bétail consommé produit localement :</t>
  </si>
  <si>
    <t xml:space="preserve">Part de l'engrais organique consommé produit localement :</t>
  </si>
  <si>
    <t xml:space="preserve">Achat d'animaux sur le territoire local :</t>
  </si>
  <si>
    <t xml:space="preserve">Récupération/Valorisation d'eau de pluie :</t>
  </si>
  <si>
    <t xml:space="preserve">Approvisionnements locaux auprès des entreprises</t>
  </si>
  <si>
    <t xml:space="preserve">pg 14-17</t>
  </si>
  <si>
    <t xml:space="preserve">Utilisation d’énergie d’origine agricole ou forestière produite sur le territoire local :</t>
  </si>
  <si>
    <t xml:space="preserve">Approvisionnements locaux pour la production d’énergie sur l’exploitation (méthanisation, chaudière bois, …)</t>
  </si>
  <si>
    <t xml:space="preserve">Approvisionnements en matériaux produits localement (bois d’œuvre, piquet de vigne, …)</t>
  </si>
  <si>
    <t xml:space="preserve">Autres approvisionnements significatifs en produits locaux (emballage, bouteille, …)</t>
  </si>
  <si>
    <t xml:space="preserve">Valorisation de sous-produits issus de la communauté locale</t>
  </si>
  <si>
    <t xml:space="preserve">pg 15-18</t>
  </si>
  <si>
    <t xml:space="preserve">B10 ANC6 - Valorisation et qualité du patrimoine bâti, paysage et savoir locaux et ressources naturelles</t>
  </si>
  <si>
    <t xml:space="preserve">pg 5-11-19</t>
  </si>
  <si>
    <t xml:space="preserve">Qualité du patrimoine bâti (y compris habitation si présente sur la ferme): </t>
  </si>
  <si>
    <t xml:space="preserve">Aménagement paysager des surfaces cultivées et lisières et forêts de l’exploitation :</t>
  </si>
  <si>
    <t xml:space="preserve">Qualité et typicité architecturale et intégration paysagère :</t>
  </si>
  <si>
    <t xml:space="preserve">non </t>
  </si>
  <si>
    <t xml:space="preserve">Mise en œuvre d’actions visant à valoriser le paysage (concours fermes fleuries, jachères fleuries, engagement chartes paysagères locales) :</t>
  </si>
  <si>
    <t xml:space="preserve">Contribution par les pratiques culturales ou d’élevage, à la valorisation et à l’entretien du paysage culturel :</t>
  </si>
  <si>
    <t xml:space="preserve">Qualité des abords du siège d’exploitation :</t>
  </si>
  <si>
    <t xml:space="preserve">Comment se fait cette contribution?</t>
  </si>
  <si>
    <t xml:space="preserve">Maintien et/ou développement du patrimoine naturel génétique local:   </t>
  </si>
  <si>
    <r>
      <rPr>
        <sz val="11"/>
        <color rgb="FF000000"/>
        <rFont val="Times New Roman"/>
        <family val="1"/>
        <charset val="1"/>
      </rPr>
      <t xml:space="preserve">Présence de races/variétés/cépages </t>
    </r>
    <r>
      <rPr>
        <b val="true"/>
        <sz val="11"/>
        <color rgb="FF000000"/>
        <rFont val="Times New Roman"/>
        <family val="1"/>
        <charset val="1"/>
      </rPr>
      <t xml:space="preserve">locaux</t>
    </r>
    <r>
      <rPr>
        <sz val="11"/>
        <color rgb="FF000000"/>
        <rFont val="Times New Roman"/>
        <family val="1"/>
        <charset val="1"/>
      </rPr>
      <t xml:space="preserve"> à faibles effectifs rentrant dans l’acte de production</t>
    </r>
  </si>
  <si>
    <t xml:space="preserve">Si cultures, noms des variétés :</t>
  </si>
  <si>
    <t xml:space="preserve">Si animaux, races des animaux :</t>
  </si>
  <si>
    <t xml:space="preserve">B11 RES13 - Accessibilité de l'espace</t>
  </si>
  <si>
    <t xml:space="preserve">B12 RES14 - Gestion des déchets non organiques</t>
  </si>
  <si>
    <t xml:space="preserve">tri ou recyclage</t>
  </si>
  <si>
    <t xml:space="preserve">Résultat du tableau</t>
  </si>
  <si>
    <t xml:space="preserve">Autres 
(ampoules, tubes néons, ampoules infrarouges, à vapeur de sodium…)</t>
  </si>
  <si>
    <t xml:space="preserve">autre (pas de tri, brulage)</t>
  </si>
  <si>
    <t xml:space="preserve">Pratiques à risques :</t>
  </si>
  <si>
    <t xml:space="preserve">B13 AUT5 CAP6 ROB7 - Réseaux d'innovation et mutualisation du matériel</t>
  </si>
  <si>
    <t xml:space="preserve">pg 17-19</t>
  </si>
  <si>
    <t xml:space="preserve">gourpe d'angraissement (reunion 4 fois /an) ; groupe avec la chambre d'agri</t>
  </si>
  <si>
    <t xml:space="preserve">B14 ANC7 CAP7 RES15 - Contribution à l'emploi et gestion du salariat</t>
  </si>
  <si>
    <t xml:space="preserve">pg 20</t>
  </si>
  <si>
    <t xml:space="preserve">Intensité du travail (SAU/UTH) =</t>
  </si>
  <si>
    <t xml:space="preserve">Plus de 50% de la main d’œuvre saisonnière réside de façon permanente sur le territoire</t>
  </si>
  <si>
    <t xml:space="preserve">Territoire = dans un rayon de 50 km</t>
  </si>
  <si>
    <t xml:space="preserve">Nature des tâches :</t>
  </si>
  <si>
    <t xml:space="preserve">B15 ANC8 AUT6 CAP8 ROB8 - Mutualisation du travail</t>
  </si>
  <si>
    <t xml:space="preserve">pg 17-20</t>
  </si>
  <si>
    <t xml:space="preserve">Travail collectif :</t>
  </si>
  <si>
    <t xml:space="preserve">Projets productifs en commun :</t>
  </si>
  <si>
    <t xml:space="preserve">Lesquels?</t>
  </si>
  <si>
    <t xml:space="preserve">méthanisation</t>
  </si>
  <si>
    <t xml:space="preserve">B16 CAP9 RES16 ROB9 - Intensité et qualité au travail</t>
  </si>
  <si>
    <t xml:space="preserve">0 = très insatisfait ; 4 = très satisfait</t>
  </si>
  <si>
    <t xml:space="preserve">Nombre de semaines par an où l'agriculteur se sent surchargé :</t>
  </si>
  <si>
    <t xml:space="preserve">Estimez-vous nécessaire de prendre des congés ?</t>
  </si>
  <si>
    <t xml:space="preserve">En prenez-vous ?</t>
  </si>
  <si>
    <t xml:space="preserve">Pénibilité du travail sur une échelle de 0 à -4 (très pénible)</t>
  </si>
  <si>
    <t xml:space="preserve">0 = aucune pénibilité ; - 4 = très pénible</t>
  </si>
  <si>
    <t xml:space="preserve">B17 RES17- Accueil, hygiène et sécurité</t>
  </si>
  <si>
    <t xml:space="preserve">pg 20-21</t>
  </si>
  <si>
    <t xml:space="preserve">Auto-évaluation de la qualité d'accueil et d'hébergement de la main-d'œuvre temporaire/stagiaires :</t>
  </si>
  <si>
    <t xml:space="preserve">0 = insatisfaisant ; 2 = satisfaisant</t>
  </si>
  <si>
    <t xml:space="preserve">Pratiques exposants les individus aux produits phytosanitaires :</t>
  </si>
  <si>
    <t xml:space="preserve">B18 AUT7 CAP10 ROB10 - Formation</t>
  </si>
  <si>
    <t xml:space="preserve">pg 19-20</t>
  </si>
  <si>
    <t xml:space="preserve">B19 ANC9 RES18 - Implication sociale territoriale et solidarités</t>
  </si>
  <si>
    <t xml:space="preserve">pg 21-23</t>
  </si>
  <si>
    <t xml:space="preserve">Implication dans des structures professionnelles agricoles :</t>
  </si>
  <si>
    <t xml:space="preserve">Oui, en tant que responsable</t>
  </si>
  <si>
    <t xml:space="preserve">président d'une CUMA de 40 adhérents</t>
  </si>
  <si>
    <t xml:space="preserve">pg 21</t>
  </si>
  <si>
    <t xml:space="preserve">Implication dans des structures non agricoles (associatives et/ou électives) hors champ professionnel dans le territoire :</t>
  </si>
  <si>
    <t xml:space="preserve">Oui, en tant que simple adhérent</t>
  </si>
  <si>
    <t xml:space="preserve">chasse et randonnées</t>
  </si>
  <si>
    <r>
      <rPr>
        <b val="true"/>
        <sz val="11"/>
        <color rgb="FF000000"/>
        <rFont val="Times New Roman"/>
        <family val="1"/>
        <charset val="1"/>
      </rPr>
      <t xml:space="preserve">Travail</t>
    </r>
    <r>
      <rPr>
        <b val="true"/>
        <sz val="10"/>
        <color rgb="FF333333"/>
        <rFont val="Times New Roman"/>
        <family val="1"/>
        <charset val="1"/>
      </rPr>
      <t xml:space="preserve"> </t>
    </r>
    <r>
      <rPr>
        <b val="true"/>
        <sz val="11"/>
        <color rgb="FF333333"/>
        <rFont val="Times New Roman"/>
        <family val="1"/>
        <charset val="1"/>
      </rPr>
      <t xml:space="preserve">avec des structures relevant du champ de l'économie sociale et solidaire et pratiques d’insertion et/ou d’expérimentation sociale : </t>
    </r>
  </si>
  <si>
    <t xml:space="preserve">Si non, raisons? (impossibilité réglementaire, difficultés familiales…)</t>
  </si>
  <si>
    <t xml:space="preserve">Habitation très éloignée des lieux de production (&gt;20km) : </t>
  </si>
  <si>
    <t xml:space="preserve">pg 23</t>
  </si>
  <si>
    <t xml:space="preserve">B20 RES19 - Démarche de transparence</t>
  </si>
  <si>
    <t xml:space="preserve">oui démarche non certifiée</t>
  </si>
  <si>
    <t xml:space="preserve">interview par la chambre d'agriculture</t>
  </si>
  <si>
    <t xml:space="preserve">B21 RES20 - Qualité de vie</t>
  </si>
  <si>
    <t xml:space="preserve">B22 ROB11 - Isolement</t>
  </si>
  <si>
    <r>
      <rPr>
        <b val="true"/>
        <sz val="11"/>
        <color rgb="FF000000"/>
        <rFont val="Times New Roman"/>
        <family val="1"/>
        <charset val="1"/>
      </rPr>
      <t xml:space="preserve">Auto-estimation de</t>
    </r>
    <r>
      <rPr>
        <b val="true"/>
        <sz val="11"/>
        <color rgb="FFFF8080"/>
        <rFont val="Times New Roman"/>
        <family val="1"/>
        <charset val="1"/>
      </rPr>
      <t xml:space="preserve"> 0 à 3</t>
    </r>
    <r>
      <rPr>
        <b val="true"/>
        <i val="true"/>
        <sz val="11"/>
        <color rgb="FFFF8080"/>
        <rFont val="Times New Roman"/>
        <family val="1"/>
        <charset val="1"/>
      </rPr>
      <t xml:space="preserve"> </t>
    </r>
    <r>
      <rPr>
        <b val="true"/>
        <sz val="11"/>
        <color rgb="FF000000"/>
        <rFont val="Times New Roman"/>
        <family val="1"/>
        <charset val="1"/>
      </rPr>
      <t xml:space="preserve">du</t>
    </r>
    <r>
      <rPr>
        <b val="true"/>
        <i val="true"/>
        <sz val="11"/>
        <color rgb="FF000000"/>
        <rFont val="Times New Roman"/>
        <family val="1"/>
        <charset val="1"/>
      </rPr>
      <t xml:space="preserve"> </t>
    </r>
    <r>
      <rPr>
        <b val="true"/>
        <sz val="11"/>
        <color rgb="FF000000"/>
        <rFont val="Times New Roman"/>
        <family val="1"/>
        <charset val="1"/>
      </rPr>
      <t xml:space="preserve">sentiment d'isolement géographique, social, culturel, accès aux services publics :</t>
    </r>
  </si>
  <si>
    <t xml:space="preserve">0 = très fort sentiment d'isolement ; 3 = aucun sentiment d'isolement</t>
  </si>
  <si>
    <r>
      <rPr>
        <b val="true"/>
        <sz val="11"/>
        <color rgb="FF000000"/>
        <rFont val="Times New Roman"/>
        <family val="1"/>
        <charset val="1"/>
      </rPr>
      <t xml:space="preserve">Auto-estimation de</t>
    </r>
    <r>
      <rPr>
        <b val="true"/>
        <sz val="11"/>
        <color rgb="FFFF8080"/>
        <rFont val="Times New Roman"/>
        <family val="1"/>
        <charset val="1"/>
      </rPr>
      <t xml:space="preserve"> 0 à 3</t>
    </r>
    <r>
      <rPr>
        <b val="true"/>
        <i val="true"/>
        <sz val="11"/>
        <color rgb="FFFF8080"/>
        <rFont val="Times New Roman"/>
        <family val="1"/>
        <charset val="1"/>
      </rPr>
      <t xml:space="preserve"> </t>
    </r>
    <r>
      <rPr>
        <b val="true"/>
        <sz val="11"/>
        <color rgb="FF000000"/>
        <rFont val="Times New Roman"/>
        <family val="1"/>
        <charset val="1"/>
      </rPr>
      <t xml:space="preserve">de la qualité d'accès aux services productifs de l'exploitation :</t>
    </r>
  </si>
  <si>
    <t xml:space="preserve">0 = très mauvais accès ; 3 = très bon accès</t>
  </si>
  <si>
    <t xml:space="preserve">B23 RES21 - Bien-être animal</t>
  </si>
  <si>
    <t xml:space="preserve">pg 5-16</t>
  </si>
  <si>
    <t xml:space="preserve">Bien être des animaux d'élevage</t>
  </si>
  <si>
    <t xml:space="preserve">Bon état général du troupeau (absence de boiterie, blessures,….)</t>
  </si>
  <si>
    <t xml:space="preserve">Confort dans les bâtiments d’élevage (paillage suffisant, animaux propres, aire d'exercice non-glissant, …) et au champ (ombrage, abris,…).</t>
  </si>
  <si>
    <t xml:space="preserve">Utilisation d'outils de monitoring pour mise bas</t>
  </si>
  <si>
    <t xml:space="preserve">Conditions de transports (et abattage) respectant les obligations légales</t>
  </si>
  <si>
    <t xml:space="preserve">Fort engagement dans le métier / relation de l’éleveur à l’animal développée</t>
  </si>
  <si>
    <t xml:space="preserve">Pratiques rédhibitoires</t>
  </si>
  <si>
    <t xml:space="preserve"> Zéro-pâturage</t>
  </si>
  <si>
    <t xml:space="preserve">Remarques</t>
  </si>
  <si>
    <t xml:space="preserve">Prise en compte de la faune sauvage</t>
  </si>
  <si>
    <t xml:space="preserve">Maintien d'habitats dans les parcelles (retard de la fauche après le 15 juillet, maintien des chaumes d'environ 20 cm et/ou de bandes refuges non-récoltées)</t>
  </si>
  <si>
    <t xml:space="preserve">Utilisation de repulsifs (non toxiques), d'effaroucheurs sonores ou visuels comme mesure de préventionnon-létale</t>
  </si>
  <si>
    <t xml:space="preserve">IV - Les données économiques de l'exploitation</t>
  </si>
  <si>
    <t xml:space="preserve">Compte de résultat : CHARGES </t>
  </si>
  <si>
    <t xml:space="preserve">pg 22</t>
  </si>
  <si>
    <t xml:space="preserve">Valeur en euros</t>
  </si>
  <si>
    <t xml:space="preserve">Consommation intermédiares pour C10 (CI)</t>
  </si>
  <si>
    <r>
      <rPr>
        <u val="single"/>
        <sz val="11"/>
        <rFont val="Arial"/>
        <family val="2"/>
        <charset val="1"/>
      </rPr>
      <t xml:space="preserve">Liste des consommations prises en compte (les données en gras sont spécifiques à cet indicateur) :
</t>
    </r>
    <r>
      <rPr>
        <sz val="11"/>
        <rFont val="Arial"/>
        <family val="2"/>
        <charset val="1"/>
      </rPr>
      <t xml:space="preserve">Les charges réelles d’approvisionnement (semences, engrais, amendements, produits phytosanitaires, produits vétérinaires, aliments grossiers achetés, aliments concentrés achetés, carburants et lubrifiants, combustibles) autres fournitures stockées; 
L’eau, le gaz, l’électricité, l'eau d’irrigation; Les fournitures non stockées; 
</t>
    </r>
    <r>
      <rPr>
        <b val="true"/>
        <sz val="11"/>
        <rFont val="Arial"/>
        <family val="2"/>
        <charset val="1"/>
      </rPr>
      <t xml:space="preserve">Les loyers du matériel et des animaux (charges); L’entretien des bâtiments et du matériel; Les charges de petit matériel; 
Les frais de travaux par tiers et services pour cultures et élevages (les honoraires du vétérinaire, prestations de service liées aux carburants et combustibles);
</t>
    </r>
    <r>
      <rPr>
        <sz val="11"/>
        <rFont val="Arial"/>
        <family val="2"/>
        <charset val="1"/>
      </rPr>
      <t xml:space="preserve">Les charges opérationnelles liées à la transformation et la commercialisation
</t>
    </r>
    <r>
      <rPr>
        <b val="true"/>
        <sz val="11"/>
        <rFont val="Arial"/>
        <family val="2"/>
        <charset val="1"/>
      </rPr>
      <t xml:space="preserve">Les frais de transports et déplacements; Les frais divers de gestion, les redevances de crédit-bail;
</t>
    </r>
    <r>
      <rPr>
        <sz val="11"/>
        <rFont val="Arial"/>
        <family val="2"/>
        <charset val="1"/>
      </rPr>
      <t xml:space="preserve">Attention: Ne pas intégrer les charges de fermages; Ne pas intégrer les impôts et taxes.</t>
    </r>
  </si>
  <si>
    <t xml:space="preserve">Intrants achetés pour C11</t>
  </si>
  <si>
    <r>
      <rPr>
        <u val="single"/>
        <sz val="11"/>
        <rFont val="Arial"/>
        <family val="2"/>
        <charset val="1"/>
      </rPr>
      <t xml:space="preserve">Liste des intrants pris en compte (les données en gras sont spécifiques à cet indicateur) :
</t>
    </r>
    <r>
      <rPr>
        <sz val="11"/>
        <rFont val="Arial"/>
        <family val="2"/>
        <charset val="1"/>
      </rPr>
      <t xml:space="preserve">Les charges réelles d’approvisionnement (semences, engrais, amendements, produits phytosanitaires, produits vétérinaires, aliments grossiers achetés, aliments concentrés achetés, carburants et lubrifiants, combustibles) autres fournitures stockées;
L’eau, le gaz, l’électricité, l'eau d’irrigation;  Les fournitures non stockées; 
Les charges d'approvisionnement liées à la transformation et la commercialisation (emballages, bouchons, bouteilles, ...);
</t>
    </r>
    <r>
      <rPr>
        <b val="true"/>
        <sz val="11"/>
        <rFont val="Arial"/>
        <family val="2"/>
        <charset val="1"/>
      </rPr>
      <t xml:space="preserve">Les achats d'animaux (non reproducterurs) pour les cycles de production courts;</t>
    </r>
  </si>
  <si>
    <t xml:space="preserve">Compte de résultat : PRODUITS</t>
  </si>
  <si>
    <t xml:space="preserve">Valeur de la Production (PR) </t>
  </si>
  <si>
    <t xml:space="preserve">EMPRUNTS  </t>
  </si>
  <si>
    <t xml:space="preserve">Emprunts Long et Moyen Terme (LMT) (capital total restant du) </t>
  </si>
  <si>
    <t xml:space="preserve">Solde des comptes 16 hors comptes 1643 qui correspondent aux emprunts à court-terme et comptes 1688 qui correspondent aux interets courus
Attention: Si les comptes d’associés sont importants, il convient de les diviser en deux blocs:
• une 1ère part qui est laissée en dettes CT (prendre le montant moyen des prélèvements annuels des associés sur les 3 dernières),
• une 2nd part correspond au reste de la valeur du compte associé que l’on considère alors comme des dettes LMT.
On a alors Emprunts LMT = dettes LMT + montant du compte associé - montant moyen des prélèvements annuels des associés sur les 3 dernières années.
</t>
  </si>
  <si>
    <t xml:space="preserve">Annuités LMT (capital remboursée et intérêt des emprunts LMT)  </t>
  </si>
  <si>
    <t xml:space="preserve">Pour la partie capital: dans les débits des comptes 16, notamment 164  (attention : ne pas prendre en compte les montants du compte 1643 des emprunts CT )
Pour la partie intérêt :  soit dans les comptes 66 (intérêt d'emprunt LMT 6612), soit dans le débit des comptes 168842</t>
  </si>
  <si>
    <t xml:space="preserve">Dans les comptes 66 (plus précisément 6613)</t>
  </si>
  <si>
    <t xml:space="preserve">BILAN</t>
  </si>
  <si>
    <t xml:space="preserve">Actif net hors foncier </t>
  </si>
  <si>
    <t xml:space="preserve">actif net total (en bas de l'actif) - valeur des terres (dans la catégorie immobilisations corporelles de l'actif)</t>
  </si>
  <si>
    <t xml:space="preserve">Capitaux permanents</t>
  </si>
  <si>
    <t xml:space="preserve">capitaux propres + provisions pour risques et charges + emprunt LMT</t>
  </si>
  <si>
    <t xml:space="preserve">C1 CAP11 - Capacité économique</t>
  </si>
  <si>
    <t xml:space="preserve">Besoin en Financement:</t>
  </si>
  <si>
    <t xml:space="preserve">BF=</t>
  </si>
  <si>
    <t xml:space="preserve">Capacité Economique:</t>
  </si>
  <si>
    <t xml:space="preserve">CE  =</t>
  </si>
  <si>
    <t xml:space="preserve">SMIC net mensuel en € à saisir </t>
  </si>
  <si>
    <t xml:space="preserve">SMIC net annuel en €</t>
  </si>
  <si>
    <t xml:space="preserve">CE/SMIC net =</t>
  </si>
  <si>
    <t xml:space="preserve">C2 CAP12 - Poids de la dette</t>
  </si>
  <si>
    <t xml:space="preserve">Poids de la dette (PdD) =</t>
  </si>
  <si>
    <t xml:space="preserve">Pdd =</t>
  </si>
  <si>
    <t xml:space="preserve">C3 AUT8 CAP13 - Taux d'endettement structurel</t>
  </si>
  <si>
    <t xml:space="preserve">Taux d'Endettement Structurel ( TES) en % =</t>
  </si>
  <si>
    <t xml:space="preserve">TES =</t>
  </si>
  <si>
    <t xml:space="preserve">C4 ROB12 - Diversification productive</t>
  </si>
  <si>
    <t xml:space="preserve">pg 24</t>
  </si>
  <si>
    <t xml:space="preserve">CA produits 
(hors subvention)</t>
  </si>
  <si>
    <t xml:space="preserve">CA</t>
  </si>
  <si>
    <t xml:space="preserve">Produit brut année N (hors subvention)</t>
  </si>
  <si>
    <t xml:space="preserve">Atelier 1 : grandes cultures  (hors contrat) </t>
  </si>
  <si>
    <t xml:space="preserve">maïs- sorgho</t>
  </si>
  <si>
    <t xml:space="preserve">Atelier 2 : cultures industrielles (dont plantes à fibres, semences, plantes aromatiques et médécinales et grandes cultures sous contrat)</t>
  </si>
  <si>
    <t xml:space="preserve">Part de l'atelier productif le plus important :</t>
  </si>
  <si>
    <t xml:space="preserve">Autres culture</t>
  </si>
  <si>
    <t xml:space="preserve">culture 4</t>
  </si>
  <si>
    <t xml:space="preserve">Nombre de produits vendus représentant plus de 20% du CA :</t>
  </si>
  <si>
    <t xml:space="preserve">arbo: espèce 4</t>
  </si>
  <si>
    <t xml:space="preserve">Atelier  5 :  viticulture et vinification</t>
  </si>
  <si>
    <t xml:space="preserve">Atelier  9 : caprin lait et viande </t>
  </si>
  <si>
    <t xml:space="preserve">Atelier 13 Autres typres de production (dont éléctricité, gaz naturel, …)</t>
  </si>
  <si>
    <t xml:space="preserve">CA total =</t>
  </si>
  <si>
    <t xml:space="preserve">PB total =</t>
  </si>
  <si>
    <t xml:space="preserve">C5 AUT9 ROB13 - Diversification et relations contractuelles</t>
  </si>
  <si>
    <t xml:space="preserve">DESSEL &amp; FILS</t>
  </si>
  <si>
    <t xml:space="preserve">Ateliers principal en intégration :</t>
  </si>
  <si>
    <t xml:space="preserve">C6 AUT10 - Sensibilité aux aides</t>
  </si>
  <si>
    <t xml:space="preserve">Sensibilité aux aides :</t>
  </si>
  <si>
    <t xml:space="preserve">%  SA =</t>
  </si>
  <si>
    <t xml:space="preserve">C7 ROB14 - Contribution de revenu extérieur à l'indépendance</t>
  </si>
  <si>
    <t xml:space="preserve">Revenu significatif extérieur ou issu de la pluriactivité de l'agriculteur </t>
  </si>
  <si>
    <t xml:space="preserve">Lequel ?</t>
  </si>
  <si>
    <t xml:space="preserve">Revenu de la boucherie de sa conjointe</t>
  </si>
  <si>
    <t xml:space="preserve">y compris revenu du conjoit/de la conjointe</t>
  </si>
  <si>
    <t xml:space="preserve">C8 ROB15 - Transmissibilité économique</t>
  </si>
  <si>
    <t xml:space="preserve">Capital hors foncier € / UTH NS = </t>
  </si>
  <si>
    <t xml:space="preserve">EBE (€) / UTH NS =</t>
  </si>
  <si>
    <t xml:space="preserve">C9 ROB16 - Pérennité problable</t>
  </si>
  <si>
    <t xml:space="preserve">Que pensez-vous de l'existence de votre exploitation dans 10 ans ?</t>
  </si>
  <si>
    <t xml:space="preserve">Projet de développement, d'aménagement ou d'extension :</t>
  </si>
  <si>
    <t xml:space="preserve">Quels sont ce(s) projet(s) ?</t>
  </si>
  <si>
    <t xml:space="preserve">méthanisation &amp; photovoltaïque</t>
  </si>
  <si>
    <t xml:space="preserve">Structure du parcellaire :</t>
  </si>
  <si>
    <t xml:space="preserve">C10 CAP14 - Efficience brute du processus productif</t>
  </si>
  <si>
    <t xml:space="preserve">Efficience Brute :</t>
  </si>
  <si>
    <t xml:space="preserve">EB = </t>
  </si>
  <si>
    <t xml:space="preserve">C11 RES22 - Sobriété en intrants dans le processus productif</t>
  </si>
  <si>
    <t xml:space="preserve">Dépenses en Intrants :</t>
  </si>
  <si>
    <t xml:space="preserve">DI = </t>
  </si>
  <si>
    <t xml:space="preserve">Outils de calcul du Bilan apparent </t>
  </si>
  <si>
    <t xml:space="preserve">Adapté d'après F. Vertes  (INRA Quimper, version janvier 2005)</t>
  </si>
  <si>
    <t xml:space="preserve">Sources des données utilisées pour le calcul du Bilan apparent</t>
  </si>
  <si>
    <t xml:space="preserve">Code couleur</t>
  </si>
  <si>
    <t xml:space="preserve">N°</t>
  </si>
  <si>
    <t xml:space="preserve">Outil de calcul du Bilan apparent Version 2005 (F. Vertes, Inra Quimper)</t>
  </si>
  <si>
    <r>
      <rPr>
        <sz val="10"/>
        <rFont val="Arial"/>
        <family val="2"/>
        <charset val="1"/>
      </rPr>
      <t xml:space="preserve">Résumé sipmlifié du </t>
    </r>
    <r>
      <rPr>
        <i val="true"/>
        <sz val="10"/>
        <rFont val="Arial"/>
        <family val="2"/>
        <charset val="1"/>
      </rPr>
      <t xml:space="preserve">bilan des minéraux, cahier de l'éleveur, comptabilité des minéraux azote, phosphore, potasse</t>
    </r>
    <r>
      <rPr>
        <sz val="10"/>
        <rFont val="Arial"/>
        <family val="2"/>
        <charset val="1"/>
      </rPr>
      <t xml:space="preserve"> publié par l'Institut de l'élevage, D'après La méthode IDEA Guide d'utilisation 2002</t>
    </r>
  </si>
  <si>
    <t xml:space="preserve">RIBEREAU-GAYON J., PEYNAUD E., Traité d’ampélologie, sciences et techniques de la vigne, tome 1 – biologie de la vigne, sols de vignobles, Dunod, Paris, 1971</t>
  </si>
  <si>
    <t xml:space="preserve">Titre</t>
  </si>
  <si>
    <t xml:space="preserve">Données moyennes tirées de la bibliographie (d'après contact avec la Station expérimentale de Creysse)</t>
  </si>
  <si>
    <t xml:space="preserve">ETUDE DES CARACTERISTIQUES ENVIRONNEMENTALES DU CHANVRE PAR L’ANALYSE DE SON CYCLE DE VIE (Ministère de l'agriculture et de la pêche, septembre 2006) </t>
  </si>
  <si>
    <t xml:space="preserve">E1 - Entrée par engrais chimiques </t>
  </si>
  <si>
    <t xml:space="preserve">Fertliser avec les engrais de ferme, Institut de l'élevage, ITAVI, ITCF, ITP, 2001</t>
  </si>
  <si>
    <t xml:space="preserve">Institut de l'élevage</t>
  </si>
  <si>
    <t xml:space="preserve">Les engrais minéraux achetés</t>
  </si>
  <si>
    <t xml:space="preserve">IDEA 3</t>
  </si>
  <si>
    <t xml:space="preserve">Source des données</t>
  </si>
  <si>
    <t xml:space="preserve">*</t>
  </si>
  <si>
    <t xml:space="preserve">Sans Objet</t>
  </si>
  <si>
    <t xml:space="preserve">Total (kg)</t>
  </si>
  <si>
    <t xml:space="preserve">Conversion</t>
  </si>
  <si>
    <t xml:space="preserve">P</t>
  </si>
  <si>
    <t xml:space="preserve">K</t>
  </si>
  <si>
    <t xml:space="preserve">Total entrée engrais minéral (kg)</t>
  </si>
  <si>
    <t xml:space="preserve">E2 - Entrée par engrais organiques (importés)</t>
  </si>
  <si>
    <t xml:space="preserve">Les engrais organiques achetés </t>
  </si>
  <si>
    <t xml:space="preserve">tonnes ou m3</t>
  </si>
  <si>
    <t xml:space="preserve">kg N/m3 ou kg N /tonnes </t>
  </si>
  <si>
    <t xml:space="preserve">Bovins</t>
  </si>
  <si>
    <t xml:space="preserve">Ovins</t>
  </si>
  <si>
    <t xml:space="preserve">Fumier ovin</t>
  </si>
  <si>
    <t xml:space="preserve">Caprins</t>
  </si>
  <si>
    <t xml:space="preserve">Fumier caprin</t>
  </si>
  <si>
    <t xml:space="preserve">Volailles</t>
  </si>
  <si>
    <t xml:space="preserve">Porcs</t>
  </si>
  <si>
    <t xml:space="preserve">quelles proportions ?</t>
  </si>
  <si>
    <t xml:space="preserve">Compost fumiers + tourteaux (type Végor, Végéh...)</t>
  </si>
  <si>
    <t xml:space="preserve">E3 - Entrée d'azote atmosphérique par les légumineuses</t>
  </si>
  <si>
    <t xml:space="preserve">E3.1 - Légumineuse de prairie</t>
  </si>
  <si>
    <t xml:space="preserve">Autre mélange       G + L</t>
  </si>
  <si>
    <t xml:space="preserve">Attention si vous avez rajouter des entrées de prairie dans la liste du parcellaire à la cellule , les données de ces dernières ne sont pas redirigées automatiquement dans ce tableau</t>
  </si>
  <si>
    <t xml:space="preserve">%Legumineuse</t>
  </si>
  <si>
    <t xml:space="preserve">rendement </t>
  </si>
  <si>
    <t xml:space="preserve">tonne MS / ha</t>
  </si>
  <si>
    <t xml:space="preserve">kg N / tMS </t>
  </si>
  <si>
    <t xml:space="preserve">Azote fixé </t>
  </si>
  <si>
    <t xml:space="preserve">kg N / ha</t>
  </si>
  <si>
    <t xml:space="preserve">Surface PT Gram+Leg**</t>
  </si>
  <si>
    <t xml:space="preserve">Azote total fixé</t>
  </si>
  <si>
    <t xml:space="preserve">kg N </t>
  </si>
  <si>
    <t xml:space="preserve">E3.2 - Culture de légumineuses pures</t>
  </si>
  <si>
    <t xml:space="preserve">rendement</t>
  </si>
  <si>
    <t xml:space="preserve">N fixé/tMS</t>
  </si>
  <si>
    <t xml:space="preserve">kg N / t MS</t>
  </si>
  <si>
    <t xml:space="preserve">Azote fixé     (kg N/ha)</t>
  </si>
  <si>
    <t xml:space="preserve">Rendement q MF / ha</t>
  </si>
  <si>
    <t xml:space="preserve">Trèfle violet pur</t>
  </si>
  <si>
    <t xml:space="preserve">Luzerne</t>
  </si>
  <si>
    <t xml:space="preserve">Pois</t>
  </si>
  <si>
    <t xml:space="preserve">Autre leg pure</t>
  </si>
  <si>
    <t xml:space="preserve">Féverole print.</t>
  </si>
  <si>
    <t xml:space="preserve">Féverole hiver</t>
  </si>
  <si>
    <t xml:space="preserve">Lupin print.</t>
  </si>
  <si>
    <t xml:space="preserve">N fixé/tMF</t>
  </si>
  <si>
    <t xml:space="preserve">Soja</t>
  </si>
  <si>
    <t xml:space="preserve">q MF / ha</t>
  </si>
  <si>
    <t xml:space="preserve">Haricots</t>
  </si>
  <si>
    <t xml:space="preserve">haricot grain</t>
  </si>
  <si>
    <t xml:space="preserve">kg N</t>
  </si>
  <si>
    <t xml:space="preserve">Total légumineuse pures</t>
  </si>
  <si>
    <t xml:space="preserve">Total légumineuses</t>
  </si>
  <si>
    <t xml:space="preserve">E4 - Entrée par les aliments</t>
  </si>
  <si>
    <t xml:space="preserve">Quantité achetée (tonnes brutes)</t>
  </si>
  <si>
    <t xml:space="preserve">Matières premières</t>
  </si>
  <si>
    <t xml:space="preserve">Tonnes brutes</t>
  </si>
  <si>
    <t xml:space="preserve">kg / tonne produit brute</t>
  </si>
  <si>
    <t xml:space="preserve">Aliment porstsevrage</t>
  </si>
  <si>
    <t xml:space="preserve">Tonne de MS</t>
  </si>
  <si>
    <t xml:space="preserve">kg / t MS</t>
  </si>
  <si>
    <t xml:space="preserve">A valider</t>
  </si>
  <si>
    <t xml:space="preserve">E5 - Entrée par les animaux</t>
  </si>
  <si>
    <t xml:space="preserve">Type d'animaux :</t>
  </si>
  <si>
    <t xml:space="preserve">poids unitaire</t>
  </si>
  <si>
    <t xml:space="preserve">kg accès réfèrences</t>
  </si>
  <si>
    <t xml:space="preserve">kg N / tonne</t>
  </si>
  <si>
    <t xml:space="preserve">Chevaux/ Juments</t>
  </si>
  <si>
    <t xml:space="preserve">Anes / Anesses</t>
  </si>
  <si>
    <t xml:space="preserve">Abeilles</t>
  </si>
  <si>
    <t xml:space="preserve">Total N</t>
  </si>
  <si>
    <t xml:space="preserve">S1 - Sortie par les engrais organiques</t>
  </si>
  <si>
    <t xml:space="preserve">On ne considère que les engrais organiques qui sortent que de l'exploitation (vente)</t>
  </si>
  <si>
    <t xml:space="preserve">Type d'effluents</t>
  </si>
  <si>
    <t xml:space="preserve">Quantités quittant l'exploitation</t>
  </si>
  <si>
    <t xml:space="preserve">tonne ou m3</t>
  </si>
  <si>
    <t xml:space="preserve">kg / m3 ou        kg / tonne </t>
  </si>
  <si>
    <t xml:space="preserve">S2 - Sortie par les végétaux</t>
  </si>
  <si>
    <t xml:space="preserve">Cultures</t>
  </si>
  <si>
    <t xml:space="preserve">Tonne produit brute</t>
  </si>
  <si>
    <t xml:space="preserve">Autre 1</t>
  </si>
  <si>
    <t xml:space="preserve">tonne MS</t>
  </si>
  <si>
    <t xml:space="preserve">maïs ensilage</t>
  </si>
  <si>
    <t xml:space="preserve">Luzerne (déshydratée)</t>
  </si>
  <si>
    <t xml:space="preserve">S3 - Sortie par les Fruits et légumes</t>
  </si>
  <si>
    <t xml:space="preserve">Type de fruits/légumes</t>
  </si>
  <si>
    <t xml:space="preserve">Quantité vendues</t>
  </si>
  <si>
    <t xml:space="preserve">Tonnes brutes (*ou pour 1000 têtes)</t>
  </si>
  <si>
    <t xml:space="preserve">kg / Tonne de produits frais (*ou kg / 1000 têtes)</t>
  </si>
  <si>
    <t xml:space="preserve">Artichauts camus, castel</t>
  </si>
  <si>
    <r>
      <rPr>
        <sz val="10"/>
        <rFont val="Arial"/>
        <family val="2"/>
        <charset val="1"/>
      </rPr>
      <t xml:space="preserve">Artichauts violet </t>
    </r>
    <r>
      <rPr>
        <b val="true"/>
        <sz val="12"/>
        <rFont val="Arial"/>
        <family val="2"/>
        <charset val="1"/>
      </rPr>
      <t xml:space="preserve">*</t>
    </r>
  </si>
  <si>
    <t xml:space="preserve">Brocolis industriel</t>
  </si>
  <si>
    <t xml:space="preserve">Brocolis marché frais</t>
  </si>
  <si>
    <t xml:space="preserve">Carotte de terre</t>
  </si>
  <si>
    <t xml:space="preserve">Carotte grosse industrie</t>
  </si>
  <si>
    <t xml:space="preserve">Carotte jeune industrie</t>
  </si>
  <si>
    <t xml:space="preserve">Céleri branche</t>
  </si>
  <si>
    <t xml:space="preserve">Céleri rave</t>
  </si>
  <si>
    <t xml:space="preserve">Choux Cabu rouge et vert (pommes)</t>
  </si>
  <si>
    <r>
      <rPr>
        <sz val="10"/>
        <rFont val="Arial"/>
        <family val="2"/>
        <charset val="1"/>
      </rPr>
      <t xml:space="preserve">Choux fleurs couronné (vrac) </t>
    </r>
    <r>
      <rPr>
        <b val="true"/>
        <sz val="12"/>
        <rFont val="Arial"/>
        <family val="2"/>
        <charset val="1"/>
      </rPr>
      <t xml:space="preserve">*</t>
    </r>
  </si>
  <si>
    <r>
      <rPr>
        <sz val="10"/>
        <rFont val="Arial"/>
        <family val="2"/>
        <charset val="1"/>
      </rPr>
      <t xml:space="preserve">Choux fleurs surgélation (conditionné au champ) </t>
    </r>
    <r>
      <rPr>
        <b val="true"/>
        <sz val="12"/>
        <rFont val="Arial"/>
        <family val="2"/>
        <charset val="1"/>
      </rPr>
      <t xml:space="preserve">*</t>
    </r>
  </si>
  <si>
    <t xml:space="preserve">Choux milan</t>
  </si>
  <si>
    <t xml:space="preserve">Courgettes</t>
  </si>
  <si>
    <t xml:space="preserve">Echalotte</t>
  </si>
  <si>
    <t xml:space="preserve">Endives (chicons)</t>
  </si>
  <si>
    <t xml:space="preserve">Endives (racines)</t>
  </si>
  <si>
    <t xml:space="preserve">Epinard</t>
  </si>
  <si>
    <t xml:space="preserve">Fenouil</t>
  </si>
  <si>
    <t xml:space="preserve">Flageolet</t>
  </si>
  <si>
    <t xml:space="preserve">Fraise gariguettes et darselect</t>
  </si>
  <si>
    <t xml:space="preserve">Haricot coco frais (gousse)</t>
  </si>
  <si>
    <t xml:space="preserve">Haricot grain sec</t>
  </si>
  <si>
    <r>
      <rPr>
        <sz val="10"/>
        <rFont val="Arial"/>
        <family val="2"/>
        <charset val="1"/>
      </rPr>
      <t xml:space="preserve">Laitue Iceberg </t>
    </r>
    <r>
      <rPr>
        <b val="true"/>
        <sz val="12"/>
        <rFont val="Arial"/>
        <family val="2"/>
        <charset val="1"/>
      </rPr>
      <t xml:space="preserve">*</t>
    </r>
  </si>
  <si>
    <t xml:space="preserve">Navet</t>
  </si>
  <si>
    <t xml:space="preserve">Oignon</t>
  </si>
  <si>
    <t xml:space="preserve">Persil 4 coupes</t>
  </si>
  <si>
    <t xml:space="preserve">Poireau</t>
  </si>
  <si>
    <t xml:space="preserve">Pois de conserve</t>
  </si>
  <si>
    <t xml:space="preserve">Pomme de terre consommation</t>
  </si>
  <si>
    <t xml:space="preserve">Pomme de terre plant</t>
  </si>
  <si>
    <t xml:space="preserve">Pomme de terre primeur </t>
  </si>
  <si>
    <t xml:space="preserve">Raisin (pour vinification ou raisin de table)</t>
  </si>
  <si>
    <t xml:space="preserve">attention, si rendement en hl, les convertir en kg (1l = 1,3kg)</t>
  </si>
  <si>
    <t xml:space="preserve">Serment (taille annuelle des pieds de vigne si pas d’enfouissement)</t>
  </si>
  <si>
    <t xml:space="preserve">si serment sont exportés ou brûlés. Ne pas compléter en cas de broyage sur place.</t>
  </si>
  <si>
    <t xml:space="preserve">à compléter</t>
  </si>
  <si>
    <t xml:space="preserve">accumulation dans la charpente et racines annuellement</t>
  </si>
  <si>
    <t xml:space="preserve">peut être considérer uniquement les trois premières années</t>
  </si>
  <si>
    <r>
      <rPr>
        <sz val="10"/>
        <rFont val="Arial"/>
        <family val="2"/>
        <charset val="1"/>
      </rPr>
      <t xml:space="preserve">Salades de plein champ</t>
    </r>
    <r>
      <rPr>
        <b val="true"/>
        <sz val="12"/>
        <rFont val="Arial"/>
        <family val="2"/>
        <charset val="1"/>
      </rPr>
      <t xml:space="preserve"> *</t>
    </r>
  </si>
  <si>
    <t xml:space="preserve">Tournesol (grain)</t>
  </si>
  <si>
    <t xml:space="preserve">Taille annuelle des arbres</t>
  </si>
  <si>
    <t xml:space="preserve">Jean-Luc Regnard</t>
  </si>
  <si>
    <t xml:space="preserve">Sylvaine Simon (INRA Gotron)</t>
  </si>
  <si>
    <t xml:space="preserve">Accumulation dans la charpente et les racines</t>
  </si>
  <si>
    <t xml:space="preserve">S4 - Sortie par le lait et les œufs</t>
  </si>
  <si>
    <t xml:space="preserve">Production de lait</t>
  </si>
  <si>
    <t xml:space="preserve">Quantité de lait</t>
  </si>
  <si>
    <t xml:space="preserve">TP </t>
  </si>
  <si>
    <t xml:space="preserve">litre</t>
  </si>
  <si>
    <t xml:space="preserve">(g/litre)</t>
  </si>
  <si>
    <t xml:space="preserve">kg / 1000l</t>
  </si>
  <si>
    <t xml:space="preserve">Vache</t>
  </si>
  <si>
    <t xml:space="preserve">Brebis</t>
  </si>
  <si>
    <t xml:space="preserve">Chèvre</t>
  </si>
  <si>
    <t xml:space="preserve">Production d'œufs</t>
  </si>
  <si>
    <t xml:space="preserve">Nombre d'œufs</t>
  </si>
  <si>
    <t xml:space="preserve">Poids unitaire </t>
  </si>
  <si>
    <t xml:space="preserve">Nombres</t>
  </si>
  <si>
    <t xml:space="preserve">kg N/tonnes</t>
  </si>
  <si>
    <t xml:space="preserve">Oeuf de canard</t>
  </si>
  <si>
    <t xml:space="preserve">Oeuf de dinde</t>
  </si>
  <si>
    <t xml:space="preserve">Oeuf de poule</t>
  </si>
  <si>
    <t xml:space="preserve">Oeuf d'oie</t>
  </si>
  <si>
    <t xml:space="preserve">Total lait+œufs</t>
  </si>
  <si>
    <t xml:space="preserve">S5 - Sortie par les animaux</t>
  </si>
  <si>
    <t xml:space="preserve">ok</t>
  </si>
  <si>
    <t xml:space="preserve">Viande produite : </t>
  </si>
  <si>
    <t xml:space="preserve">Nb vendus</t>
  </si>
  <si>
    <t xml:space="preserve">Poids total sortie</t>
  </si>
  <si>
    <t xml:space="preserve">Chevaux/Juments</t>
  </si>
  <si>
    <t xml:space="preserve">Anes/Anesses</t>
  </si>
  <si>
    <t xml:space="preserve">Stockage N sous les prairies permanentes</t>
  </si>
  <si>
    <t xml:space="preserve"> fonction ajoutée pour IDEA 4</t>
  </si>
  <si>
    <t xml:space="preserve">Surface en prairies permanentes</t>
  </si>
  <si>
    <t xml:space="preserve">Quantité d’azote stockée </t>
  </si>
  <si>
    <t xml:space="preserve">Quantité totale d'azote stockée sous les PP</t>
  </si>
  <si>
    <t xml:space="preserve">kg / an / ha</t>
  </si>
  <si>
    <t xml:space="preserve">kg / an</t>
  </si>
  <si>
    <t xml:space="preserve">Volatilisation de l'azote</t>
  </si>
  <si>
    <t xml:space="preserve">N volatilisé issu du NH3</t>
  </si>
  <si>
    <t xml:space="preserve">Nbr d'UGB</t>
  </si>
  <si>
    <t xml:space="preserve">coef</t>
  </si>
  <si>
    <t xml:space="preserve">kg / UGB</t>
  </si>
  <si>
    <t xml:space="preserve">N volatilisé issu du NO2</t>
  </si>
  <si>
    <t xml:space="preserve">Emissions de NO2 </t>
  </si>
  <si>
    <t xml:space="preserve">PRC</t>
  </si>
  <si>
    <t xml:space="preserve">Coef de conversion</t>
  </si>
  <si>
    <t xml:space="preserve">kg eq-CO2 </t>
  </si>
  <si>
    <t xml:space="preserve">de NO2 à N</t>
  </si>
  <si>
    <t xml:space="preserve">Total N volatilisé</t>
  </si>
  <si>
    <t xml:space="preserve">Bilan de l'azote</t>
  </si>
  <si>
    <t xml:space="preserve">Entrées</t>
  </si>
  <si>
    <t xml:space="preserve">SAU (ha)</t>
  </si>
  <si>
    <t xml:space="preserve">E1 - Engrais chimiques </t>
  </si>
  <si>
    <t xml:space="preserve">E2 - Engrais organiques </t>
  </si>
  <si>
    <t xml:space="preserve">E3 - Azote atmosphérique par les légumineuses</t>
  </si>
  <si>
    <t xml:space="preserve">E4 - Aliments</t>
  </si>
  <si>
    <t xml:space="preserve">E5 - Animaux</t>
  </si>
  <si>
    <t xml:space="preserve">Total entrées</t>
  </si>
  <si>
    <t xml:space="preserve">S1 - Engrais organiques</t>
  </si>
  <si>
    <t xml:space="preserve">S2 - Végétaux</t>
  </si>
  <si>
    <t xml:space="preserve">S3 - Légumes</t>
  </si>
  <si>
    <t xml:space="preserve">S4 - Lait et œufs</t>
  </si>
  <si>
    <t xml:space="preserve">S5 - Animaux</t>
  </si>
  <si>
    <t xml:space="preserve">Total sorties</t>
  </si>
  <si>
    <t xml:space="preserve">Solde du bilan</t>
  </si>
  <si>
    <t xml:space="preserve">- stock sous les prairies permanentes</t>
  </si>
  <si>
    <t xml:space="preserve">- N volatilisé</t>
  </si>
  <si>
    <t xml:space="preserve">Excédent d'azote</t>
  </si>
  <si>
    <t xml:space="preserve">kg N /ha SAU</t>
  </si>
  <si>
    <t xml:space="preserve">Résultat </t>
  </si>
  <si>
    <t xml:space="preserve">Excédent d'azote / ha</t>
  </si>
  <si>
    <t xml:space="preserve">Source : CORPEN 1988, 1999 et 2001.</t>
  </si>
  <si>
    <t xml:space="preserve">[Calcul de besoins en herbivore.doc]</t>
  </si>
  <si>
    <t xml:space="preserve">Tableaux de détermination des coefficients d'UGB (IDEA3)</t>
  </si>
  <si>
    <t xml:space="preserve">équiv. UGB</t>
  </si>
  <si>
    <r>
      <rPr>
        <b val="true"/>
        <sz val="10"/>
        <color rgb="FF800000"/>
        <rFont val="Times New Roman"/>
        <family val="1"/>
        <charset val="1"/>
      </rPr>
      <t xml:space="preserve">1,05 </t>
    </r>
    <r>
      <rPr>
        <b val="true"/>
        <sz val="10"/>
        <color rgb="FF000000"/>
        <rFont val="Times New Roman"/>
        <family val="1"/>
        <charset val="1"/>
      </rPr>
      <t xml:space="preserve">*</t>
    </r>
  </si>
  <si>
    <t xml:space="preserve">Vache Nourrice, sans son veau</t>
  </si>
  <si>
    <r>
      <rPr>
        <b val="true"/>
        <sz val="10"/>
        <color rgb="FF800000"/>
        <rFont val="Times New Roman"/>
        <family val="1"/>
        <charset val="1"/>
      </rPr>
      <t xml:space="preserve">0,85 </t>
    </r>
    <r>
      <rPr>
        <b val="true"/>
        <sz val="10"/>
        <color rgb="FF000000"/>
        <rFont val="Times New Roman"/>
        <family val="1"/>
        <charset val="1"/>
      </rPr>
      <t xml:space="preserve">*</t>
    </r>
  </si>
  <si>
    <t xml:space="preserve">Attention vérifier les valeur des UGB</t>
  </si>
  <si>
    <r>
      <rPr>
        <b val="true"/>
        <sz val="10"/>
        <color rgb="FF800000"/>
        <rFont val="Times New Roman"/>
        <family val="1"/>
        <charset val="1"/>
      </rPr>
      <t xml:space="preserve">0,70 </t>
    </r>
    <r>
      <rPr>
        <b val="true"/>
        <sz val="10"/>
        <color rgb="FF000000"/>
        <rFont val="Times New Roman"/>
        <family val="1"/>
        <charset val="1"/>
      </rPr>
      <t xml:space="preserve">*</t>
    </r>
  </si>
  <si>
    <r>
      <rPr>
        <b val="true"/>
        <sz val="10"/>
        <color rgb="FF800000"/>
        <rFont val="Times New Roman"/>
        <family val="1"/>
        <charset val="1"/>
      </rPr>
      <t xml:space="preserve">0,80 </t>
    </r>
    <r>
      <rPr>
        <b val="true"/>
        <sz val="10"/>
        <color rgb="FF000000"/>
        <rFont val="Times New Roman"/>
        <family val="1"/>
        <charset val="1"/>
      </rPr>
      <t xml:space="preserve">*</t>
    </r>
  </si>
  <si>
    <t xml:space="preserve">0,60 *</t>
  </si>
  <si>
    <t xml:space="preserve">Mâle 1-2 ans, croissance</t>
  </si>
  <si>
    <t xml:space="preserve">Mâle 1-2 ans, engraissement</t>
  </si>
  <si>
    <t xml:space="preserve">0,60*</t>
  </si>
  <si>
    <t xml:space="preserve">0,30 *</t>
  </si>
  <si>
    <t xml:space="preserve">Mâle 0-1 an, croissance</t>
  </si>
  <si>
    <t xml:space="preserve">Ovins (brebis)</t>
  </si>
  <si>
    <t xml:space="preserve">Agnelle</t>
  </si>
  <si>
    <t xml:space="preserve">0,05 *</t>
  </si>
  <si>
    <t xml:space="preserve">Agneau Engraissé Produit</t>
  </si>
  <si>
    <t xml:space="preserve">Bélier</t>
  </si>
  <si>
    <t xml:space="preserve">0,10 *</t>
  </si>
  <si>
    <t xml:space="preserve">Brebis laitière</t>
  </si>
  <si>
    <t xml:space="preserve">Caprins (chèvre)</t>
  </si>
  <si>
    <t xml:space="preserve">Bouc</t>
  </si>
  <si>
    <t xml:space="preserve">Chevreau Engraissé Produit</t>
  </si>
  <si>
    <t xml:space="preserve">Chevrette</t>
  </si>
  <si>
    <t xml:space="preserve">Equins </t>
  </si>
  <si>
    <t xml:space="preserve">Cheval</t>
  </si>
  <si>
    <t xml:space="preserve">Cheval (lourd)</t>
  </si>
  <si>
    <t xml:space="preserve">0,70 *</t>
  </si>
  <si>
    <t xml:space="preserve">Jument seule</t>
  </si>
  <si>
    <t xml:space="preserve">0,50 *</t>
  </si>
  <si>
    <t xml:space="preserve">Jument seule (lourd)</t>
  </si>
  <si>
    <t xml:space="preserve">Jument suitée</t>
  </si>
  <si>
    <t xml:space="preserve">Jument suitée (lourd)</t>
  </si>
  <si>
    <t xml:space="preserve">Poulain 6m-1an</t>
  </si>
  <si>
    <t xml:space="preserve">0,25 *</t>
  </si>
  <si>
    <t xml:space="preserve">Poulain 6m-1an (lourd)</t>
  </si>
  <si>
    <t xml:space="preserve">Poulain 1-2 ans</t>
  </si>
  <si>
    <t xml:space="preserve">Poulain 1-2 ans (lourd)</t>
  </si>
  <si>
    <t xml:space="preserve">1.4 Les cultures de l'exploitation</t>
  </si>
  <si>
    <t xml:space="preserve">Détermination du taux de légumineuses</t>
  </si>
  <si>
    <t xml:space="preserve">[source : IDEA3]</t>
  </si>
  <si>
    <t xml:space="preserve">Azote fixé par un ha de prairie en association graminée - trèfle blanc ou violet, graminées - luzerne (kg d'N/ha)</t>
  </si>
  <si>
    <t xml:space="preserve">Proportion de trèfle blanc dans la prairie</t>
  </si>
  <si>
    <t xml:space="preserve">Rendement prairie en tonnes MS/ha</t>
  </si>
  <si>
    <t xml:space="preserve">Azote fixé par les cultures de protéagineux (kg d'N/ha)</t>
  </si>
  <si>
    <t xml:space="preserve">Rendement en grain tMS/ha</t>
  </si>
  <si>
    <t xml:space="preserve">1.5 Les effluents de l'exploitation</t>
  </si>
  <si>
    <t xml:space="preserve">Azote fixé par des cultures de trèfle violet ou de luzerne (kg d'N/ha)</t>
  </si>
  <si>
    <t xml:space="preserve">variable</t>
  </si>
  <si>
    <t xml:space="preserve">source </t>
  </si>
  <si>
    <t xml:space="preserve">rdt en TMS</t>
  </si>
  <si>
    <t xml:space="preserve">N </t>
  </si>
  <si>
    <r>
      <rPr>
        <sz val="10"/>
        <rFont val="Arial"/>
        <family val="2"/>
        <charset val="1"/>
      </rPr>
      <t xml:space="preserve">voir bilan apparent </t>
    </r>
    <r>
      <rPr>
        <i val="true"/>
        <sz val="10"/>
        <rFont val="Arial"/>
        <family val="2"/>
        <charset val="1"/>
      </rPr>
      <t xml:space="preserve">[ IDEA 3 et Outil de calcul du Bilan apparent Version 2005 (F. Vertes, Inra Quimper)]</t>
    </r>
  </si>
  <si>
    <t xml:space="preserve">Quantité fixée</t>
  </si>
  <si>
    <t xml:space="preserve">Coefficient d'utilisation d'N</t>
  </si>
  <si>
    <t xml:space="preserve">[Vincent Manneville]</t>
  </si>
  <si>
    <t xml:space="preserve">2.1.4 Gestion de l'énergie</t>
  </si>
  <si>
    <t xml:space="preserve">Type énergie utilisée</t>
  </si>
  <si>
    <t xml:space="preserve">MJ /Unités</t>
  </si>
  <si>
    <t xml:space="preserve">Simplification</t>
  </si>
  <si>
    <t xml:space="preserve">Sources</t>
  </si>
  <si>
    <t xml:space="preserve">commentaire</t>
  </si>
  <si>
    <t xml:space="preserve">Talpin J., 2010, Économies d’énergie sur l’exploitation agricole, ADEME, Guides France Agricole, Paris, livre, 391 p, p,153</t>
  </si>
  <si>
    <t xml:space="preserve">IDELE</t>
  </si>
  <si>
    <t xml:space="preserve">Conso énergie BV Sur Ouest</t>
  </si>
  <si>
    <t xml:space="preserve">électricité</t>
  </si>
  <si>
    <t xml:space="preserve">FAO</t>
  </si>
  <si>
    <t xml:space="preserve">FAO biomasse charbon</t>
  </si>
  <si>
    <t xml:space="preserve">fioul</t>
  </si>
  <si>
    <t xml:space="preserve">carburant</t>
  </si>
  <si>
    <t xml:space="preserve">MAAF, 2016</t>
  </si>
  <si>
    <t xml:space="preserve">2016-note service diagnostic gaz effet serre energi conversion unité</t>
  </si>
  <si>
    <t xml:space="preserve">gazoil</t>
  </si>
  <si>
    <t xml:space="preserve">RMT Biomasse miscanhtus</t>
  </si>
  <si>
    <t xml:space="preserve">essence</t>
  </si>
  <si>
    <t xml:space="preserve">gaz naturel</t>
  </si>
  <si>
    <t xml:space="preserve">gaz</t>
  </si>
  <si>
    <t xml:space="preserve">propane/butane</t>
  </si>
  <si>
    <t xml:space="preserve">charbon de bois</t>
  </si>
  <si>
    <t xml:space="preserve">t brut</t>
  </si>
  <si>
    <t xml:space="preserve">kg brut</t>
  </si>
  <si>
    <t xml:space="preserve">Céréales graines (ref blé)</t>
  </si>
  <si>
    <t xml:space="preserve">t</t>
  </si>
  <si>
    <t xml:space="preserve">aliments porcs,volaille (blé,orge,TS)</t>
  </si>
  <si>
    <t xml:space="preserve">ex aliment truie</t>
  </si>
  <si>
    <t xml:space="preserve">Fertilisation N</t>
  </si>
  <si>
    <t xml:space="preserve">1 uA</t>
  </si>
  <si>
    <t xml:space="preserve">2.2.2 Gestion de la diversité</t>
  </si>
  <si>
    <t xml:space="preserve">Evaluation des infrastructures écologiques</t>
  </si>
  <si>
    <t xml:space="preserve">Mètre linéaire</t>
  </si>
  <si>
    <t xml:space="preserve">Eq m2</t>
  </si>
  <si>
    <t xml:space="preserve">Arbres/forêts/</t>
  </si>
  <si>
    <t xml:space="preserve">Arbre isolés</t>
  </si>
  <si>
    <t xml:space="preserve">1 ha</t>
  </si>
  <si>
    <t xml:space="preserve">Mares et lavognes</t>
  </si>
  <si>
    <t xml:space="preserve">Energie: (AUT1)</t>
  </si>
  <si>
    <t xml:space="preserve">Esimation de l'énergie produite et consommée</t>
  </si>
  <si>
    <t xml:space="preserve">Estimation de consommation de l'habitation en cas de non distinction</t>
  </si>
  <si>
    <t xml:space="preserve">Type conversion</t>
  </si>
  <si>
    <t xml:space="preserve">Unité propre</t>
  </si>
  <si>
    <t xml:space="preserve">Unité de sortie</t>
  </si>
  <si>
    <t xml:space="preserve">Coefficient de conversion des quantités d’énergie non renouvelables consommées d’unité propre à unité de sortie</t>
  </si>
  <si>
    <t xml:space="preserve">TEP en Mégajoule</t>
  </si>
  <si>
    <t xml:space="preserve">TEP</t>
  </si>
  <si>
    <t xml:space="preserve">Mégajoule</t>
  </si>
  <si>
    <t xml:space="preserve">La quantité annuelle d’électricité utilisée est relevée à partir des factures EDF. Si l’exploitation possède plusieurs compteurs, les consommations de chaque compteur sont sommées (sauf celles de l’habitation). S’il n’existe pas de compteurs séparés, la consommation de l’habitation est estimée grâce aux données présentées ci-dessous[1], puis déduite du total.</t>
  </si>
  <si>
    <t xml:space="preserve">Fioul</t>
  </si>
  <si>
    <t xml:space="preserve">Kilowattheure en Mégajoule</t>
  </si>
  <si>
    <t xml:space="preserve">Construction avant 1975</t>
  </si>
  <si>
    <t xml:space="preserve">Construction après 1975</t>
  </si>
  <si>
    <t xml:space="preserve">Gazole</t>
  </si>
  <si>
    <t xml:space="preserve">EQF en Mégajoule PCI</t>
  </si>
  <si>
    <t xml:space="preserve">Mégajoule PCI</t>
  </si>
  <si>
    <t xml:space="preserve">Maison individuelle 5 pièces avec chauffage électrique</t>
  </si>
  <si>
    <t xml:space="preserve">14 500 kWh</t>
  </si>
  <si>
    <t xml:space="preserve">12 000 kWh</t>
  </si>
  <si>
    <t xml:space="preserve">Essence</t>
  </si>
  <si>
    <t xml:space="preserve">kg Méthane/butane en Mégajoule</t>
  </si>
  <si>
    <t xml:space="preserve">kg Méthane</t>
  </si>
  <si>
    <t xml:space="preserve">kg butane</t>
  </si>
  <si>
    <t xml:space="preserve">Habitation sans chauffage électrique</t>
  </si>
  <si>
    <t xml:space="preserve">4 500 kWh</t>
  </si>
  <si>
    <t xml:space="preserve">Gaz naturel</t>
  </si>
  <si>
    <t xml:space="preserve">litre de fioul en Mégajoule</t>
  </si>
  <si>
    <t xml:space="preserve">mégajoule</t>
  </si>
  <si>
    <t xml:space="preserve">source Vincent</t>
  </si>
  <si>
    <t xml:space="preserve">Propane/Butane</t>
  </si>
  <si>
    <t xml:space="preserve">litre de gazoil en Mégajoule</t>
  </si>
  <si>
    <t xml:space="preserve">Electricité basse tension (secteur agricole)</t>
  </si>
  <si>
    <t xml:space="preserve">litre d'essence en Mégajoule</t>
  </si>
  <si>
    <t xml:space="preserve">litre de lubrifiant en Mégajoule</t>
  </si>
  <si>
    <t xml:space="preserve">Electricité moyenne FR</t>
  </si>
  <si>
    <t xml:space="preserve">kg de charbon en Mégajoule</t>
  </si>
  <si>
    <t xml:space="preserve">Sources </t>
  </si>
  <si>
    <t xml:space="preserve">GESTIM'</t>
  </si>
  <si>
    <t xml:space="preserve">litre de GPL en Mégajoule</t>
  </si>
  <si>
    <t xml:space="preserve">m3 de gaz naturel en mégajoule</t>
  </si>
  <si>
    <r>
      <rPr>
        <sz val="10"/>
        <color rgb="FF000000"/>
        <rFont val="Arial"/>
        <family val="2"/>
        <charset val="1"/>
      </rPr>
      <t xml:space="preserve">m</t>
    </r>
    <r>
      <rPr>
        <vertAlign val="superscript"/>
        <sz val="7.5"/>
        <color rgb="FF000000"/>
        <rFont val="Arial"/>
        <family val="2"/>
        <charset val="1"/>
      </rPr>
      <t xml:space="preserve">3</t>
    </r>
  </si>
  <si>
    <t xml:space="preserve">source</t>
  </si>
  <si>
    <t xml:space="preserve">Dia'terre</t>
  </si>
  <si>
    <t xml:space="preserve">Fertilisants</t>
  </si>
  <si>
    <t xml:space="preserve">(AUT1)</t>
  </si>
  <si>
    <t xml:space="preserve">composition</t>
  </si>
  <si>
    <t xml:space="preserve">énergie</t>
  </si>
  <si>
    <t xml:space="preserve">eq MJ/unité N</t>
  </si>
  <si>
    <t xml:space="preserve">Ferti N</t>
  </si>
  <si>
    <t xml:space="preserve">éq MJ par unité</t>
  </si>
  <si>
    <t xml:space="preserve">kg /1000 kg d'engrais (=1tonne)</t>
  </si>
  <si>
    <t xml:space="preserve">tout engrais avec Azote</t>
  </si>
  <si>
    <t xml:space="preserve">par unité N</t>
  </si>
  <si>
    <t xml:space="preserve">par untité  de P2O5</t>
  </si>
  <si>
    <t xml:space="preserve">Potasse (ou amendements)</t>
  </si>
  <si>
    <t xml:space="preserve">par unité de K20</t>
  </si>
  <si>
    <t xml:space="preserve">5-11-11 (comme 7-7-7) (% en N,P,K)</t>
  </si>
  <si>
    <t xml:space="preserve">par unité d'N</t>
  </si>
  <si>
    <t xml:space="preserve">source: vincent</t>
  </si>
  <si>
    <t xml:space="preserve">Energie indirecte associée à la production des éléments concentrés</t>
  </si>
  <si>
    <t xml:space="preserve">AUT1</t>
  </si>
  <si>
    <t xml:space="preserve">Ne prendre que les aliments concentrés achetés</t>
  </si>
  <si>
    <t xml:space="preserve">Aliments</t>
  </si>
  <si>
    <t xml:space="preserve">éq MJ/tonnes</t>
  </si>
  <si>
    <t xml:space="preserve">rq</t>
  </si>
  <si>
    <t xml:space="preserve">correcteur azoté</t>
  </si>
  <si>
    <t xml:space="preserve">chiffre du colza mais prendre ce chiffre que ce soit colza ou soja</t>
  </si>
  <si>
    <t xml:space="preserve">Tout type tourteaux</t>
  </si>
  <si>
    <t xml:space="preserve">détails ( colza 5,7 et soja 3,3)</t>
  </si>
  <si>
    <t xml:space="preserve">VL18</t>
  </si>
  <si>
    <t xml:space="preserve">si acheté. VL 18 considéré comme 80% orge (2,56), 20% soja (5,58)</t>
  </si>
  <si>
    <t xml:space="preserve">luzerne déshydratée</t>
  </si>
  <si>
    <t xml:space="preserve">mâche</t>
  </si>
  <si>
    <t xml:space="preserve">source: grand livre + Vincent</t>
  </si>
  <si>
    <t xml:space="preserve">Tableau référence de la composition des prairies temporaires</t>
  </si>
  <si>
    <t xml:space="preserve">AUT6</t>
  </si>
  <si>
    <t xml:space="preserve">RES2</t>
  </si>
  <si>
    <t xml:space="preserve">source IDEA 3</t>
  </si>
  <si>
    <t xml:space="preserve">Tableau de réfèrence de production d'azote organique, kg d'azote produit par UGB</t>
  </si>
  <si>
    <t xml:space="preserve">AUT7</t>
  </si>
  <si>
    <t xml:space="preserve">kg N org/an</t>
  </si>
  <si>
    <t xml:space="preserve">1 UGB</t>
  </si>
  <si>
    <t xml:space="preserve">valeur directive nitrate</t>
  </si>
  <si>
    <t xml:space="preserve">1 porc charcutier</t>
  </si>
  <si>
    <t xml:space="preserve">vincent</t>
  </si>
  <si>
    <t xml:space="preserve">1 truie naisseur, caillebotis </t>
  </si>
  <si>
    <t xml:space="preserve">alimentation</t>
  </si>
  <si>
    <t xml:space="preserve">(AUT3.1, ROB1)</t>
  </si>
  <si>
    <t xml:space="preserve">consommation tMS/an</t>
  </si>
  <si>
    <t xml:space="preserve">Indicateur de Surface développée </t>
  </si>
  <si>
    <t xml:space="preserve">Grille simplifiée de la grille détaillé ci-joint</t>
  </si>
  <si>
    <t xml:space="preserve">Type d'IAE</t>
  </si>
  <si>
    <t xml:space="preserve">Catégorie</t>
  </si>
  <si>
    <r>
      <rPr>
        <sz val="12"/>
        <color rgb="FFFFFFFF"/>
        <rFont val="Calibri"/>
        <family val="2"/>
        <charset val="1"/>
      </rPr>
      <t xml:space="preserve">Coefficient de conversion</t>
    </r>
    <r>
      <rPr>
        <b val="true"/>
        <sz val="12"/>
        <color rgb="FFFFFFFF"/>
        <rFont val="Calibri"/>
        <family val="2"/>
        <charset val="1"/>
      </rPr>
      <t xml:space="preserve"> surface développée (m²)</t>
    </r>
  </si>
  <si>
    <t xml:space="preserve">100m Linéaire de haie basse, largeur 2m (nb)</t>
  </si>
  <si>
    <t xml:space="preserve">100m Linéaire de haie buissonnante, largueur 5m (nb)</t>
  </si>
  <si>
    <t xml:space="preserve">Arbres/fôrets/</t>
  </si>
  <si>
    <t xml:space="preserve">100m  Linéaire de haie arborescente mono-spécifique, largeur 10m (nb)</t>
  </si>
  <si>
    <t xml:space="preserve">Arbre de temps en temps</t>
  </si>
  <si>
    <t xml:space="preserve">100m Linéaire de haie arborescente pluri-spécifique et poly-stratifiées (nb)</t>
  </si>
  <si>
    <t xml:space="preserve">Prairies</t>
  </si>
  <si>
    <t xml:space="preserve">Bosquets</t>
  </si>
  <si>
    <t xml:space="preserve">Bosquets (ha)</t>
  </si>
  <si>
    <t xml:space="preserve">Arbres</t>
  </si>
  <si>
    <t xml:space="preserve">nb Arbre isolé petit (Φ [7.5 – 22.5 cm [)</t>
  </si>
  <si>
    <t xml:space="preserve">nb Arbre isolé moyen (Φ [22.5 – 47.5 cm [)</t>
  </si>
  <si>
    <t xml:space="preserve">nb Arbre isolé gros (Φ≥47.5 cm)</t>
  </si>
  <si>
    <t xml:space="preserve">Arbre (nb)</t>
  </si>
  <si>
    <t xml:space="preserve">Vergers</t>
  </si>
  <si>
    <t xml:space="preserve">Densité 50-100 arbres</t>
  </si>
  <si>
    <t xml:space="preserve">Densité 100-250 arbres</t>
  </si>
  <si>
    <t xml:space="preserve">Surface toujours en herbe</t>
  </si>
  <si>
    <t xml:space="preserve">Peu productive</t>
  </si>
  <si>
    <t xml:space="preserve">Productive</t>
  </si>
  <si>
    <t xml:space="preserve">Divers</t>
  </si>
  <si>
    <t xml:space="preserve">ha Bandes enherbées ou bandes tampons en bordure de cours d’eau</t>
  </si>
  <si>
    <t xml:space="preserve">100 m linéaire Lisières de bois</t>
  </si>
  <si>
    <t xml:space="preserve">1 ha Bordures de champ</t>
  </si>
  <si>
    <t xml:space="preserve">1 ha Jachère</t>
  </si>
  <si>
    <t xml:space="preserve">1 ha Tourbières</t>
  </si>
  <si>
    <t xml:space="preserve">1 m périmètre de Mares et lavognes</t>
  </si>
  <si>
    <t xml:space="preserve">1 m périmètre de  Fossés et cours d’eau</t>
  </si>
  <si>
    <t xml:space="preserve">1 m linéaire de Talus, Murets et terrasses</t>
  </si>
  <si>
    <t xml:space="preserve">Agroforesterie : 1 ha Sylvopastoralisme (Arbre moyen)</t>
  </si>
  <si>
    <t xml:space="preserve">Agroforesterie : 1 ha Agrisylviculture (Arbre moyen)</t>
  </si>
  <si>
    <t xml:space="preserve">100 m linéaire Ripisylve</t>
  </si>
  <si>
    <t xml:space="preserve">source Biotex</t>
  </si>
  <si>
    <t xml:space="preserve">liste race rustique animal et vegetal</t>
  </si>
  <si>
    <t xml:space="preserve">ROB5</t>
  </si>
  <si>
    <t xml:space="preserve">liste des races animales menacées </t>
  </si>
  <si>
    <t xml:space="preserve">(ANC1)</t>
  </si>
  <si>
    <t xml:space="preserve">Tableau Bilan apparent Azote</t>
  </si>
  <si>
    <t xml:space="preserve">cf IDEA3 </t>
  </si>
  <si>
    <t xml:space="preserve">Pour le calcul du Bilan apparent (Pradel)</t>
  </si>
  <si>
    <t xml:space="preserve">1. Entrées</t>
  </si>
  <si>
    <t xml:space="preserve">1.1. Entrées par les engrais chimiques</t>
  </si>
  <si>
    <t xml:space="preserve">Engrais</t>
  </si>
  <si>
    <t xml:space="preserve">Exportation (Kg) </t>
  </si>
  <si>
    <r>
      <rPr>
        <sz val="10"/>
        <rFont val="Arial"/>
        <family val="2"/>
        <charset val="1"/>
      </rPr>
      <t xml:space="preserve">P</t>
    </r>
    <r>
      <rPr>
        <vertAlign val="subscript"/>
        <sz val="10"/>
        <rFont val="Arial"/>
        <family val="2"/>
        <charset val="1"/>
      </rPr>
      <t xml:space="preserve">2</t>
    </r>
    <r>
      <rPr>
        <sz val="10"/>
        <rFont val="Arial"/>
        <family val="2"/>
        <charset val="1"/>
      </rPr>
      <t xml:space="preserve">O</t>
    </r>
    <r>
      <rPr>
        <vertAlign val="subscript"/>
        <sz val="10"/>
        <rFont val="Arial"/>
        <family val="2"/>
        <charset val="1"/>
      </rPr>
      <t xml:space="preserve">5</t>
    </r>
  </si>
  <si>
    <r>
      <rPr>
        <sz val="10"/>
        <rFont val="Arial"/>
        <family val="2"/>
        <charset val="1"/>
      </rPr>
      <t xml:space="preserve">K</t>
    </r>
    <r>
      <rPr>
        <vertAlign val="subscript"/>
        <sz val="10"/>
        <rFont val="Arial"/>
        <family val="2"/>
        <charset val="1"/>
      </rPr>
      <t xml:space="preserve">2</t>
    </r>
    <r>
      <rPr>
        <sz val="10"/>
        <rFont val="Arial"/>
        <family val="2"/>
        <charset val="1"/>
      </rPr>
      <t xml:space="preserve">O</t>
    </r>
  </si>
  <si>
    <t xml:space="preserve">00-06-12S</t>
  </si>
  <si>
    <t xml:space="preserve">Ql</t>
  </si>
  <si>
    <t xml:space="preserve">00-14-42</t>
  </si>
  <si>
    <t xml:space="preserve">00-18-18</t>
  </si>
  <si>
    <t xml:space="preserve">00-25-25</t>
  </si>
  <si>
    <t xml:space="preserve">03-04-12</t>
  </si>
  <si>
    <t xml:space="preserve">03-08-14</t>
  </si>
  <si>
    <t xml:space="preserve">04-04-15</t>
  </si>
  <si>
    <t xml:space="preserve">04-05-16</t>
  </si>
  <si>
    <t xml:space="preserve">04-07-16</t>
  </si>
  <si>
    <t xml:space="preserve">04-20-20</t>
  </si>
  <si>
    <t xml:space="preserve">05-08-12SK</t>
  </si>
  <si>
    <t xml:space="preserve">05-12-24</t>
  </si>
  <si>
    <t xml:space="preserve">05-20-15</t>
  </si>
  <si>
    <t xml:space="preserve">06-15-30S</t>
  </si>
  <si>
    <t xml:space="preserve">07-07-10SK</t>
  </si>
  <si>
    <t xml:space="preserve">07-08-14S</t>
  </si>
  <si>
    <t xml:space="preserve">07-18-30S</t>
  </si>
  <si>
    <t xml:space="preserve">08-05-05SK</t>
  </si>
  <si>
    <t xml:space="preserve">08-15-22</t>
  </si>
  <si>
    <t xml:space="preserve">08-15-22B</t>
  </si>
  <si>
    <t xml:space="preserve">08-21-33</t>
  </si>
  <si>
    <t xml:space="preserve">09-16-18</t>
  </si>
  <si>
    <t xml:space="preserve">100% (amendement orga)</t>
  </si>
  <si>
    <t xml:space="preserve">10-05-20</t>
  </si>
  <si>
    <t xml:space="preserve">Phosamo</t>
  </si>
  <si>
    <t xml:space="preserve">10-10-15S</t>
  </si>
  <si>
    <t xml:space="preserve">10-12-24</t>
  </si>
  <si>
    <t xml:space="preserve">10-20-20</t>
  </si>
  <si>
    <t xml:space="preserve">10-25-20</t>
  </si>
  <si>
    <t xml:space="preserve">10-26-26</t>
  </si>
  <si>
    <t xml:space="preserve">12-20-10</t>
  </si>
  <si>
    <t xml:space="preserve">12-30-20</t>
  </si>
  <si>
    <t xml:space="preserve">13-13-26</t>
  </si>
  <si>
    <t xml:space="preserve">14-09-18</t>
  </si>
  <si>
    <t xml:space="preserve">15-15-15</t>
  </si>
  <si>
    <t xml:space="preserve">17-17-17</t>
  </si>
  <si>
    <t xml:space="preserve">20-05-10</t>
  </si>
  <si>
    <t xml:space="preserve">ACTIVUS (amendement orga)</t>
  </si>
  <si>
    <t xml:space="preserve">Agri martin (organo-minéral)</t>
  </si>
  <si>
    <t xml:space="preserve">3 (1)</t>
  </si>
  <si>
    <t xml:space="preserve">Agroblen</t>
  </si>
  <si>
    <t xml:space="preserve">Agroblen tablet</t>
  </si>
  <si>
    <t xml:space="preserve">AMENDINE (amendement orga)</t>
  </si>
  <si>
    <t xml:space="preserve">Ammonitrate 33,5%</t>
  </si>
  <si>
    <t xml:space="preserve">Ammonitre</t>
  </si>
  <si>
    <t xml:space="preserve">Exportation (Kg)</t>
  </si>
  <si>
    <t xml:space="preserve">ANGISOL LANGUEDOC (amt orga)</t>
  </si>
  <si>
    <t xml:space="preserve">Basacote plus</t>
  </si>
  <si>
    <t xml:space="preserve">Osmocote plus Triabon</t>
  </si>
  <si>
    <t xml:space="preserve">BIO FUMUR (amendement orga)</t>
  </si>
  <si>
    <t xml:space="preserve">BIOFERTIL (amendement orga)</t>
  </si>
  <si>
    <t xml:space="preserve">BIOMASSE (amendement orga)</t>
  </si>
  <si>
    <t xml:space="preserve">BIOREX (amendement orga)</t>
  </si>
  <si>
    <t xml:space="preserve">BIOSOL (amendement orga)</t>
  </si>
  <si>
    <t xml:space="preserve">Chlorure de potassium</t>
  </si>
  <si>
    <t xml:space="preserve">Corne broyée (organique)</t>
  </si>
  <si>
    <t xml:space="preserve">ECORCIMUS (amendement orga)</t>
  </si>
  <si>
    <t xml:space="preserve">ECOVIT EC. FEUIL. FUMIER (orga)</t>
  </si>
  <si>
    <t xml:space="preserve">ECOVIT EC. FEUILLUS (amt orga)</t>
  </si>
  <si>
    <t xml:space="preserve">ECOVIT EC. RESINEUX (amt orga)</t>
  </si>
  <si>
    <t xml:space="preserve">FERTIL 55 (amendement orga)</t>
  </si>
  <si>
    <t xml:space="preserve">Fertiltopcote</t>
  </si>
  <si>
    <t xml:space="preserve">Fertimaster</t>
  </si>
  <si>
    <t xml:space="preserve">Fertitop</t>
  </si>
  <si>
    <t xml:space="preserve">Ficote</t>
  </si>
  <si>
    <t xml:space="preserve">Fumagly</t>
  </si>
  <si>
    <t xml:space="preserve">FUMEC (amendement orga)</t>
  </si>
  <si>
    <t xml:space="preserve">FUMETERRE (amendement orga)</t>
  </si>
  <si>
    <t xml:space="preserve">Guano Angibaud (organo-minéral)</t>
  </si>
  <si>
    <t xml:space="preserve">9 (1,5)</t>
  </si>
  <si>
    <t xml:space="preserve">Humigerm (organique)</t>
  </si>
  <si>
    <t xml:space="preserve">Hydro</t>
  </si>
  <si>
    <t xml:space="preserve">Hl</t>
  </si>
  <si>
    <t xml:space="preserve">Liquovigne 13</t>
  </si>
  <si>
    <t xml:space="preserve">Magaline du roure (organo-minéral)</t>
  </si>
  <si>
    <t xml:space="preserve">3 (2)</t>
  </si>
  <si>
    <t xml:space="preserve">MARC COMPOSTE (amt orga)</t>
  </si>
  <si>
    <t xml:space="preserve">MARC DE RAISINS (amt orga)</t>
  </si>
  <si>
    <t xml:space="preserve">MARC ENRICHI (amendement orga)</t>
  </si>
  <si>
    <t xml:space="preserve">MEDI 60 (amendement organique)</t>
  </si>
  <si>
    <t xml:space="preserve">MEDIPUS G.R. (amendement orga)</t>
  </si>
  <si>
    <t xml:space="preserve">MEDIPUS P.O. (amendement orga)</t>
  </si>
  <si>
    <t xml:space="preserve">MEDIVRAC (amendement orga)</t>
  </si>
  <si>
    <t xml:space="preserve">MO 90 (amendement orga)</t>
  </si>
  <si>
    <t xml:space="preserve">Multi-grant</t>
  </si>
  <si>
    <t xml:space="preserve">NH3 gazeux 82%</t>
  </si>
  <si>
    <t xml:space="preserve">Nitrate de chaux</t>
  </si>
  <si>
    <t xml:space="preserve">Nitrate de potasse</t>
  </si>
  <si>
    <t xml:space="preserve">Nitrophoska 1</t>
  </si>
  <si>
    <t xml:space="preserve">Nitrophoska 2</t>
  </si>
  <si>
    <t xml:space="preserve">Nitror</t>
  </si>
  <si>
    <t xml:space="preserve">Nutricote starter</t>
  </si>
  <si>
    <t xml:space="preserve">ORGAVEG 65 (amendement orga)</t>
  </si>
  <si>
    <t xml:space="preserve">Osmocote - Nutricote</t>
  </si>
  <si>
    <t xml:space="preserve">OVITERRE (amendement orga)</t>
  </si>
  <si>
    <t xml:space="preserve">Oxyfertil</t>
  </si>
  <si>
    <t xml:space="preserve">Patentkali</t>
  </si>
  <si>
    <t xml:space="preserve">Perlurée - urée</t>
  </si>
  <si>
    <t xml:space="preserve">Phoskali du roure</t>
  </si>
  <si>
    <t xml:space="preserve">Phosphal potassique 18/10</t>
  </si>
  <si>
    <t xml:space="preserve">Phosphate naturel</t>
  </si>
  <si>
    <t xml:space="preserve">Phosphate d'ammoniaque</t>
  </si>
  <si>
    <t xml:space="preserve">Plant prod</t>
  </si>
  <si>
    <t xml:space="preserve">Potamag</t>
  </si>
  <si>
    <t xml:space="preserve">REGENOR (amendement orga)</t>
  </si>
  <si>
    <t xml:space="preserve">RELAIS (amendement orga)</t>
  </si>
  <si>
    <t xml:space="preserve">Roussillon Al (organo-minéral)</t>
  </si>
  <si>
    <t xml:space="preserve">7 (1,2)</t>
  </si>
  <si>
    <t xml:space="preserve">Scories 12%</t>
  </si>
  <si>
    <t xml:space="preserve">Scories 16%</t>
  </si>
  <si>
    <t xml:space="preserve">Scories 18%</t>
  </si>
  <si>
    <t xml:space="preserve">Scories 7/21</t>
  </si>
  <si>
    <t xml:space="preserve">Scories phosphopotassiques</t>
  </si>
  <si>
    <t xml:space="preserve">Scories potassiques 10/10</t>
  </si>
  <si>
    <t xml:space="preserve">Scories potassiques 10/15</t>
  </si>
  <si>
    <t xml:space="preserve">Scories potassiques 10/20</t>
  </si>
  <si>
    <t xml:space="preserve">Scories potassiques 12/12</t>
  </si>
  <si>
    <t xml:space="preserve">Scories potassiques 15/15</t>
  </si>
  <si>
    <t xml:space="preserve">Scories potassiques 6/18</t>
  </si>
  <si>
    <t xml:space="preserve">SCPA</t>
  </si>
  <si>
    <t xml:space="preserve">Solution 30%</t>
  </si>
  <si>
    <t xml:space="preserve">Sud fertilisant 1</t>
  </si>
  <si>
    <t xml:space="preserve">Sud fertilisant 2</t>
  </si>
  <si>
    <t xml:space="preserve">Sud fertilisant 3</t>
  </si>
  <si>
    <t xml:space="preserve">Sulfate d'ammoniaque</t>
  </si>
  <si>
    <t xml:space="preserve">Sulfate de potasse ou de potassium ou solupotasse</t>
  </si>
  <si>
    <t xml:space="preserve">Super 18%</t>
  </si>
  <si>
    <t xml:space="preserve">Super 25%</t>
  </si>
  <si>
    <t xml:space="preserve">Super 45% (super triple)</t>
  </si>
  <si>
    <t xml:space="preserve">Super potassique 12/24</t>
  </si>
  <si>
    <t xml:space="preserve">Super potassique 13/18</t>
  </si>
  <si>
    <t xml:space="preserve">Super potassique 14/28</t>
  </si>
  <si>
    <t xml:space="preserve">Super potassique 20/20</t>
  </si>
  <si>
    <t xml:space="preserve">Super potassique 25/25</t>
  </si>
  <si>
    <t xml:space="preserve">TOURBE DU MÉDOC 1 (amt orga)</t>
  </si>
  <si>
    <t xml:space="preserve">TOURBE DU MÉDOC 2 (amt orga)</t>
  </si>
  <si>
    <t xml:space="preserve">VEGETHUMUS (amendement orga)</t>
  </si>
  <si>
    <t xml:space="preserve">Végéthumus (organique)</t>
  </si>
  <si>
    <t xml:space="preserve">1.2. Entrées et sorties par les engrais organiques importés</t>
  </si>
  <si>
    <t xml:space="preserve">LES COMPOSTS</t>
  </si>
  <si>
    <t xml:space="preserve">Kg/T produit brut</t>
  </si>
  <si>
    <t xml:space="preserve">Teneur (Kg)</t>
  </si>
  <si>
    <t xml:space="preserve">Compost de fumier de bovins</t>
  </si>
  <si>
    <t xml:space="preserve">Compost de fumier d'ovins</t>
  </si>
  <si>
    <t xml:space="preserve">Compost de fumier de dindes</t>
  </si>
  <si>
    <t xml:space="preserve">Compost de fumier de dindes + déchets ligneux</t>
  </si>
  <si>
    <t xml:space="preserve">LES FUMIERS DE VOLAILLES</t>
  </si>
  <si>
    <t xml:space="preserve">Poulets de chair</t>
  </si>
  <si>
    <t xml:space="preserve">A la sortie du bâtiment</t>
  </si>
  <si>
    <t xml:space="preserve">Après stockage, conditions sèches</t>
  </si>
  <si>
    <t xml:space="preserve">Après stockage, conditions favorables à la fermentation</t>
  </si>
  <si>
    <t xml:space="preserve">Après stockage, conditions très humides</t>
  </si>
  <si>
    <t xml:space="preserve">Poulets label</t>
  </si>
  <si>
    <t xml:space="preserve">Dindes de chair</t>
  </si>
  <si>
    <t xml:space="preserve">Pintades de chair</t>
  </si>
  <si>
    <t xml:space="preserve">Animal:</t>
  </si>
  <si>
    <t xml:space="preserve">type :</t>
  </si>
  <si>
    <t xml:space="preserve">Kg d'azote/t ou Kg/m3</t>
  </si>
  <si>
    <t xml:space="preserve">Fumier très compact, litière accumulée</t>
  </si>
  <si>
    <t xml:space="preserve">LES FIENTES</t>
  </si>
  <si>
    <t xml:space="preserve">Poules pondeuses</t>
  </si>
  <si>
    <t xml:space="preserve">Fumier compact</t>
  </si>
  <si>
    <t xml:space="preserve">Fumier mou logette</t>
  </si>
  <si>
    <t xml:space="preserve">Fientes humides</t>
  </si>
  <si>
    <t xml:space="preserve">Fientes séchées en fosse profonde</t>
  </si>
  <si>
    <t xml:space="preserve">Lisier dilué</t>
  </si>
  <si>
    <t xml:space="preserve">Lisier très dilué</t>
  </si>
  <si>
    <t xml:space="preserve">Purin pur</t>
  </si>
  <si>
    <t xml:space="preserve">LES LISIERS DE VOLAILLES</t>
  </si>
  <si>
    <r>
      <rPr>
        <sz val="10"/>
        <rFont val="Arial"/>
        <family val="2"/>
        <charset val="1"/>
      </rPr>
      <t xml:space="preserve">Kg/m</t>
    </r>
    <r>
      <rPr>
        <vertAlign val="superscript"/>
        <sz val="10"/>
        <rFont val="Arial"/>
        <family val="2"/>
        <charset val="1"/>
      </rPr>
      <t xml:space="preserve">3</t>
    </r>
    <r>
      <rPr>
        <sz val="10"/>
        <rFont val="Arial"/>
        <family val="2"/>
        <charset val="1"/>
      </rPr>
      <t xml:space="preserve"> produit brut</t>
    </r>
  </si>
  <si>
    <t xml:space="preserve">Lixiviat (purins dilués de fumières)</t>
  </si>
  <si>
    <t xml:space="preserve">MS = 10%</t>
  </si>
  <si>
    <t xml:space="preserve">MS entre 10 et 15%</t>
  </si>
  <si>
    <t xml:space="preserve">MS &gt; 15%</t>
  </si>
  <si>
    <t xml:space="preserve">Porcin</t>
  </si>
  <si>
    <t xml:space="preserve">Canards gras</t>
  </si>
  <si>
    <t xml:space="preserve">Lisier mixte (fosse extérieure)</t>
  </si>
  <si>
    <t xml:space="preserve">Fumier de litière accumulée</t>
  </si>
  <si>
    <t xml:space="preserve">Lisier de canards gras</t>
  </si>
  <si>
    <t xml:space="preserve">Fumier de litière raclée</t>
  </si>
  <si>
    <t xml:space="preserve">source: IDEA 3</t>
  </si>
  <si>
    <t xml:space="preserve">Lisier de poules pondeuses</t>
  </si>
  <si>
    <t xml:space="preserve">LES FUMIERS DE BOVINS</t>
  </si>
  <si>
    <t xml:space="preserve">fumier compact étables entravées</t>
  </si>
  <si>
    <t xml:space="preserve">fumier mou de logettes</t>
  </si>
  <si>
    <t xml:space="preserve">fumier très compact</t>
  </si>
  <si>
    <t xml:space="preserve">fumier compact de pente paillée</t>
  </si>
  <si>
    <t xml:space="preserve">LES FUMIERS DE CAPRINS, OVINS, PORCINS</t>
  </si>
  <si>
    <t xml:space="preserve">Ovins - Caprins</t>
  </si>
  <si>
    <t xml:space="preserve">fumier de caprins</t>
  </si>
  <si>
    <t xml:space="preserve">fumier d'ovins</t>
  </si>
  <si>
    <t xml:space="preserve">Porcins</t>
  </si>
  <si>
    <t xml:space="preserve">fumier de porcins - litière accumulée</t>
  </si>
  <si>
    <t xml:space="preserve">fumier de porcins - litière raclée</t>
  </si>
  <si>
    <t xml:space="preserve">LES LISIERS DE BOVINS</t>
  </si>
  <si>
    <t xml:space="preserve">Lisier de bovins à l'engrais</t>
  </si>
  <si>
    <t xml:space="preserve">Lisier très dilué en système non couvert</t>
  </si>
  <si>
    <t xml:space="preserve">Lisier dilué en système couvert</t>
  </si>
  <si>
    <t xml:space="preserve">Lisier dilué en système non couvert</t>
  </si>
  <si>
    <t xml:space="preserve">Lisier pur, peu dilué en système couvert</t>
  </si>
  <si>
    <t xml:space="preserve">Lisier plus ou moins pailleux</t>
  </si>
  <si>
    <t xml:space="preserve">Veaux</t>
  </si>
  <si>
    <t xml:space="preserve">Lisier de veaux en batterie</t>
  </si>
  <si>
    <t xml:space="preserve">LES LISIERS DE PORCINS</t>
  </si>
  <si>
    <t xml:space="preserve">lisier alimentation bi-phase</t>
  </si>
  <si>
    <t xml:space="preserve">lisier alimentation standard</t>
  </si>
  <si>
    <t xml:space="preserve">lisier de porcs à l'engrais</t>
  </si>
  <si>
    <t xml:space="preserve">lisiers de porcs mixtes</t>
  </si>
  <si>
    <t xml:space="preserve">purins</t>
  </si>
  <si>
    <t xml:space="preserve">lixiviats dilués</t>
  </si>
  <si>
    <t xml:space="preserve">VALEURS MOYENNES DES FUMIERS,    LISIERS ET PURINS</t>
  </si>
  <si>
    <t xml:space="preserve">Fumiers</t>
  </si>
  <si>
    <t xml:space="preserve">vaches laitières</t>
  </si>
  <si>
    <t xml:space="preserve">vaches allaitantes</t>
  </si>
  <si>
    <t xml:space="preserve">taurillons</t>
  </si>
  <si>
    <t xml:space="preserve">volailles</t>
  </si>
  <si>
    <t xml:space="preserve">chevaux</t>
  </si>
  <si>
    <t xml:space="preserve">porcs</t>
  </si>
  <si>
    <t xml:space="preserve">Lisiers</t>
  </si>
  <si>
    <t xml:space="preserve">bovins</t>
  </si>
  <si>
    <t xml:space="preserve">Purins</t>
  </si>
  <si>
    <t xml:space="preserve">VALEURS DES BOUES D'ÉPURATION</t>
  </si>
  <si>
    <t xml:space="preserve">Boues</t>
  </si>
  <si>
    <t xml:space="preserve">boue liquide</t>
  </si>
  <si>
    <t xml:space="preserve">2-4</t>
  </si>
  <si>
    <t xml:space="preserve">2-3</t>
  </si>
  <si>
    <t xml:space="preserve">0,9</t>
  </si>
  <si>
    <t xml:space="preserve">boue pâteuse</t>
  </si>
  <si>
    <t xml:space="preserve">8-12</t>
  </si>
  <si>
    <t xml:space="preserve">6-9</t>
  </si>
  <si>
    <t xml:space="preserve">0,8</t>
  </si>
  <si>
    <t xml:space="preserve">boue sèche</t>
  </si>
  <si>
    <t xml:space="preserve">30-50</t>
  </si>
  <si>
    <t xml:space="preserve">50-70</t>
  </si>
  <si>
    <t xml:space="preserve">5</t>
  </si>
  <si>
    <t xml:space="preserve">boue chaulée</t>
  </si>
  <si>
    <t xml:space="preserve">6-10</t>
  </si>
  <si>
    <t xml:space="preserve">1</t>
  </si>
  <si>
    <t xml:space="preserve">boue compostée</t>
  </si>
  <si>
    <t xml:space="preserve">5-9</t>
  </si>
  <si>
    <t xml:space="preserve">6-8</t>
  </si>
  <si>
    <t xml:space="preserve">1-2</t>
  </si>
  <si>
    <t xml:space="preserve">rdt en qx/ha</t>
  </si>
  <si>
    <t xml:space="preserve">1.4. Entrées et sorties par les fourrages grossiers et litières</t>
  </si>
  <si>
    <t xml:space="preserve">Kg/tonne MS</t>
  </si>
  <si>
    <t xml:space="preserve">Pulpes bett. surpre.</t>
  </si>
  <si>
    <t xml:space="preserve">Luzerne déshy.</t>
  </si>
  <si>
    <t xml:space="preserve">Paille non traitée</t>
  </si>
  <si>
    <t xml:space="preserve">1.5. Entrées par les concentrés et les compléments minéraux</t>
  </si>
  <si>
    <t xml:space="preserve">Kg/tonne</t>
  </si>
  <si>
    <t xml:space="preserve">Composition moyenne des matières premières</t>
  </si>
  <si>
    <t xml:space="preserve">Orge</t>
  </si>
  <si>
    <t xml:space="preserve">Tourt. Soja 48</t>
  </si>
  <si>
    <t xml:space="preserve">Tourt. Soja 46</t>
  </si>
  <si>
    <t xml:space="preserve">Tourt. Soja 44</t>
  </si>
  <si>
    <t xml:space="preserve">Tourteau colza</t>
  </si>
  <si>
    <t xml:space="preserve">Lupin</t>
  </si>
  <si>
    <t xml:space="preserve">Luzerne déshy. 16%</t>
  </si>
  <si>
    <t xml:space="preserve">Luzerne déshy. 18%</t>
  </si>
  <si>
    <t xml:space="preserve">Luzerne déshy. 20%</t>
  </si>
  <si>
    <t xml:space="preserve">Luzerne déshy. 22%</t>
  </si>
  <si>
    <t xml:space="preserve">Composition moyenne des aliments du commerce</t>
  </si>
  <si>
    <t xml:space="preserve">Aliment porc charc.</t>
  </si>
  <si>
    <t xml:space="preserve">Aliment poule pond.</t>
  </si>
  <si>
    <t xml:space="preserve">1.5. Entrées par les animaux</t>
  </si>
  <si>
    <t xml:space="preserve">Poids vif (T)</t>
  </si>
  <si>
    <t xml:space="preserve">Normande</t>
  </si>
  <si>
    <t xml:space="preserve">Charolais</t>
  </si>
  <si>
    <t xml:space="preserve">Pie-noir</t>
  </si>
  <si>
    <t xml:space="preserve">Limousin</t>
  </si>
  <si>
    <t xml:space="preserve">Veau 8-15j</t>
  </si>
  <si>
    <t xml:space="preserve">-</t>
  </si>
  <si>
    <t xml:space="preserve">Génisse 1 an</t>
  </si>
  <si>
    <t xml:space="preserve">Génisse amouil.</t>
  </si>
  <si>
    <t xml:space="preserve">Vache réforme</t>
  </si>
  <si>
    <t xml:space="preserve">Taurillons 18m</t>
  </si>
  <si>
    <t xml:space="preserve">Bœuf</t>
  </si>
  <si>
    <t xml:space="preserve">Broutard</t>
  </si>
  <si>
    <t xml:space="preserve">Génisses grasse</t>
  </si>
  <si>
    <t xml:space="preserve">Poids vif des animaux hors-sol (tonnes)</t>
  </si>
  <si>
    <t xml:space="preserve">Porcelet</t>
  </si>
  <si>
    <t xml:space="preserve">Porc charcutier</t>
  </si>
  <si>
    <t xml:space="preserve">Truie de réforme</t>
  </si>
  <si>
    <t xml:space="preserve">Poussin</t>
  </si>
  <si>
    <t xml:space="preserve">Poulet 20 semaines</t>
  </si>
  <si>
    <t xml:space="preserve">Poulet standard</t>
  </si>
  <si>
    <t xml:space="preserve">Poulet label</t>
  </si>
  <si>
    <t xml:space="preserve">Dinde</t>
  </si>
  <si>
    <t xml:space="preserve">Pintade</t>
  </si>
  <si>
    <t xml:space="preserve">Canard de chair</t>
  </si>
  <si>
    <t xml:space="preserve">Canard gras</t>
  </si>
  <si>
    <t xml:space="preserve">Oie</t>
  </si>
  <si>
    <t xml:space="preserve">Lapin</t>
  </si>
  <si>
    <t xml:space="preserve">Lapine de réforme</t>
  </si>
  <si>
    <t xml:space="preserve">Kg/tonne brut</t>
  </si>
  <si>
    <t xml:space="preserve">Équin</t>
  </si>
  <si>
    <t xml:space="preserve">Caprin - ovin</t>
  </si>
  <si>
    <t xml:space="preserve">Œuf de poule</t>
  </si>
  <si>
    <t xml:space="preserve">Poussin de poulet</t>
  </si>
  <si>
    <t xml:space="preserve">Poulet</t>
  </si>
  <si>
    <t xml:space="preserve">Poussin de dinde</t>
  </si>
  <si>
    <t xml:space="preserve">Poussin de canard</t>
  </si>
  <si>
    <t xml:space="preserve">Canard</t>
  </si>
  <si>
    <t xml:space="preserve">Poussin de pintade</t>
  </si>
  <si>
    <t xml:space="preserve">2. Sorties</t>
  </si>
  <si>
    <t xml:space="preserve">2.1. Sorties par les animaux</t>
  </si>
  <si>
    <t xml:space="preserve">Coefficient de conversion du poids de carcasse en poids vif</t>
  </si>
  <si>
    <t xml:space="preserve">Veau boucherie</t>
  </si>
  <si>
    <t xml:space="preserve">Génisse grasse</t>
  </si>
  <si>
    <t xml:space="preserve">Taurillon, taureau</t>
  </si>
  <si>
    <t xml:space="preserve">2.2. Sorties par le lait et les produits laitiers</t>
  </si>
  <si>
    <t xml:space="preserve">Kg/1000 litres</t>
  </si>
  <si>
    <t xml:space="preserve">TP (g/kg)</t>
  </si>
  <si>
    <t xml:space="preserve">Lait vache</t>
  </si>
  <si>
    <t xml:space="preserve">Lait brebis</t>
  </si>
  <si>
    <t xml:space="preserve">Lait chèvre</t>
  </si>
  <si>
    <t xml:space="preserve">2.3. Sorties par les cultures de vente</t>
  </si>
  <si>
    <t xml:space="preserve">Abricotier</t>
  </si>
  <si>
    <t xml:space="preserve">Ail</t>
  </si>
  <si>
    <t xml:space="preserve">Ananas</t>
  </si>
  <si>
    <t xml:space="preserve">Artichauts 2 ans têtes</t>
  </si>
  <si>
    <t xml:space="preserve">Artichauts 2 ans têtes+bâtons</t>
  </si>
  <si>
    <t xml:space="preserve">Artichauts 2 ans têtes+bâtons+feuilles</t>
  </si>
  <si>
    <t xml:space="preserve">Artichauts 3 ans têtes</t>
  </si>
  <si>
    <t xml:space="preserve">Artichauts 3 ans têtes+bâtons</t>
  </si>
  <si>
    <t xml:space="preserve">Artichauts 3 ans têtes+bâtons+feuilles</t>
  </si>
  <si>
    <t xml:space="preserve">Artichauts drageons têtes</t>
  </si>
  <si>
    <t xml:space="preserve">Artichauts drageons têtes+bâtons</t>
  </si>
  <si>
    <t xml:space="preserve">Artichauts drageons têtes+bâtons+feuilles</t>
  </si>
  <si>
    <t xml:space="preserve">Asperges</t>
  </si>
  <si>
    <t xml:space="preserve">Avocatier (variété Fuerte)</t>
  </si>
  <si>
    <t xml:space="preserve">Avocatier (variété Lula)</t>
  </si>
  <si>
    <t xml:space="preserve">Avoine</t>
  </si>
  <si>
    <t xml:space="preserve">grain</t>
  </si>
  <si>
    <t xml:space="preserve">grain et paille</t>
  </si>
  <si>
    <t xml:space="preserve">Bananes</t>
  </si>
  <si>
    <t xml:space="preserve">Betterave fourr. racine</t>
  </si>
  <si>
    <t xml:space="preserve">Betterave fourr. verts</t>
  </si>
  <si>
    <t xml:space="preserve">Betterave rouge</t>
  </si>
  <si>
    <t xml:space="preserve">Betterave sucrière</t>
  </si>
  <si>
    <t xml:space="preserve">Carotte                </t>
  </si>
  <si>
    <t xml:space="preserve">Cerisiers</t>
  </si>
  <si>
    <r>
      <rPr>
        <sz val="10"/>
        <rFont val="Arial"/>
        <family val="2"/>
        <charset val="1"/>
      </rPr>
      <t xml:space="preserve">Chou-fleur cond. 01 </t>
    </r>
    <r>
      <rPr>
        <sz val="9"/>
        <rFont val="Arial"/>
        <family val="2"/>
        <charset val="1"/>
      </rPr>
      <t xml:space="preserve">champ</t>
    </r>
    <r>
      <rPr>
        <sz val="10"/>
        <rFont val="Arial"/>
        <family val="2"/>
        <charset val="1"/>
      </rPr>
      <t xml:space="preserve"> </t>
    </r>
  </si>
  <si>
    <t xml:space="preserve">1000 choux</t>
  </si>
  <si>
    <t xml:space="preserve">Chou-fleur cond. 01 vrac</t>
  </si>
  <si>
    <r>
      <rPr>
        <sz val="10"/>
        <rFont val="Arial"/>
        <family val="2"/>
        <charset val="1"/>
      </rPr>
      <t xml:space="preserve">Chou-fleur cond. 03 </t>
    </r>
    <r>
      <rPr>
        <sz val="9"/>
        <rFont val="Arial"/>
        <family val="2"/>
        <charset val="1"/>
      </rPr>
      <t xml:space="preserve">champ</t>
    </r>
  </si>
  <si>
    <t xml:space="preserve">Chou-fleur cond. 03 vrac</t>
  </si>
  <si>
    <r>
      <rPr>
        <sz val="10"/>
        <rFont val="Arial"/>
        <family val="2"/>
        <charset val="1"/>
      </rPr>
      <t xml:space="preserve">Chou-fleur cond. 05 </t>
    </r>
    <r>
      <rPr>
        <sz val="9"/>
        <rFont val="Arial"/>
        <family val="2"/>
        <charset val="1"/>
      </rPr>
      <t xml:space="preserve">champ</t>
    </r>
  </si>
  <si>
    <t xml:space="preserve">Chou-fleur cond. 05 vrac</t>
  </si>
  <si>
    <t xml:space="preserve">Choux four Moellier</t>
  </si>
  <si>
    <t xml:space="preserve">Choux fourrager (1/2 Moellier)</t>
  </si>
  <si>
    <t xml:space="preserve">Citrons (verts et jaunes)</t>
  </si>
  <si>
    <t xml:space="preserve">Colza de printemps (canola)</t>
  </si>
  <si>
    <t xml:space="preserve">Colza hiver</t>
  </si>
  <si>
    <t xml:space="preserve">Concombre</t>
  </si>
  <si>
    <t xml:space="preserve">Echalotte             </t>
  </si>
  <si>
    <t xml:space="preserve">Endive (racine)</t>
  </si>
  <si>
    <t xml:space="preserve">Ensilage herbe                 </t>
  </si>
  <si>
    <t xml:space="preserve">Épinard                </t>
  </si>
  <si>
    <t xml:space="preserve">Féverole hi.</t>
  </si>
  <si>
    <t xml:space="preserve">grain et fanes</t>
  </si>
  <si>
    <t xml:space="preserve">Féverole pr.</t>
  </si>
  <si>
    <t xml:space="preserve">Foin floraison                </t>
  </si>
  <si>
    <t xml:space="preserve">Foin pleine épiaison</t>
  </si>
  <si>
    <t xml:space="preserve">Fraises</t>
  </si>
  <si>
    <t xml:space="preserve">Haricot</t>
  </si>
  <si>
    <t xml:space="preserve">Haricot vert              </t>
  </si>
  <si>
    <t xml:space="preserve">Laitue de printemps</t>
  </si>
  <si>
    <t xml:space="preserve">Laitue d'hiver</t>
  </si>
  <si>
    <t xml:space="preserve">Laitue plein champ</t>
  </si>
  <si>
    <t xml:space="preserve">10 000 têtes</t>
  </si>
  <si>
    <t xml:space="preserve">Laitue serres dec.fev.</t>
  </si>
  <si>
    <t xml:space="preserve">Laitue serres oct.nov.</t>
  </si>
  <si>
    <t xml:space="preserve">Légumineuse avec fleur</t>
  </si>
  <si>
    <t xml:space="preserve">Légumineuse sans fleur</t>
  </si>
  <si>
    <t xml:space="preserve">Lin fibre</t>
  </si>
  <si>
    <t xml:space="preserve">Lin oléagineux</t>
  </si>
  <si>
    <t xml:space="preserve">Lupin hiver</t>
  </si>
  <si>
    <t xml:space="preserve">Lupin printps</t>
  </si>
  <si>
    <t xml:space="preserve">Maïs fourrage</t>
  </si>
  <si>
    <t xml:space="preserve">Maïs semence</t>
  </si>
  <si>
    <t xml:space="preserve">Mandarines</t>
  </si>
  <si>
    <t xml:space="preserve">Melons</t>
  </si>
  <si>
    <t xml:space="preserve">Navets fourragers</t>
  </si>
  <si>
    <t xml:space="preserve">Navets potagers</t>
  </si>
  <si>
    <t xml:space="preserve">Noisetier</t>
  </si>
  <si>
    <t xml:space="preserve">Noyer (cerneaux)</t>
  </si>
  <si>
    <t xml:space="preserve">Oignon                 </t>
  </si>
  <si>
    <t xml:space="preserve">Oranges</t>
  </si>
  <si>
    <t xml:space="preserve">Paille avoine ou seigle achetée</t>
  </si>
  <si>
    <t xml:space="preserve">Paille blé ou triticale achetée</t>
  </si>
  <si>
    <t xml:space="preserve">Paille orge achetée</t>
  </si>
  <si>
    <t xml:space="preserve">Pamplemousses</t>
  </si>
  <si>
    <t xml:space="preserve">Pâture 3 semaines</t>
  </si>
  <si>
    <t xml:space="preserve">Pâture 4 semaines</t>
  </si>
  <si>
    <t xml:space="preserve">Pâture 6 semaines</t>
  </si>
  <si>
    <t xml:space="preserve">Pêcher</t>
  </si>
  <si>
    <t xml:space="preserve">Poirier</t>
  </si>
  <si>
    <t xml:space="preserve">Pois hiver</t>
  </si>
  <si>
    <t xml:space="preserve">Pois printps</t>
  </si>
  <si>
    <t xml:space="preserve">Pomme de terre</t>
  </si>
  <si>
    <t xml:space="preserve">Pommier</t>
  </si>
  <si>
    <t xml:space="preserve">Prunier</t>
  </si>
  <si>
    <t xml:space="preserve">Riz</t>
  </si>
  <si>
    <t xml:space="preserve">Seigle</t>
  </si>
  <si>
    <t xml:space="preserve">Sorgho</t>
  </si>
  <si>
    <t xml:space="preserve">Sorgho ensilage</t>
  </si>
  <si>
    <t xml:space="preserve">Tabac blond</t>
  </si>
  <si>
    <t xml:space="preserve">Tabac brun, burley</t>
  </si>
  <si>
    <t xml:space="preserve">Tomates</t>
  </si>
  <si>
    <t xml:space="preserve">Tournesol</t>
  </si>
  <si>
    <t xml:space="preserve">Vigne</t>
  </si>
  <si>
    <t xml:space="preserve">Estimation des émissions et compensations des emission de GES (equivalent CO2)</t>
  </si>
  <si>
    <r>
      <rPr>
        <b val="true"/>
        <sz val="10"/>
        <color rgb="FF000000"/>
        <rFont val="Times New Roman"/>
        <family val="1"/>
        <charset val="1"/>
      </rPr>
      <t xml:space="preserve">Référence en kg équivalent CO</t>
    </r>
    <r>
      <rPr>
        <b val="true"/>
        <vertAlign val="subscript"/>
        <sz val="10"/>
        <color rgb="FF000000"/>
        <rFont val="Times New Roman"/>
        <family val="1"/>
        <charset val="1"/>
      </rPr>
      <t xml:space="preserve">2</t>
    </r>
  </si>
  <si>
    <r>
      <rPr>
        <b val="true"/>
        <sz val="10"/>
        <color rgb="FF000000"/>
        <rFont val="Times New Roman"/>
        <family val="1"/>
        <charset val="1"/>
      </rPr>
      <t xml:space="preserve">CO</t>
    </r>
    <r>
      <rPr>
        <b val="true"/>
        <vertAlign val="subscript"/>
        <sz val="10"/>
        <color rgb="FF000000"/>
        <rFont val="Times New Roman"/>
        <family val="1"/>
        <charset val="1"/>
      </rPr>
      <t xml:space="preserve">2</t>
    </r>
  </si>
  <si>
    <t xml:space="preserve">X</t>
  </si>
  <si>
    <t xml:space="preserve">……..</t>
  </si>
  <si>
    <t xml:space="preserve">=</t>
  </si>
  <si>
    <r>
      <rPr>
        <b val="true"/>
        <sz val="10"/>
        <color rgb="FF000000"/>
        <rFont val="Times New Roman"/>
        <family val="1"/>
        <charset val="1"/>
      </rPr>
      <t xml:space="preserve">CH</t>
    </r>
    <r>
      <rPr>
        <b val="true"/>
        <vertAlign val="subscript"/>
        <sz val="10"/>
        <color rgb="FF000000"/>
        <rFont val="Times New Roman"/>
        <family val="1"/>
        <charset val="1"/>
      </rPr>
      <t xml:space="preserve">4</t>
    </r>
  </si>
  <si>
    <t xml:space="preserve">X  </t>
  </si>
  <si>
    <t xml:space="preserve">Mois de présence X</t>
  </si>
  <si>
    <r>
      <rPr>
        <b val="true"/>
        <sz val="10"/>
        <color rgb="FF000000"/>
        <rFont val="Times New Roman"/>
        <family val="1"/>
        <charset val="1"/>
      </rPr>
      <t xml:space="preserve">N</t>
    </r>
    <r>
      <rPr>
        <b val="true"/>
        <vertAlign val="subscript"/>
        <sz val="10"/>
        <color rgb="FF000000"/>
        <rFont val="Times New Roman"/>
        <family val="1"/>
        <charset val="1"/>
      </rPr>
      <t xml:space="preserve">2</t>
    </r>
    <r>
      <rPr>
        <b val="true"/>
        <sz val="10"/>
        <color rgb="FF000000"/>
        <rFont val="Times New Roman"/>
        <family val="1"/>
        <charset val="1"/>
      </rPr>
      <t xml:space="preserve">O</t>
    </r>
  </si>
  <si>
    <t xml:space="preserve">X </t>
  </si>
  <si>
    <r>
      <rPr>
        <b val="true"/>
        <sz val="10"/>
        <color rgb="FF000000"/>
        <rFont val="Times New Roman"/>
        <family val="1"/>
        <charset val="1"/>
      </rPr>
      <t xml:space="preserve">Emissions brutes (en kg éq CO</t>
    </r>
    <r>
      <rPr>
        <b val="true"/>
        <vertAlign val="subscript"/>
        <sz val="10"/>
        <color rgb="FF000000"/>
        <rFont val="Times New Roman"/>
        <family val="1"/>
        <charset val="1"/>
      </rPr>
      <t xml:space="preserve">2</t>
    </r>
    <r>
      <rPr>
        <b val="true"/>
        <sz val="10"/>
        <color rgb="FF000000"/>
        <rFont val="Times New Roman"/>
        <family val="1"/>
        <charset val="1"/>
      </rPr>
      <t xml:space="preserve">) =</t>
    </r>
  </si>
  <si>
    <t xml:space="preserve"> X                    </t>
  </si>
  <si>
    <t xml:space="preserve"> Stockage de carbone (en kg éq CO2)=</t>
  </si>
  <si>
    <t xml:space="preserve">formaliser sources document vincent</t>
  </si>
  <si>
    <t xml:space="preserve">INDICATEURS DE DURABILITE DE LA DIMENSION AGRO-ECOLOGIQUE</t>
  </si>
  <si>
    <t xml:space="preserve">Diversité fonctionnelle</t>
  </si>
  <si>
    <t xml:space="preserve">ROB1 : Diversité des espèces cultivées</t>
  </si>
  <si>
    <t xml:space="preserve">Note sur 5</t>
  </si>
  <si>
    <t xml:space="preserve">Modalités</t>
  </si>
  <si>
    <t xml:space="preserve">Note déplafonnée</t>
  </si>
  <si>
    <t xml:space="preserve">Note plafonnée</t>
  </si>
  <si>
    <t xml:space="preserve">Nb famille botanique</t>
  </si>
  <si>
    <t xml:space="preserve">1 famille</t>
  </si>
  <si>
    <t xml:space="preserve">2 ou 3 familles</t>
  </si>
  <si>
    <t xml:space="preserve">4 ou 5 familles</t>
  </si>
  <si>
    <t xml:space="preserve">6 familles et +</t>
  </si>
  <si>
    <t xml:space="preserve">Item 1 : Diversité et "équitabilité" des cultures</t>
  </si>
  <si>
    <t xml:space="preserve">score</t>
  </si>
  <si>
    <t xml:space="preserve">Gds cultures, fourrages et perennes</t>
  </si>
  <si>
    <t xml:space="preserve">Score</t>
  </si>
  <si>
    <t xml:space="preserve">% (SAU-STH)</t>
  </si>
  <si>
    <t xml:space="preserve">Maraichage </t>
  </si>
  <si>
    <t xml:space="preserve">diversité permanente</t>
  </si>
  <si>
    <t xml:space="preserve">% de la (SAU - STH)</t>
  </si>
  <si>
    <t xml:space="preserve">catégorie</t>
  </si>
  <si>
    <t xml:space="preserve">%PP</t>
  </si>
  <si>
    <t xml:space="preserve">Item 2 : Part de PP dans la SAU</t>
  </si>
  <si>
    <t xml:space="preserve">saut de classe</t>
  </si>
  <si>
    <t xml:space="preserve">ROB2 : Diversité génétique</t>
  </si>
  <si>
    <t xml:space="preserve">Item 1 : Participation à des programmes</t>
  </si>
  <si>
    <t xml:space="preserve">O/N</t>
  </si>
  <si>
    <t xml:space="preserve">Item 2 : Diversité des productions végétales</t>
  </si>
  <si>
    <t xml:space="preserve">Atelier</t>
  </si>
  <si>
    <t xml:space="preserve">Gds cultures, fourrages, etc…</t>
  </si>
  <si>
    <t xml:space="preserve">Tolérance/Résistance/Rusticité </t>
  </si>
  <si>
    <t xml:space="preserve">Surface</t>
  </si>
  <si>
    <t xml:space="preserve">Gds cultures, indus et fourrages</t>
  </si>
  <si>
    <t xml:space="preserve">% de la (SAU-STH)</t>
  </si>
  <si>
    <t xml:space="preserve">Score au % SAU-STH</t>
  </si>
  <si>
    <t xml:space="preserve">Item 3 : Diversité des productions animales</t>
  </si>
  <si>
    <t xml:space="preserve">Cx</t>
  </si>
  <si>
    <t xml:space="preserve">Part des mères croisées (Cx)</t>
  </si>
  <si>
    <t xml:space="preserve">points</t>
  </si>
  <si>
    <t xml:space="preserve">Critère de rusticité en reproduction</t>
  </si>
  <si>
    <t xml:space="preserve">choix repro </t>
  </si>
  <si>
    <t xml:space="preserve">non, critère secondaire ou absent</t>
  </si>
  <si>
    <t xml:space="preserve">ROB3 : Diversité temporelle des cultures </t>
  </si>
  <si>
    <t xml:space="preserve">Item 1 : Cultures annuelles et pluriannuelles</t>
  </si>
  <si>
    <t xml:space="preserve">item 2</t>
  </si>
  <si>
    <t xml:space="preserve">Successions à délai de retour court</t>
  </si>
  <si>
    <t xml:space="preserve">poids rot. courte</t>
  </si>
  <si>
    <t xml:space="preserve">Cultures pluriann. à fauches multiples</t>
  </si>
  <si>
    <t xml:space="preserve">Durée interculture viticulture</t>
  </si>
  <si>
    <t xml:space="preserve">Point</t>
  </si>
  <si>
    <t xml:space="preserve">Durée interculture arboriculture</t>
  </si>
  <si>
    <t xml:space="preserve">Qualité interculture cult perennes</t>
  </si>
  <si>
    <t xml:space="preserve">Item 2 : Cultures pérennes</t>
  </si>
  <si>
    <t xml:space="preserve">0 à 2 ans</t>
  </si>
  <si>
    <t xml:space="preserve">0 à 1 an</t>
  </si>
  <si>
    <t xml:space="preserve">3 à 5 ans</t>
  </si>
  <si>
    <t xml:space="preserve">1 à 2 ans</t>
  </si>
  <si>
    <t xml:space="preserve">ans</t>
  </si>
  <si>
    <t xml:space="preserve">6 à 7 ans</t>
  </si>
  <si>
    <t xml:space="preserve">2 à 3 ans</t>
  </si>
  <si>
    <t xml:space="preserve">plus de 7 ans</t>
  </si>
  <si>
    <t xml:space="preserve">3 ans et +</t>
  </si>
  <si>
    <t xml:space="preserve">Qualité interculture</t>
  </si>
  <si>
    <t xml:space="preserve">Nbr familles botaniques</t>
  </si>
  <si>
    <t xml:space="preserve">Retour même famille</t>
  </si>
  <si>
    <t xml:space="preserve">Item 3 : Maraichage</t>
  </si>
  <si>
    <t xml:space="preserve">2 familles</t>
  </si>
  <si>
    <t xml:space="preserve">Nbr familles botanique </t>
  </si>
  <si>
    <t xml:space="preserve">3 familles</t>
  </si>
  <si>
    <t xml:space="preserve">4 familles et +</t>
  </si>
  <si>
    <t xml:space="preserve">Retour d'une même famille botanique</t>
  </si>
  <si>
    <t xml:space="preserve">Cultures annuelles et pluri</t>
  </si>
  <si>
    <t xml:space="preserve">Arbo et Viti</t>
  </si>
  <si>
    <t xml:space="preserve">STH</t>
  </si>
  <si>
    <t xml:space="preserve">Couverts intermédiaires à objectif agro</t>
  </si>
  <si>
    <t xml:space="preserve">ROB4 : Qualité de l'organisation spatiale</t>
  </si>
  <si>
    <t xml:space="preserve">% SBD</t>
  </si>
  <si>
    <t xml:space="preserve">Item 1 : Unités spatiales de même culture &gt; 12ha (ou 6)</t>
  </si>
  <si>
    <t xml:space="preserve">points </t>
  </si>
  <si>
    <t xml:space="preserve">Item 2 : Part de la surface de biodiversité developpée</t>
  </si>
  <si>
    <t xml:space="preserve">Ratio</t>
  </si>
  <si>
    <t xml:space="preserve">CAP1 RES1 : Gestion insectes pollinisateurs et auxiliaires</t>
  </si>
  <si>
    <t xml:space="preserve">Part de PP dans la SAU</t>
  </si>
  <si>
    <t xml:space="preserve">Gestion des bordures</t>
  </si>
  <si>
    <t xml:space="preserve">Item 1 : Zones non productives</t>
  </si>
  <si>
    <t xml:space="preserve">Mode de gestion :</t>
  </si>
  <si>
    <t xml:space="preserve">Item 2 :Usage d'insecticides</t>
  </si>
  <si>
    <t xml:space="preserve">% sans pesticides</t>
  </si>
  <si>
    <t xml:space="preserve">Points</t>
  </si>
  <si>
    <t xml:space="preserve">Part SAU ayant reçu insecticides</t>
  </si>
  <si>
    <t xml:space="preserve">Part cheptel ayant reçu insecticides</t>
  </si>
  <si>
    <t xml:space="preserve">Item 3: Accueil pollinisateurs sauvages</t>
  </si>
  <si>
    <t xml:space="preserve">bonus</t>
  </si>
  <si>
    <t xml:space="preserve">point</t>
  </si>
  <si>
    <t xml:space="preserve">Bouclage de flux de matières et d'énergie par une recherche d'autonomie</t>
  </si>
  <si>
    <t xml:space="preserve">AUT 1 : Autonomie en énergie, matériaux, matériels, semences et plants </t>
  </si>
  <si>
    <t xml:space="preserve">Note sur 8</t>
  </si>
  <si>
    <t xml:space="preserve">% autonomie</t>
  </si>
  <si>
    <t xml:space="preserve">Oui de manière significative</t>
  </si>
  <si>
    <t xml:space="preserve">Oui de manière non significative</t>
  </si>
  <si>
    <t xml:space="preserve">Item 1 : Energie</t>
  </si>
  <si>
    <t xml:space="preserve">Item 2 : Matériaux et matériels agricoles</t>
  </si>
  <si>
    <t xml:space="preserve">% surface cultivé en semence de ferme</t>
  </si>
  <si>
    <t xml:space="preserve">Item 3 : Autoproduction de semences/plants</t>
  </si>
  <si>
    <t xml:space="preserve">AUT 2 : Autonomie alimentaire de l’élevage</t>
  </si>
  <si>
    <t xml:space="preserve">% aut fourrage</t>
  </si>
  <si>
    <t xml:space="preserve">Type d'élevage :</t>
  </si>
  <si>
    <t xml:space="preserve">Item 1 : Autonomie en fourrages</t>
  </si>
  <si>
    <t xml:space="preserve">% aut concentrés</t>
  </si>
  <si>
    <t xml:space="preserve">Item 2 : Autonomie en concentrés</t>
  </si>
  <si>
    <t xml:space="preserve">AUT 3 : Autonomie en azote</t>
  </si>
  <si>
    <t xml:space="preserve">ratio N organique</t>
  </si>
  <si>
    <t xml:space="preserve">Nul</t>
  </si>
  <si>
    <t xml:space="preserve">Item 1 : Autonomie vis-à-vis de l'azote extérieur</t>
  </si>
  <si>
    <t xml:space="preserve">% leg dans SAU</t>
  </si>
  <si>
    <t xml:space="preserve">Item 2 : Part des légumineuses dans l'assolement</t>
  </si>
  <si>
    <t xml:space="preserve">Sobriété dans l'utilisation des ressources</t>
  </si>
  <si>
    <t xml:space="preserve">RES 2 : Sobriété dans l'usage de l'eau et partage de la ressource</t>
  </si>
  <si>
    <t xml:space="preserve">Prélèvements</t>
  </si>
  <si>
    <t xml:space="preserve">Pression de prélèvement 
et vulnérabilité de la ressource</t>
  </si>
  <si>
    <t xml:space="preserve">A10</t>
  </si>
  <si>
    <t xml:space="preserve">RES 3 : Sobriété dans l'utilisation du phosphore</t>
  </si>
  <si>
    <t xml:space="preserve">valeur PSPH</t>
  </si>
  <si>
    <t xml:space="preserve">PSPH</t>
  </si>
  <si>
    <t xml:space="preserve">RES 4 : Sobriété dans la consommation en énergie</t>
  </si>
  <si>
    <t xml:space="preserve">valeur EQF</t>
  </si>
  <si>
    <t xml:space="preserve">Consommation nette en énergie</t>
  </si>
  <si>
    <t xml:space="preserve">Assurer des conditions favorables à la production à moyen et long terme</t>
  </si>
  <si>
    <t xml:space="preserve">CAP 2 : Raisonner l'utilisation de l'eau</t>
  </si>
  <si>
    <t xml:space="preserve">Item 1 : Réduire les besoins</t>
  </si>
  <si>
    <t xml:space="preserve">Type culture</t>
  </si>
  <si>
    <t xml:space="preserve">Système herbager avec pâturage</t>
  </si>
  <si>
    <t xml:space="preserve">Stratégies d'économies</t>
  </si>
  <si>
    <t xml:space="preserve">Pas de culture irriguée - Non concerné</t>
  </si>
  <si>
    <t xml:space="preserve">Item 2 : Réduire le gaspillage et optimiser l'usage</t>
  </si>
  <si>
    <t xml:space="preserve">Sous-compteurs/vannes</t>
  </si>
  <si>
    <t xml:space="preserve">Dispositifs écomones</t>
  </si>
  <si>
    <t xml:space="preserve">Item 3 : Recycler et réutiliser l'eau</t>
  </si>
  <si>
    <t xml:space="preserve">Récupération/Réutilisation d'eau</t>
  </si>
  <si>
    <t xml:space="preserve">CAP 3 : Favoriser la fertilité des sols</t>
  </si>
  <si>
    <t xml:space="preserve">Item 1 : Fertilité à long terme des sols</t>
  </si>
  <si>
    <t xml:space="preserve">Gestion MO</t>
  </si>
  <si>
    <t xml:space="preserve">Gestion de la MO</t>
  </si>
  <si>
    <t xml:space="preserve">Pailles brulées</t>
  </si>
  <si>
    <t xml:space="preserve">Métaux lourds</t>
  </si>
  <si>
    <t xml:space="preserve">CPS</t>
  </si>
  <si>
    <t xml:space="preserve">Item 2 : Vie biologique des sols</t>
  </si>
  <si>
    <t xml:space="preserve">Couverture permanente</t>
  </si>
  <si>
    <t xml:space="preserve">NTS</t>
  </si>
  <si>
    <t xml:space="preserve">Non travail du sol</t>
  </si>
  <si>
    <t xml:space="preserve">SAU sans pesticide</t>
  </si>
  <si>
    <t xml:space="preserve">% SAU sans phyto</t>
  </si>
  <si>
    <t xml:space="preserve">Désinfection vapeur</t>
  </si>
  <si>
    <t xml:space="preserve">Desinfection vapeur</t>
  </si>
  <si>
    <t xml:space="preserve">Item 3 : Erosion</t>
  </si>
  <si>
    <t xml:space="preserve">Gestion</t>
  </si>
  <si>
    <t xml:space="preserve">ROB 5 : Maintenir l'efficacité de la protection sanitaire</t>
  </si>
  <si>
    <t xml:space="preserve">Note sur 4</t>
  </si>
  <si>
    <t xml:space="preserve">Usage de produits phytosanitaires ou vétérinaires</t>
  </si>
  <si>
    <t xml:space="preserve">Item 1 : Alternance</t>
  </si>
  <si>
    <t xml:space="preserve">Item 1: Stratégies d’alternance des produits phyto</t>
  </si>
  <si>
    <t xml:space="preserve">Oui seulement des produits phyto</t>
  </si>
  <si>
    <t xml:space="preserve">Oui seulement des produits véto</t>
  </si>
  <si>
    <t xml:space="preserve">Item 2: Stratégie d'usage des produits véto</t>
  </si>
  <si>
    <t xml:space="preserve">ROB 6 : Sécuriser la disponibilité des moyens matériels de production</t>
  </si>
  <si>
    <t xml:space="preserve">nbr de mois de SFS</t>
  </si>
  <si>
    <t xml:space="preserve">Item 1 :Problèmes d’approvisionnement</t>
  </si>
  <si>
    <t xml:space="preserve">Item 2 :Problèmes d'accès à la collecte</t>
  </si>
  <si>
    <t xml:space="preserve">Item 3 : Stock fourrager de sécurité  </t>
  </si>
  <si>
    <t xml:space="preserve">mois</t>
  </si>
  <si>
    <t xml:space="preserve">Réduire les impacts sur la santé humaine et les écosystèmes</t>
  </si>
  <si>
    <t xml:space="preserve">RES 5 : Réduire l'impact des pratiques sur la qualité de l'eau</t>
  </si>
  <si>
    <t xml:space="preserve">Note sur 6</t>
  </si>
  <si>
    <t xml:space="preserve">bilan azote </t>
  </si>
  <si>
    <t xml:space="preserve">Item 1 : Pression azote</t>
  </si>
  <si>
    <t xml:space="preserve">sinon</t>
  </si>
  <si>
    <t xml:space="preserve">Bilan azote</t>
  </si>
  <si>
    <t xml:space="preserve">excédent</t>
  </si>
  <si>
    <t xml:space="preserve">-2</t>
  </si>
  <si>
    <t xml:space="preserve">Chargement en UGB/ha</t>
  </si>
  <si>
    <t xml:space="preserve">fertilisation</t>
  </si>
  <si>
    <t xml:space="preserve">Fertilisation en lessivage</t>
  </si>
  <si>
    <t xml:space="preserve">IFT Herbicide</t>
  </si>
  <si>
    <t xml:space="preserve">Item 2 : Pression herbicide</t>
  </si>
  <si>
    <t xml:space="preserve">IFT herbicide</t>
  </si>
  <si>
    <t xml:space="preserve">% culture pièges</t>
  </si>
  <si>
    <t xml:space="preserve">Item 3 : Action limitation transferts</t>
  </si>
  <si>
    <t xml:space="preserve">Aménagements</t>
  </si>
  <si>
    <t xml:space="preserve">Cultures à forte capacité absorption N</t>
  </si>
  <si>
    <t xml:space="preserve">RES 6 : Réduire l'impact des pratiques sur la qualité de l'air</t>
  </si>
  <si>
    <t xml:space="preserve">Item 1 : Emissions de particules</t>
  </si>
  <si>
    <t xml:space="preserve">NP (nbr passage)</t>
  </si>
  <si>
    <t xml:space="preserve">0 ou 1</t>
  </si>
  <si>
    <t xml:space="preserve">Engins émetteurs</t>
  </si>
  <si>
    <t xml:space="preserve">A REMPLIR</t>
  </si>
  <si>
    <t xml:space="preserve">NP</t>
  </si>
  <si>
    <t xml:space="preserve">Pratiques de limitation</t>
  </si>
  <si>
    <t xml:space="preserve">action(s)</t>
  </si>
  <si>
    <t xml:space="preserve">Item 2 : Pratiques et émissions de pesticides</t>
  </si>
  <si>
    <t xml:space="preserve">RES 7 : Réduire l'impact des pratiques sur le changement climatique</t>
  </si>
  <si>
    <t xml:space="preserve">Émissions nettes</t>
  </si>
  <si>
    <t xml:space="preserve">valeur T eq. CO2</t>
  </si>
  <si>
    <t xml:space="preserve">t eq CO2</t>
  </si>
  <si>
    <t xml:space="preserve">RES 8 : Réduire l'usage des produits phytosanitaires et des traitements vétérinaires</t>
  </si>
  <si>
    <t xml:space="preserve">Sobriété utilisation produits vétérinaires</t>
  </si>
  <si>
    <t xml:space="preserve">IFT Global simplifiée </t>
  </si>
  <si>
    <t xml:space="preserve">Valeur IFT G</t>
  </si>
  <si>
    <t xml:space="preserve">Utilisation de CMR ou perturbateurs endocriniens</t>
  </si>
  <si>
    <t xml:space="preserve">Stratégie alternatives</t>
  </si>
  <si>
    <t xml:space="preserve">stock initial</t>
  </si>
  <si>
    <t xml:space="preserve">évitement</t>
  </si>
  <si>
    <t xml:space="preserve">atténuation</t>
  </si>
  <si>
    <t xml:space="preserve">mécanique et biologique</t>
  </si>
  <si>
    <t xml:space="preserve">Sobriété utilisation traitements vétérinaires</t>
  </si>
  <si>
    <t xml:space="preserve">Traitements vétérinaires</t>
  </si>
  <si>
    <t xml:space="preserve">valeur TV</t>
  </si>
  <si>
    <t xml:space="preserve">TV</t>
  </si>
  <si>
    <t xml:space="preserve">Stratégies alternatives</t>
  </si>
  <si>
    <t xml:space="preserve">Homéopathie, essences</t>
  </si>
  <si>
    <t xml:space="preserve">Produits rémanents</t>
  </si>
  <si>
    <t xml:space="preserve">Stratégies préventive</t>
  </si>
  <si>
    <t xml:space="preserve">Absence de délais avant retour parcelle</t>
  </si>
  <si>
    <t xml:space="preserve">Antibiotique critique</t>
  </si>
  <si>
    <t xml:space="preserve">TOTAL</t>
  </si>
  <si>
    <t xml:space="preserve">INDICATEURS DE DURABILITE DE LA DIMENSION SOCIO-TERRITORIALE</t>
  </si>
  <si>
    <t xml:space="preserve">Alimentation</t>
  </si>
  <si>
    <t xml:space="preserve">B1</t>
  </si>
  <si>
    <t xml:space="preserve">CAP4 RES9 :  Production alimentaire de l'exploitation </t>
  </si>
  <si>
    <t xml:space="preserve">Note plafonnée composante</t>
  </si>
  <si>
    <t xml:space="preserve">valeurs PAE</t>
  </si>
  <si>
    <t xml:space="preserve">Item 1 : Part de la SAU consacrée à l'alimentation humaine   </t>
  </si>
  <si>
    <t xml:space="preserve">PAE</t>
  </si>
  <si>
    <t xml:space="preserve">Item 2 : Production de légumes secs ou de fruits et légumes</t>
  </si>
  <si>
    <t xml:space="preserve">Item 3 : Exploitation en production animale hors sol </t>
  </si>
  <si>
    <t xml:space="preserve">item2</t>
  </si>
  <si>
    <t xml:space="preserve">item3</t>
  </si>
  <si>
    <t xml:space="preserve">RES10 : Contribution à l’équilibre alimentaire mondial</t>
  </si>
  <si>
    <t xml:space="preserve">TI  </t>
  </si>
  <si>
    <t xml:space="preserve">protéine</t>
  </si>
  <si>
    <t xml:space="preserve">Item 1 : Exploitation avec élévage </t>
  </si>
  <si>
    <t xml:space="preserve">Taux importation (TI)</t>
  </si>
  <si>
    <t xml:space="preserve">Item 2 : Exploitation sans élevage</t>
  </si>
  <si>
    <t xml:space="preserve">Part de la SAU consacrée à la production de protéines</t>
  </si>
  <si>
    <t xml:space="preserve">ANC1 CAP5  : Qualités de la production alimentaire</t>
  </si>
  <si>
    <t xml:space="preserve">Item 1 : Qualité alimentaire d'origine et de process</t>
  </si>
  <si>
    <t xml:space="preserve">v.i.</t>
  </si>
  <si>
    <t xml:space="preserve">IGP</t>
  </si>
  <si>
    <t xml:space="preserve">AOC</t>
  </si>
  <si>
    <t xml:space="preserve">Process</t>
  </si>
  <si>
    <t xml:space="preserve">Qualité nutritionnelle</t>
  </si>
  <si>
    <t xml:space="preserve">Item 2 : Qualité nutritionnelle</t>
  </si>
  <si>
    <t xml:space="preserve">AB</t>
  </si>
  <si>
    <t xml:space="preserve">Item 3 : Qualité globale</t>
  </si>
  <si>
    <t xml:space="preserve">certifiée AB</t>
  </si>
  <si>
    <t xml:space="preserve">RES11 : Pertes et gaspillages </t>
  </si>
  <si>
    <t xml:space="preserve">Actions contre les pertes et le gaspillage</t>
  </si>
  <si>
    <t xml:space="preserve">RES12 : Liens sociaux, hédoniques et culturels à l’alimentation</t>
  </si>
  <si>
    <t xml:space="preserve">Item 1 :Démarches favorisant le lien entre consommateur et le producteur </t>
  </si>
  <si>
    <t xml:space="preserve">item 1</t>
  </si>
  <si>
    <t xml:space="preserve">item 3</t>
  </si>
  <si>
    <t xml:space="preserve">Item 2 : Démarches favorisant l’apprentissage ou la culture autour de l’aliment </t>
  </si>
  <si>
    <t xml:space="preserve">Item 3 : Présence d’une diversité pour contribuer au maintien d’une pluralité des saveurs et une contribution à la formation des goûts par le consommateur</t>
  </si>
  <si>
    <t xml:space="preserve">Développement local et économie circulaire</t>
  </si>
  <si>
    <t xml:space="preserve">ANC2 : Engagement dans des démarches environnementales contractualisées et territoriales</t>
  </si>
  <si>
    <t xml:space="preserve">Prévention des risques naturels</t>
  </si>
  <si>
    <t xml:space="preserve">Item 1 : Adhésion à des chartes environnementales</t>
  </si>
  <si>
    <t xml:space="preserve">Oui sur moins de 50% de la SAU</t>
  </si>
  <si>
    <t xml:space="preserve">Item 2 : Contractualisation pour la prévention des risques naturels </t>
  </si>
  <si>
    <t xml:space="preserve">ANC3 : Services marchands au territoire</t>
  </si>
  <si>
    <t xml:space="preserve">Note sur 3</t>
  </si>
  <si>
    <t xml:space="preserve">Item 1: Services marchands rendus au territoire </t>
  </si>
  <si>
    <t xml:space="preserve">item 3 </t>
  </si>
  <si>
    <t xml:space="preserve">Item 2: Agrotourisme</t>
  </si>
  <si>
    <t xml:space="preserve">Item 3: Ferme pédagogique                         </t>
  </si>
  <si>
    <t xml:space="preserve">ANC4 AUT4 : Valorisation par filières courtes ou de proximité</t>
  </si>
  <si>
    <t xml:space="preserve">% CA vente directe</t>
  </si>
  <si>
    <t xml:space="preserve">Item 1 : Valorisation par vente directe ou circuit court </t>
  </si>
  <si>
    <t xml:space="preserve">Item 2 : Valorisation de proximité géographique</t>
  </si>
  <si>
    <t xml:space="preserve">collective</t>
  </si>
  <si>
    <t xml:space="preserve">individuelle</t>
  </si>
  <si>
    <t xml:space="preserve">item3 : Démarche de contractualisation</t>
  </si>
  <si>
    <t xml:space="preserve">ANC5 : Valorisation des ressources locales</t>
  </si>
  <si>
    <t xml:space="preserve">alim animale</t>
  </si>
  <si>
    <t xml:space="preserve">engrais org.</t>
  </si>
  <si>
    <t xml:space="preserve">Item 1 : Approvisionnements locaux agricoles</t>
  </si>
  <si>
    <t xml:space="preserve">Alimentation animale</t>
  </si>
  <si>
    <t xml:space="preserve">Achat d'aminaux locaux</t>
  </si>
  <si>
    <t xml:space="preserve">echange paille fumier</t>
  </si>
  <si>
    <t xml:space="preserve">Sélection variétale</t>
  </si>
  <si>
    <t xml:space="preserve">eau</t>
  </si>
  <si>
    <t xml:space="preserve">Engrais organiques</t>
  </si>
  <si>
    <t xml:space="preserve">Pailles/Fumier</t>
  </si>
  <si>
    <t xml:space="preserve">Récupération eau pluie</t>
  </si>
  <si>
    <t xml:space="preserve">Conso energie locale</t>
  </si>
  <si>
    <t xml:space="preserve">Prod energie locale</t>
  </si>
  <si>
    <t xml:space="preserve">Materiaux locaux</t>
  </si>
  <si>
    <t xml:space="preserve">Autres appro locales</t>
  </si>
  <si>
    <t xml:space="preserve">Item 2  : Approvisionnements locaux entreprises</t>
  </si>
  <si>
    <t xml:space="preserve">Eau de station/process</t>
  </si>
  <si>
    <t xml:space="preserve">Boues station / Déchets</t>
  </si>
  <si>
    <t xml:space="preserve">Autres sous produit</t>
  </si>
  <si>
    <t xml:space="preserve">Item 3  : Valorisation sous produit communauté</t>
  </si>
  <si>
    <t xml:space="preserve">ANC6 : Valorisation et qualité du patrimoine et des ressources naturelles</t>
  </si>
  <si>
    <t xml:space="preserve">Item 1 : Qualité du patrimoine bâti</t>
  </si>
  <si>
    <t xml:space="preserve">Item 2 : Qualité paysagère</t>
  </si>
  <si>
    <t xml:space="preserve">Item  3: Contribution au maintien de savoirs locaux reconnus</t>
  </si>
  <si>
    <t xml:space="preserve">Item 4 : Maintenir/développer le patrimoine génétique local </t>
  </si>
  <si>
    <t xml:space="preserve">RES13 : Accessibilité de l'espace </t>
  </si>
  <si>
    <t xml:space="preserve">Item 1 : En zone rurale</t>
  </si>
  <si>
    <t xml:space="preserve">Item 2 : En zone urbaine </t>
  </si>
  <si>
    <t xml:space="preserve">Item3 : Entretien des chemins</t>
  </si>
  <si>
    <t xml:space="preserve">RES14 : Gestion des déchets non organiques </t>
  </si>
  <si>
    <t xml:space="preserve">Gestion des déchets</t>
  </si>
  <si>
    <t xml:space="preserve">arrondi à</t>
  </si>
  <si>
    <t xml:space="preserve">Pratiques à risques</t>
  </si>
  <si>
    <t xml:space="preserve">malus</t>
  </si>
  <si>
    <t xml:space="preserve">AUT5 CAP6 ROB7 : Réseaux d'innovation et mutualisation du matériel</t>
  </si>
  <si>
    <t xml:space="preserve">Item 1: Participation à des réseaux de connaissances</t>
  </si>
  <si>
    <t xml:space="preserve">Item 2: Mutualisation des matériels équipements/bâtiments/services</t>
  </si>
  <si>
    <t xml:space="preserve">Emploi et qualité au travail</t>
  </si>
  <si>
    <t xml:space="preserve">ANC7 CAP7 RES15 : Contribution à l'emploi et gestion du salariat</t>
  </si>
  <si>
    <t xml:space="preserve">surface/UTH</t>
  </si>
  <si>
    <t xml:space="preserve">Item 1: Intensité du travail (SAU/UTH)</t>
  </si>
  <si>
    <t xml:space="preserve">Item 2: Dynamique</t>
  </si>
  <si>
    <t xml:space="preserve">Création sur l'EA</t>
  </si>
  <si>
    <t xml:space="preserve">Création dans réseau </t>
  </si>
  <si>
    <t xml:space="preserve">sur EA</t>
  </si>
  <si>
    <t xml:space="preserve">territoire</t>
  </si>
  <si>
    <t xml:space="preserve">main d'œuvre</t>
  </si>
  <si>
    <t xml:space="preserve">Item 3 : Salariés</t>
  </si>
  <si>
    <t xml:space="preserve">&gt;50% main d'oeuvre saiso. habite sur le terr. </t>
  </si>
  <si>
    <t xml:space="preserve">Qualité au travail </t>
  </si>
  <si>
    <t xml:space="preserve">ANC8 AUT6 CAP8 ROB8 : Mutualisation du travail</t>
  </si>
  <si>
    <t xml:space="preserve">Item 1 : Travail collectif</t>
  </si>
  <si>
    <t xml:space="preserve">Item 2 : Projets productifs en commun</t>
  </si>
  <si>
    <t xml:space="preserve">CAP9 RES16 ROB9 : Intensité et qualité au travail</t>
  </si>
  <si>
    <t xml:space="preserve">Semaines en surcharge</t>
  </si>
  <si>
    <t xml:space="preserve">Item 1 : Plaisir au travail</t>
  </si>
  <si>
    <t xml:space="preserve">Item 2 : Surcharge temporelle et mentale</t>
  </si>
  <si>
    <t xml:space="preserve">Nombre de semaines</t>
  </si>
  <si>
    <t xml:space="preserve">Item 3 : Congés</t>
  </si>
  <si>
    <t xml:space="preserve">Grille congés</t>
  </si>
  <si>
    <t xml:space="preserve">Nécessaires? / En prenez-vous?</t>
  </si>
  <si>
    <t xml:space="preserve">ouioui</t>
  </si>
  <si>
    <t xml:space="preserve">nonnon</t>
  </si>
  <si>
    <t xml:space="preserve">Item 4 : Pénibilité</t>
  </si>
  <si>
    <t xml:space="preserve">nonoui</t>
  </si>
  <si>
    <t xml:space="preserve">ouinon</t>
  </si>
  <si>
    <t xml:space="preserve">RES17 : Accueil, hygiène et sécurité</t>
  </si>
  <si>
    <t xml:space="preserve">Item 1 : Qualité d'accueil et d'hébergement  </t>
  </si>
  <si>
    <t xml:space="preserve">item 3.1</t>
  </si>
  <si>
    <t xml:space="preserve">item 3.2</t>
  </si>
  <si>
    <t xml:space="preserve">item 3;3</t>
  </si>
  <si>
    <t xml:space="preserve">Item 2 : Sécurité des installations</t>
  </si>
  <si>
    <t xml:space="preserve">Contrôle par un organisme certifié</t>
  </si>
  <si>
    <t xml:space="preserve">Item 3 : Contact avec les pesticides</t>
  </si>
  <si>
    <t xml:space="preserve">Local phyto conforme</t>
  </si>
  <si>
    <t xml:space="preserve">Exposition aux phytos</t>
  </si>
  <si>
    <t xml:space="preserve">Aucun produit phyto</t>
  </si>
  <si>
    <t xml:space="preserve">AUT7 CAP10 ROB10 : Formation</t>
  </si>
  <si>
    <t xml:space="preserve">Item 1: Formation continue</t>
  </si>
  <si>
    <t xml:space="preserve">nombre de jour /an</t>
  </si>
  <si>
    <t xml:space="preserve">Item 2: Accueil stagiaire rémunéré</t>
  </si>
  <si>
    <t xml:space="preserve">Item 3: Accueil groupe professionnel                     </t>
  </si>
  <si>
    <t xml:space="preserve">nombre de groupe</t>
  </si>
  <si>
    <t xml:space="preserve">Ethique et développement humain</t>
  </si>
  <si>
    <t xml:space="preserve">ANC9 RES18 : Implication sociale territoriale et solidarités </t>
  </si>
  <si>
    <t xml:space="preserve">Item 1 : Implication dans des structures professionnelles</t>
  </si>
  <si>
    <t xml:space="preserve">item 1/2</t>
  </si>
  <si>
    <t xml:space="preserve">Item 2 : Implication dans structures associatives ou électives</t>
  </si>
  <si>
    <t xml:space="preserve">Item  3: Travailler avec des structures de l'ESS</t>
  </si>
  <si>
    <t xml:space="preserve">item 4</t>
  </si>
  <si>
    <t xml:space="preserve">item 5</t>
  </si>
  <si>
    <t xml:space="preserve">Item 4 : Implication de citoyens</t>
  </si>
  <si>
    <t xml:space="preserve">Item 5: Accueil de public</t>
  </si>
  <si>
    <t xml:space="preserve">Habitation éloignée des lieux de production</t>
  </si>
  <si>
    <t xml:space="preserve">RES19 : Démarche de transparence</t>
  </si>
  <si>
    <t xml:space="preserve">Item 1 : Communication sur ses pratiques</t>
  </si>
  <si>
    <t xml:space="preserve">oui démarche certifiée</t>
  </si>
  <si>
    <t xml:space="preserve">Item 2 : Adhésion à un système participatif de garantie </t>
  </si>
  <si>
    <t xml:space="preserve">RES20 : Qualité de vie </t>
  </si>
  <si>
    <t xml:space="preserve">Qualité de vie</t>
  </si>
  <si>
    <t xml:space="preserve">ROB11 : Isolement</t>
  </si>
  <si>
    <t xml:space="preserve">Sentiment d'isolement</t>
  </si>
  <si>
    <t xml:space="preserve">Accès aux services publics</t>
  </si>
  <si>
    <t xml:space="preserve">Accès aux services productifs</t>
  </si>
  <si>
    <t xml:space="preserve">B23</t>
  </si>
  <si>
    <t xml:space="preserve">RES21 : Bien-être animal </t>
  </si>
  <si>
    <t xml:space="preserve">Item 1.1: Nombre pratiques respectées</t>
  </si>
  <si>
    <t xml:space="preserve">Présence d'un atelier d'élevage:</t>
  </si>
  <si>
    <t xml:space="preserve">Item 1 : Prise en compte de la faune sauvage</t>
  </si>
  <si>
    <t xml:space="preserve">Item 1.1: Socle de base</t>
  </si>
  <si>
    <t xml:space="preserve">nombre de pratiques respectées</t>
  </si>
  <si>
    <t xml:space="preserve">Item 1.2: Initiatives ou engagement personnel</t>
  </si>
  <si>
    <t xml:space="preserve">nombre de pratique mise en place</t>
  </si>
  <si>
    <t xml:space="preserve">Item 1.3 : Pratiques rédhibitoires</t>
  </si>
  <si>
    <t xml:space="preserve">Atelier de claustration</t>
  </si>
  <si>
    <t xml:space="preserve">Ecornage âge adulte</t>
  </si>
  <si>
    <t xml:space="preserve">Museliere veau lait</t>
  </si>
  <si>
    <t xml:space="preserve">Item 2 : Prise en compte de la faune sauvage</t>
  </si>
  <si>
    <t xml:space="preserve">Item 2.1 : Mise en place/entretien d'habitats pour la faune sauvage</t>
  </si>
  <si>
    <t xml:space="preserve">Item 2.2 : Cohabiter avec la faune sauvage et éviter les accidents</t>
  </si>
  <si>
    <t xml:space="preserve">Récolte nocturne </t>
  </si>
  <si>
    <t xml:space="preserve">INDICATEURS DE DURABILITE DE LA DIMENSION ECONOMIQUE</t>
  </si>
  <si>
    <t xml:space="preserve">Viabilité économique et financière</t>
  </si>
  <si>
    <t xml:space="preserve">CAP11 : Capacité Economique</t>
  </si>
  <si>
    <t xml:space="preserve">Note sur 20</t>
  </si>
  <si>
    <t xml:space="preserve">CE / SMIC net annuel</t>
  </si>
  <si>
    <t xml:space="preserve">Item 1 : Calcul économique</t>
  </si>
  <si>
    <t xml:space="preserve">(CE) / SMIC net annuel</t>
  </si>
  <si>
    <t xml:space="preserve">Item 2 : Appréciation de l'agriculteur</t>
  </si>
  <si>
    <t xml:space="preserve">CAP12 : Poids de la dette</t>
  </si>
  <si>
    <t xml:space="preserve">Note sur 12</t>
  </si>
  <si>
    <t xml:space="preserve">Pdd</t>
  </si>
  <si>
    <t xml:space="preserve">Poids de la dette</t>
  </si>
  <si>
    <t xml:space="preserve">% EBE</t>
  </si>
  <si>
    <t xml:space="preserve">AUT8 CAP13: Taux d'endettement structurel</t>
  </si>
  <si>
    <t xml:space="preserve">TES</t>
  </si>
  <si>
    <t xml:space="preserve">Taux d'endettement structurel (TES)</t>
  </si>
  <si>
    <t xml:space="preserve">Indépendance</t>
  </si>
  <si>
    <t xml:space="preserve">C4</t>
  </si>
  <si>
    <t xml:space="preserve">ROB12 : Diversification productive</t>
  </si>
  <si>
    <t xml:space="preserve">Note sur 10</t>
  </si>
  <si>
    <t xml:space="preserve">Poids atelier princ.</t>
  </si>
  <si>
    <t xml:space="preserve">Produits vendus</t>
  </si>
  <si>
    <t xml:space="preserve">Item 1 : Part de l'atelier productif le plus important dans le PR</t>
  </si>
  <si>
    <t xml:space="preserve">Item 2 : Diversification du nombre de produits bruts ou transformés commercialisés </t>
  </si>
  <si>
    <t xml:space="preserve">Nb de produits vendus représentant plus de 20 % du CA :</t>
  </si>
  <si>
    <t xml:space="preserve">nombre</t>
  </si>
  <si>
    <t xml:space="preserve">AUT9 ROB13 : Diversification et relations contractuelles</t>
  </si>
  <si>
    <t xml:space="preserve">% du CA client princ.</t>
  </si>
  <si>
    <t xml:space="preserve">Type contrat</t>
  </si>
  <si>
    <t xml:space="preserve">par atelier intégré</t>
  </si>
  <si>
    <t xml:space="preserve">Item 1 : Diversification des clients</t>
  </si>
  <si>
    <t xml:space="preserve">Part du CA du principal client:</t>
  </si>
  <si>
    <t xml:space="preserve">Item 2 : Qualité de la relation contractuelle
</t>
  </si>
  <si>
    <t xml:space="preserve">type contrat</t>
  </si>
  <si>
    <t xml:space="preserve">malus: atelier en intégration:</t>
  </si>
  <si>
    <t xml:space="preserve">0/N</t>
  </si>
  <si>
    <t xml:space="preserve">AUT10 : Sensibilité aux aides</t>
  </si>
  <si>
    <t xml:space="preserve">SA</t>
  </si>
  <si>
    <t xml:space="preserve">Sensibilité aux aides (SA)</t>
  </si>
  <si>
    <t xml:space="preserve">ROB14 : Contribution de revenus extérieurs à l'indépendance</t>
  </si>
  <si>
    <t xml:space="preserve">Revenus exté</t>
  </si>
  <si>
    <t xml:space="preserve">Revenu extérieur à l'exploitation</t>
  </si>
  <si>
    <t xml:space="preserve">Transmissibilité</t>
  </si>
  <si>
    <t xml:space="preserve">ROB15 : Transmissibilité économique</t>
  </si>
  <si>
    <t xml:space="preserve">Note sur 15</t>
  </si>
  <si>
    <t xml:space="preserve">Classe de K</t>
  </si>
  <si>
    <r>
      <rPr>
        <b val="true"/>
        <sz val="12"/>
        <color rgb="FF000000"/>
        <rFont val="Calibri"/>
        <family val="2"/>
        <charset val="1"/>
      </rPr>
      <t xml:space="preserve">EBE / UTH</t>
    </r>
    <r>
      <rPr>
        <b val="true"/>
        <i val="true"/>
        <sz val="12"/>
        <color rgb="FF000000"/>
        <rFont val="Calibri"/>
        <family val="2"/>
        <charset val="1"/>
      </rPr>
      <t xml:space="preserve">NS</t>
    </r>
  </si>
  <si>
    <t xml:space="preserve">Capital hors foncier / UTH NS</t>
  </si>
  <si>
    <t xml:space="preserve">Classe d'EBE</t>
  </si>
  <si>
    <r>
      <rPr>
        <b val="true"/>
        <sz val="12"/>
        <color rgb="FF000000"/>
        <rFont val="Calibri"/>
        <family val="2"/>
        <charset val="1"/>
      </rPr>
      <t xml:space="preserve">K / UTH</t>
    </r>
    <r>
      <rPr>
        <b val="true"/>
        <i val="true"/>
        <sz val="12"/>
        <color rgb="FF000000"/>
        <rFont val="Calibri"/>
        <family val="2"/>
        <charset val="1"/>
      </rPr>
      <t xml:space="preserve">NS</t>
    </r>
  </si>
  <si>
    <r>
      <rPr>
        <sz val="10"/>
        <rFont val="Arial"/>
        <family val="2"/>
        <charset val="1"/>
      </rPr>
      <t xml:space="preserve">EBE / UTH </t>
    </r>
    <r>
      <rPr>
        <sz val="10"/>
        <color rgb="FF000000"/>
        <rFont val="Arial"/>
        <family val="2"/>
        <charset val="1"/>
      </rPr>
      <t xml:space="preserve">NS </t>
    </r>
  </si>
  <si>
    <t xml:space="preserve">ROB16 : Pérennité probable</t>
  </si>
  <si>
    <t xml:space="preserve">Pérénnité probable de l'E.A</t>
  </si>
  <si>
    <t xml:space="preserve">Accès au foncier</t>
  </si>
  <si>
    <t xml:space="preserve">Projets dvlp</t>
  </si>
  <si>
    <t xml:space="preserve">Structure parcelalire</t>
  </si>
  <si>
    <t xml:space="preserve">Item 1 :Existence de l'exploitation dans 10 ans</t>
  </si>
  <si>
    <t xml:space="preserve">Disparition probable</t>
  </si>
  <si>
    <t xml:space="preserve">Item 2 : structure, foncier, projet :</t>
  </si>
  <si>
    <t xml:space="preserve">Accès au foncier sécurisé</t>
  </si>
  <si>
    <t xml:space="preserve">Projets de developpement</t>
  </si>
  <si>
    <t xml:space="preserve">Structure parcellaire</t>
  </si>
  <si>
    <t xml:space="preserve">EB</t>
  </si>
  <si>
    <t xml:space="preserve">Efficience globale</t>
  </si>
  <si>
    <t xml:space="preserve">CAP14 : Efficience brute du processus productif</t>
  </si>
  <si>
    <t xml:space="preserve">Efficience Brute (EB)</t>
  </si>
  <si>
    <t xml:space="preserve">EB :</t>
  </si>
  <si>
    <t xml:space="preserve"> RES22: Sobriété en intrants dans le processus productif</t>
  </si>
  <si>
    <t xml:space="preserve">SI en €/ha SAU</t>
  </si>
  <si>
    <t xml:space="preserve">Dépenses en intrants (DI)</t>
  </si>
  <si>
    <t xml:space="preserve"> €/ ha SAU</t>
  </si>
  <si>
    <t xml:space="preserve">EVALUATION DE LA DURABILITE</t>
  </si>
  <si>
    <t xml:space="preserve">TABLEAUX DES RESULTATS PAR DIMENSION</t>
  </si>
  <si>
    <t xml:space="preserve">Dimension</t>
  </si>
  <si>
    <t xml:space="preserve">Composante</t>
  </si>
  <si>
    <t xml:space="preserve">Indicateur</t>
  </si>
  <si>
    <t xml:space="preserve">nom</t>
  </si>
  <si>
    <t xml:space="preserve">code</t>
  </si>
  <si>
    <t xml:space="preserve">score obtenu / score max</t>
  </si>
  <si>
    <t xml:space="preserve">Dimension agroécologique 
de la durabilité </t>
  </si>
  <si>
    <t xml:space="preserve">Diversité des espèces cultivées</t>
  </si>
  <si>
    <t xml:space="preserve">/</t>
  </si>
  <si>
    <t xml:space="preserve">Diversité génétique</t>
  </si>
  <si>
    <t xml:space="preserve">A2 </t>
  </si>
  <si>
    <t xml:space="preserve">Diversité temporelle des cultures</t>
  </si>
  <si>
    <t xml:space="preserve">A3 </t>
  </si>
  <si>
    <t xml:space="preserve">Qualité de l'organisation spatiale</t>
  </si>
  <si>
    <t xml:space="preserve">A4 </t>
  </si>
  <si>
    <t xml:space="preserve">Gestion des insectes pollinisateurs et des auxiliaires des cultures </t>
  </si>
  <si>
    <t xml:space="preserve">A5 </t>
  </si>
  <si>
    <t xml:space="preserve">Bouclage de flux 
de matières et d'énergie 
par une recherche d'autonomie</t>
  </si>
  <si>
    <t xml:space="preserve">Autonomie en énergie, matériaux, matériels, semences et plants</t>
  </si>
  <si>
    <t xml:space="preserve">A6 </t>
  </si>
  <si>
    <t xml:space="preserve">Autonomie alimentaire de l’élevage</t>
  </si>
  <si>
    <t xml:space="preserve">A7 </t>
  </si>
  <si>
    <t xml:space="preserve">Autonomie en azote</t>
  </si>
  <si>
    <t xml:space="preserve">A8 </t>
  </si>
  <si>
    <t xml:space="preserve">Sobriété dans l'usage de l'eau et partage de la ressource</t>
  </si>
  <si>
    <t xml:space="preserve">A9 </t>
  </si>
  <si>
    <t xml:space="preserve">Sobriété dans l'utilisation du phosphore</t>
  </si>
  <si>
    <t xml:space="preserve">A10 </t>
  </si>
  <si>
    <t xml:space="preserve">Sobriété dans la consommation en énergie</t>
  </si>
  <si>
    <t xml:space="preserve">A11 </t>
  </si>
  <si>
    <t xml:space="preserve">Raisonner l'utilisation de l'eau</t>
  </si>
  <si>
    <t xml:space="preserve">A12 </t>
  </si>
  <si>
    <t xml:space="preserve">Favoriser la fertilité du sol</t>
  </si>
  <si>
    <t xml:space="preserve">Maintenir l'efficacité de la protection sanitaire 
des cultures et des animaux</t>
  </si>
  <si>
    <t xml:space="preserve">Sécuriser la disponibilité des moyens matériels de production</t>
  </si>
  <si>
    <t xml:space="preserve">Réduire l'impact des pratiques sur la qualité de l'eau</t>
  </si>
  <si>
    <t xml:space="preserve">Réduire l'impact des pratiques sur la qualité de l'air</t>
  </si>
  <si>
    <t xml:space="preserve">Réduire l'impact des pratiques sur le changement climatique</t>
  </si>
  <si>
    <t xml:space="preserve">Réduire l'usage des produits phytosanitaires 
et des traitements vétérinaires</t>
  </si>
  <si>
    <t xml:space="preserve">Dimension socio-territoriale 
de la durabilité  </t>
  </si>
  <si>
    <t xml:space="preserve">Production alimentaire de l'exploitation</t>
  </si>
  <si>
    <t xml:space="preserve">Contribution à l’équilibre alimentaire mondial</t>
  </si>
  <si>
    <t xml:space="preserve">Qualités de la production </t>
  </si>
  <si>
    <t xml:space="preserve">Pertes et gaspillage</t>
  </si>
  <si>
    <t xml:space="preserve">Développement local 
et économie circulaire</t>
  </si>
  <si>
    <t xml:space="preserve">Engagement dans des démarches 
environnementales contractualisées et territoriales</t>
  </si>
  <si>
    <t xml:space="preserve">B6 </t>
  </si>
  <si>
    <t xml:space="preserve">Services marchands au territoire</t>
  </si>
  <si>
    <t xml:space="preserve">Valorisation par filières courtes ou de proximité</t>
  </si>
  <si>
    <t xml:space="preserve">Valorisation des ressources locales</t>
  </si>
  <si>
    <t xml:space="preserve">Valorisation et qualité du patrimoine 
(bâti, paysage et savoir-faire) et ressources naturelles</t>
  </si>
  <si>
    <t xml:space="preserve">Accessibilité de l’espace</t>
  </si>
  <si>
    <t xml:space="preserve">Gestion des déchets non organiques </t>
  </si>
  <si>
    <t xml:space="preserve">Réseaux d'innovation et mutualisation du matériel</t>
  </si>
  <si>
    <t xml:space="preserve">B13 </t>
  </si>
  <si>
    <t xml:space="preserve">Contribution à l'emploi et gestion du salariat</t>
  </si>
  <si>
    <t xml:space="preserve">Mutualisation du travail</t>
  </si>
  <si>
    <t xml:space="preserve">Intensité et qualité au travail</t>
  </si>
  <si>
    <t xml:space="preserve">Accueil, hygiène et sécurité</t>
  </si>
  <si>
    <t xml:space="preserve">Formation</t>
  </si>
  <si>
    <t xml:space="preserve">Implication sociale territoriale et solidarités</t>
  </si>
  <si>
    <t xml:space="preserve">Démarche de transparence </t>
  </si>
  <si>
    <t xml:space="preserve">Qualité de la vie</t>
  </si>
  <si>
    <t xml:space="preserve">Isolement</t>
  </si>
  <si>
    <t xml:space="preserve">Bien-être animal</t>
  </si>
  <si>
    <t xml:space="preserve">Dimension économique 
de la durabilité</t>
  </si>
  <si>
    <t xml:space="preserve">Capacité économique</t>
  </si>
  <si>
    <t xml:space="preserve">Taux d'endettement structurel</t>
  </si>
  <si>
    <t xml:space="preserve">Diversification productive</t>
  </si>
  <si>
    <t xml:space="preserve">Diversification et relations contractuelles</t>
  </si>
  <si>
    <t xml:space="preserve">Sensibilité aux aides</t>
  </si>
  <si>
    <t xml:space="preserve">Contribution de revenus extérieurs à l'indépendance</t>
  </si>
  <si>
    <t xml:space="preserve">Transmissibilité économique</t>
  </si>
  <si>
    <t xml:space="preserve">Pérennité probable</t>
  </si>
  <si>
    <t xml:space="preserve">Efficience brute du processus productif</t>
  </si>
  <si>
    <t xml:space="preserve">Sobriété en intrants dans le processus productif</t>
  </si>
  <si>
    <t xml:space="preserve">Durabilité globale</t>
  </si>
  <si>
    <t xml:space="preserve">RESULTATS DES DIMENSIONS</t>
  </si>
  <si>
    <t xml:space="preserve">Les données en bleu permettent la construction des figures.</t>
  </si>
  <si>
    <t xml:space="preserve">Durabilité agroécologique</t>
  </si>
  <si>
    <t xml:space="preserve">/100</t>
  </si>
  <si>
    <t xml:space="preserve">Durabilité socioterritoriale</t>
  </si>
  <si>
    <t xml:space="preserve">Durabilité économique</t>
  </si>
  <si>
    <t xml:space="preserve">RESULTATS DES COMPOSANTES</t>
  </si>
  <si>
    <t xml:space="preserve">Composantes</t>
  </si>
  <si>
    <t xml:space="preserve">Note obtenue
 sur 100</t>
  </si>
  <si>
    <t xml:space="preserve">Réduire les impacts sur la santé et les écosytèmes</t>
  </si>
  <si>
    <t xml:space="preserve">RESULTATS DES INDICATEURS</t>
  </si>
  <si>
    <t xml:space="preserve">Note obtenue / Note max</t>
  </si>
  <si>
    <t xml:space="preserve">Différence au maximum</t>
  </si>
  <si>
    <t xml:space="preserve">La colonne B peut être copiée/collée dans le calculateur propriété</t>
  </si>
</sst>
</file>

<file path=xl/styles.xml><?xml version="1.0" encoding="utf-8"?>
<styleSheet xmlns="http://schemas.openxmlformats.org/spreadsheetml/2006/main">
  <numFmts count="21">
    <numFmt numFmtId="164" formatCode="General"/>
    <numFmt numFmtId="165" formatCode="[$-40C]DD/MM/YYYY"/>
    <numFmt numFmtId="166" formatCode="@"/>
    <numFmt numFmtId="167" formatCode="0#\ ##\ ##\ ##\ ##"/>
    <numFmt numFmtId="168" formatCode="0.0"/>
    <numFmt numFmtId="169" formatCode="General"/>
    <numFmt numFmtId="170" formatCode="#,##0"/>
    <numFmt numFmtId="171" formatCode="0\ %"/>
    <numFmt numFmtId="172" formatCode="0.00"/>
    <numFmt numFmtId="173" formatCode="\ * #,##0.00,&quot;   &quot;;\-* #,##0.00,&quot;   &quot;;\ * \-#&quot;    &quot;;@\ "/>
    <numFmt numFmtId="174" formatCode="0"/>
    <numFmt numFmtId="175" formatCode="#,##0&quot; kg vif&quot;"/>
    <numFmt numFmtId="176" formatCode="#,##0.0"/>
    <numFmt numFmtId="177" formatCode="0&quot; qx&quot;"/>
    <numFmt numFmtId="178" formatCode="0&quot; MJ&quot;"/>
    <numFmt numFmtId="179" formatCode="#,##0.0&quot; ha&quot;"/>
    <numFmt numFmtId="180" formatCode="0.000"/>
    <numFmt numFmtId="181" formatCode="0.00E+00"/>
    <numFmt numFmtId="182" formatCode="0.00\ %"/>
    <numFmt numFmtId="183" formatCode="\ * #,##0.00,&quot;€ &quot;;\-* #,##0.00,&quot;€ &quot;;\ * \-#&quot; € &quot;;@\ "/>
    <numFmt numFmtId="184" formatCode="#,##0.00"/>
  </numFmts>
  <fonts count="206">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name val="Arial"/>
      <family val="2"/>
      <charset val="1"/>
    </font>
    <font>
      <b val="true"/>
      <sz val="11"/>
      <color rgb="FF000000"/>
      <name val="Arial"/>
      <family val="2"/>
      <charset val="1"/>
    </font>
    <font>
      <b val="true"/>
      <sz val="12"/>
      <color rgb="FF000000"/>
      <name val="Arial"/>
      <family val="2"/>
      <charset val="1"/>
    </font>
    <font>
      <b val="true"/>
      <sz val="12"/>
      <name val="Arial"/>
      <family val="2"/>
      <charset val="1"/>
    </font>
    <font>
      <sz val="11"/>
      <name val="Cambria"/>
      <family val="1"/>
      <charset val="1"/>
    </font>
    <font>
      <b val="true"/>
      <sz val="12"/>
      <color rgb="FF000000"/>
      <name val="Times New Roman"/>
      <family val="1"/>
      <charset val="1"/>
    </font>
    <font>
      <sz val="12"/>
      <color rgb="FF000000"/>
      <name val="Times New Roman"/>
      <family val="1"/>
      <charset val="1"/>
    </font>
    <font>
      <b val="true"/>
      <sz val="11"/>
      <color rgb="FF000000"/>
      <name val="Calibri"/>
      <family val="0"/>
    </font>
    <font>
      <b val="true"/>
      <sz val="14"/>
      <color rgb="FF000000"/>
      <name val="Times New Roman"/>
      <family val="0"/>
    </font>
    <font>
      <sz val="11"/>
      <color rgb="FF000000"/>
      <name val="Times New Roman"/>
      <family val="0"/>
    </font>
    <font>
      <sz val="11"/>
      <color rgb="FF000000"/>
      <name val="Times New Roman"/>
      <family val="1"/>
      <charset val="1"/>
    </font>
    <font>
      <b val="true"/>
      <sz val="18"/>
      <color rgb="FFFFFFFF"/>
      <name val="Calibri"/>
      <family val="2"/>
      <charset val="1"/>
    </font>
    <font>
      <sz val="11"/>
      <color rgb="FFFFFFFF"/>
      <name val="Calibri"/>
      <family val="2"/>
      <charset val="1"/>
    </font>
    <font>
      <b val="true"/>
      <sz val="11"/>
      <color rgb="FF000000"/>
      <name val="Times New Roman"/>
      <family val="1"/>
      <charset val="1"/>
    </font>
    <font>
      <b val="true"/>
      <sz val="11"/>
      <name val="Times New Roman"/>
      <family val="1"/>
      <charset val="1"/>
    </font>
    <font>
      <b val="true"/>
      <u val="single"/>
      <sz val="11"/>
      <color rgb="FF800000"/>
      <name val="Times New Roman"/>
      <family val="1"/>
      <charset val="1"/>
    </font>
    <font>
      <sz val="11"/>
      <color rgb="FFFFFFFF"/>
      <name val="Times New Roman"/>
      <family val="1"/>
      <charset val="1"/>
    </font>
    <font>
      <b val="true"/>
      <sz val="10"/>
      <color rgb="FF000000"/>
      <name val="Times New Roman"/>
      <family val="1"/>
      <charset val="1"/>
    </font>
    <font>
      <sz val="10"/>
      <color rgb="FF000000"/>
      <name val="Times New Roman"/>
      <family val="1"/>
      <charset val="1"/>
    </font>
    <font>
      <b val="true"/>
      <sz val="10"/>
      <name val="Arial"/>
      <family val="2"/>
      <charset val="1"/>
    </font>
    <font>
      <b val="true"/>
      <sz val="10"/>
      <color rgb="FF800000"/>
      <name val="Times New Roman"/>
      <family val="1"/>
      <charset val="1"/>
    </font>
    <font>
      <b val="true"/>
      <sz val="10"/>
      <name val="Times New Roman"/>
      <family val="1"/>
      <charset val="1"/>
    </font>
    <font>
      <sz val="11"/>
      <color rgb="FF800000"/>
      <name val="Times New Roman"/>
      <family val="1"/>
      <charset val="1"/>
    </font>
    <font>
      <sz val="10"/>
      <color rgb="FF000000"/>
      <name val="Arial"/>
      <family val="2"/>
      <charset val="1"/>
    </font>
    <font>
      <b val="true"/>
      <sz val="11"/>
      <color rgb="FFFF0000"/>
      <name val="Times New Roman"/>
      <family val="1"/>
      <charset val="1"/>
    </font>
    <font>
      <b val="true"/>
      <sz val="11"/>
      <color rgb="FFFF0000"/>
      <name val="Arial"/>
      <family val="2"/>
      <charset val="1"/>
    </font>
    <font>
      <sz val="11"/>
      <name val="Times New Roman"/>
      <family val="1"/>
      <charset val="1"/>
    </font>
    <font>
      <sz val="11"/>
      <color rgb="FFFF0000"/>
      <name val="Times New Roman"/>
      <family val="1"/>
      <charset val="1"/>
    </font>
    <font>
      <sz val="11"/>
      <color rgb="FFFF0000"/>
      <name val="Times New Roman"/>
      <family val="0"/>
    </font>
    <font>
      <b val="true"/>
      <sz val="16"/>
      <color rgb="FFFFFFFF"/>
      <name val="Calibri"/>
      <family val="2"/>
      <charset val="1"/>
    </font>
    <font>
      <b val="true"/>
      <i val="true"/>
      <sz val="11"/>
      <name val="Calibri"/>
      <family val="2"/>
      <charset val="1"/>
    </font>
    <font>
      <i val="true"/>
      <sz val="11"/>
      <name val="Calibri"/>
      <family val="2"/>
      <charset val="1"/>
    </font>
    <font>
      <b val="true"/>
      <sz val="11"/>
      <name val="Calibri"/>
      <family val="2"/>
      <charset val="1"/>
    </font>
    <font>
      <sz val="11"/>
      <name val="Calibri"/>
      <family val="2"/>
      <charset val="1"/>
    </font>
    <font>
      <b val="true"/>
      <sz val="11"/>
      <color rgb="FF000000"/>
      <name val="Calibri"/>
      <family val="2"/>
      <charset val="1"/>
    </font>
    <font>
      <b val="true"/>
      <u val="single"/>
      <sz val="11"/>
      <color rgb="FF000000"/>
      <name val="Calibri"/>
      <family val="2"/>
      <charset val="1"/>
    </font>
    <font>
      <i val="true"/>
      <sz val="11"/>
      <color rgb="FF000000"/>
      <name val="Calibri"/>
      <family val="2"/>
      <charset val="1"/>
    </font>
    <font>
      <sz val="11"/>
      <color rgb="FFFF0000"/>
      <name val="Calibri"/>
      <family val="2"/>
      <charset val="1"/>
    </font>
    <font>
      <sz val="10"/>
      <name val="Calibri"/>
      <family val="2"/>
      <charset val="1"/>
    </font>
    <font>
      <b val="true"/>
      <sz val="10"/>
      <name val="Calibri"/>
      <family val="2"/>
      <charset val="1"/>
    </font>
    <font>
      <i val="true"/>
      <sz val="10"/>
      <name val="Calibri"/>
      <family val="2"/>
      <charset val="1"/>
    </font>
    <font>
      <sz val="10"/>
      <color rgb="FFFF0000"/>
      <name val="Calibri"/>
      <family val="2"/>
      <charset val="1"/>
    </font>
    <font>
      <b val="true"/>
      <sz val="12"/>
      <name val="Calibri"/>
      <family val="2"/>
      <charset val="1"/>
    </font>
    <font>
      <sz val="12"/>
      <name val="Calibri"/>
      <family val="2"/>
      <charset val="1"/>
    </font>
    <font>
      <i val="true"/>
      <sz val="8"/>
      <name val="Calibri"/>
      <family val="2"/>
      <charset val="1"/>
    </font>
    <font>
      <b val="true"/>
      <sz val="14"/>
      <name val="Calibri"/>
      <family val="2"/>
      <charset val="1"/>
    </font>
    <font>
      <sz val="8"/>
      <color rgb="FF000000"/>
      <name val="Calibri"/>
      <family val="2"/>
      <charset val="1"/>
    </font>
    <font>
      <i val="true"/>
      <sz val="9"/>
      <color rgb="FF000000"/>
      <name val="Calibri"/>
      <family val="2"/>
      <charset val="1"/>
    </font>
    <font>
      <sz val="11"/>
      <color rgb="FF0066CC"/>
      <name val="Calibri"/>
      <family val="2"/>
      <charset val="1"/>
    </font>
    <font>
      <i val="true"/>
      <sz val="9"/>
      <name val="Calibri"/>
      <family val="2"/>
      <charset val="1"/>
    </font>
    <font>
      <i val="true"/>
      <sz val="8"/>
      <color rgb="FF000000"/>
      <name val="Calibri"/>
      <family val="2"/>
      <charset val="1"/>
    </font>
    <font>
      <b val="true"/>
      <sz val="8"/>
      <name val="Calibri"/>
      <family val="2"/>
      <charset val="1"/>
    </font>
    <font>
      <sz val="11"/>
      <name val="Arial"/>
      <family val="2"/>
      <charset val="1"/>
    </font>
    <font>
      <vertAlign val="superscript"/>
      <sz val="11"/>
      <name val="Calibri"/>
      <family val="2"/>
      <charset val="1"/>
    </font>
    <font>
      <b val="true"/>
      <sz val="9"/>
      <name val="Calibri"/>
      <family val="2"/>
      <charset val="1"/>
    </font>
    <font>
      <sz val="8"/>
      <name val="Calibri"/>
      <family val="2"/>
      <charset val="1"/>
    </font>
    <font>
      <sz val="14"/>
      <color rgb="FF000000"/>
      <name val="Times New Roman"/>
      <family val="1"/>
      <charset val="1"/>
    </font>
    <font>
      <sz val="10"/>
      <color rgb="FF333333"/>
      <name val="Calibri"/>
      <family val="2"/>
      <charset val="1"/>
    </font>
    <font>
      <sz val="10"/>
      <color rgb="FF0000FF"/>
      <name val="Calibri"/>
      <family val="2"/>
      <charset val="1"/>
    </font>
    <font>
      <sz val="10"/>
      <color rgb="FF000000"/>
      <name val="Calibri"/>
      <family val="2"/>
      <charset val="1"/>
    </font>
    <font>
      <i val="true"/>
      <sz val="10"/>
      <color rgb="FF000000"/>
      <name val="Calibri"/>
      <family val="2"/>
      <charset val="1"/>
    </font>
    <font>
      <b val="true"/>
      <sz val="10"/>
      <color rgb="FF000000"/>
      <name val="Calibri"/>
      <family val="2"/>
      <charset val="1"/>
    </font>
    <font>
      <b val="true"/>
      <sz val="8"/>
      <color rgb="FF000000"/>
      <name val="Calibri"/>
      <family val="2"/>
      <charset val="1"/>
    </font>
    <font>
      <sz val="11"/>
      <color rgb="FF333333"/>
      <name val="Calibri"/>
      <family val="2"/>
      <charset val="1"/>
    </font>
    <font>
      <b val="true"/>
      <sz val="11"/>
      <color rgb="FFFF8080"/>
      <name val="Calibri"/>
      <family val="2"/>
      <charset val="1"/>
    </font>
    <font>
      <b val="true"/>
      <i val="true"/>
      <sz val="11"/>
      <color rgb="FFFF8080"/>
      <name val="Calibri"/>
      <family val="2"/>
      <charset val="1"/>
    </font>
    <font>
      <b val="true"/>
      <i val="true"/>
      <sz val="11"/>
      <color rgb="FF000000"/>
      <name val="Calibri"/>
      <family val="2"/>
      <charset val="1"/>
    </font>
    <font>
      <sz val="8"/>
      <color rgb="FF000000"/>
      <name val="Times New Roman"/>
      <family val="1"/>
      <charset val="1"/>
    </font>
    <font>
      <sz val="10"/>
      <name val="Times New Roman"/>
      <family val="1"/>
      <charset val="1"/>
    </font>
    <font>
      <i val="true"/>
      <sz val="9"/>
      <name val="Arial"/>
      <family val="2"/>
      <charset val="1"/>
    </font>
    <font>
      <sz val="9"/>
      <name val="Calibri"/>
      <family val="2"/>
      <charset val="1"/>
    </font>
    <font>
      <b val="true"/>
      <u val="single"/>
      <sz val="12"/>
      <color rgb="FF333333"/>
      <name val="Times New Roman"/>
      <family val="1"/>
      <charset val="1"/>
    </font>
    <font>
      <i val="true"/>
      <sz val="11"/>
      <color rgb="FFFF6600"/>
      <name val="Calibri"/>
      <family val="2"/>
      <charset val="1"/>
    </font>
    <font>
      <b val="true"/>
      <sz val="11"/>
      <color rgb="FFFF0000"/>
      <name val="Calibri"/>
      <family val="2"/>
      <charset val="1"/>
    </font>
    <font>
      <sz val="9"/>
      <color rgb="FF000000"/>
      <name val="Tahoma"/>
      <family val="2"/>
      <charset val="1"/>
    </font>
    <font>
      <b val="true"/>
      <sz val="9"/>
      <color rgb="FF000000"/>
      <name val="Tahoma"/>
      <family val="2"/>
      <charset val="1"/>
    </font>
    <font>
      <b val="true"/>
      <i val="true"/>
      <sz val="14"/>
      <name val="Times New Roman"/>
      <family val="1"/>
      <charset val="1"/>
    </font>
    <font>
      <i val="true"/>
      <sz val="10"/>
      <name val="Times New Roman"/>
      <family val="1"/>
      <charset val="1"/>
    </font>
    <font>
      <b val="true"/>
      <i val="true"/>
      <sz val="14"/>
      <color rgb="FFFF6600"/>
      <name val="Times New Roman"/>
      <family val="1"/>
      <charset val="1"/>
    </font>
    <font>
      <b val="true"/>
      <i val="true"/>
      <sz val="12"/>
      <color rgb="FFFF6600"/>
      <name val="Times New Roman"/>
      <family val="1"/>
      <charset val="1"/>
    </font>
    <font>
      <i val="true"/>
      <sz val="11"/>
      <name val="Times New Roman"/>
      <family val="1"/>
      <charset val="1"/>
    </font>
    <font>
      <b val="true"/>
      <sz val="11"/>
      <color rgb="FF969696"/>
      <name val="Times New Roman"/>
      <family val="1"/>
      <charset val="1"/>
    </font>
    <font>
      <sz val="11"/>
      <color rgb="FF969696"/>
      <name val="Times New Roman"/>
      <family val="1"/>
      <charset val="1"/>
    </font>
    <font>
      <b val="true"/>
      <i val="true"/>
      <sz val="11"/>
      <color rgb="FF000000"/>
      <name val="Times New Roman"/>
      <family val="1"/>
      <charset val="1"/>
    </font>
    <font>
      <i val="true"/>
      <sz val="11"/>
      <color rgb="FF000000"/>
      <name val="Times New Roman"/>
      <family val="1"/>
      <charset val="1"/>
    </font>
    <font>
      <b val="true"/>
      <i val="true"/>
      <sz val="10"/>
      <color rgb="FF000000"/>
      <name val="Times New Roman"/>
      <family val="1"/>
      <charset val="1"/>
    </font>
    <font>
      <b val="true"/>
      <i val="true"/>
      <sz val="12"/>
      <name val="Times New Roman"/>
      <family val="1"/>
      <charset val="1"/>
    </font>
    <font>
      <u val="single"/>
      <sz val="11"/>
      <color rgb="FF0066CC"/>
      <name val="Times New Roman"/>
      <family val="1"/>
      <charset val="1"/>
    </font>
    <font>
      <u val="single"/>
      <sz val="11"/>
      <color rgb="FF0066CC"/>
      <name val="Calibri"/>
      <family val="2"/>
      <charset val="1"/>
    </font>
    <font>
      <sz val="8"/>
      <name val="Times New Roman"/>
      <family val="1"/>
      <charset val="1"/>
    </font>
    <font>
      <b val="true"/>
      <sz val="8"/>
      <name val="Times New Roman"/>
      <family val="1"/>
      <charset val="1"/>
    </font>
    <font>
      <b val="true"/>
      <sz val="12"/>
      <name val="Times New Roman"/>
      <family val="1"/>
      <charset val="1"/>
    </font>
    <font>
      <sz val="10"/>
      <color rgb="FFFF0000"/>
      <name val="Times New Roman"/>
      <family val="1"/>
      <charset val="1"/>
    </font>
    <font>
      <b val="true"/>
      <u val="single"/>
      <sz val="11"/>
      <name val="Times New Roman"/>
      <family val="1"/>
      <charset val="1"/>
    </font>
    <font>
      <sz val="9"/>
      <color rgb="FF000000"/>
      <name val="Times New Roman"/>
      <family val="1"/>
      <charset val="1"/>
    </font>
    <font>
      <b val="true"/>
      <sz val="12"/>
      <color rgb="FFFFFFFF"/>
      <name val="Times New Roman"/>
      <family val="1"/>
      <charset val="1"/>
    </font>
    <font>
      <sz val="10"/>
      <color rgb="FF0000FF"/>
      <name val="Arial"/>
      <family val="2"/>
      <charset val="1"/>
    </font>
    <font>
      <b val="true"/>
      <i val="true"/>
      <sz val="8"/>
      <name val="Times New Roman"/>
      <family val="1"/>
      <charset val="1"/>
    </font>
    <font>
      <b val="true"/>
      <sz val="11"/>
      <color rgb="FFFFFFFF"/>
      <name val="Times New Roman"/>
      <family val="1"/>
      <charset val="1"/>
    </font>
    <font>
      <i val="true"/>
      <sz val="10"/>
      <color rgb="FF000000"/>
      <name val="Times New Roman"/>
      <family val="1"/>
      <charset val="1"/>
    </font>
    <font>
      <sz val="13"/>
      <name val="Times New Roman"/>
      <family val="1"/>
      <charset val="1"/>
    </font>
    <font>
      <vertAlign val="superscript"/>
      <sz val="11"/>
      <name val="Times New Roman"/>
      <family val="1"/>
      <charset val="1"/>
    </font>
    <font>
      <b val="true"/>
      <sz val="9"/>
      <name val="Times New Roman"/>
      <family val="1"/>
      <charset val="1"/>
    </font>
    <font>
      <i val="true"/>
      <sz val="11"/>
      <color rgb="FFFF0000"/>
      <name val="Times New Roman"/>
      <family val="1"/>
      <charset val="1"/>
    </font>
    <font>
      <i val="true"/>
      <sz val="8"/>
      <color rgb="FF000000"/>
      <name val="Times New Roman"/>
      <family val="1"/>
      <charset val="1"/>
    </font>
    <font>
      <i val="true"/>
      <sz val="12"/>
      <color rgb="FFFF0000"/>
      <name val="Times New Roman"/>
      <family val="1"/>
      <charset val="1"/>
    </font>
    <font>
      <b val="true"/>
      <sz val="11"/>
      <name val="Cambria"/>
      <family val="1"/>
      <charset val="1"/>
    </font>
    <font>
      <b val="true"/>
      <i val="true"/>
      <sz val="11"/>
      <color rgb="FF800000"/>
      <name val="Times New Roman"/>
      <family val="1"/>
      <charset val="1"/>
    </font>
    <font>
      <b val="true"/>
      <i val="true"/>
      <sz val="10"/>
      <name val="Times New Roman"/>
      <family val="1"/>
      <charset val="1"/>
    </font>
    <font>
      <b val="true"/>
      <sz val="9"/>
      <color rgb="FFFF0000"/>
      <name val="Times New Roman"/>
      <family val="1"/>
      <charset val="1"/>
    </font>
    <font>
      <b val="true"/>
      <i val="true"/>
      <sz val="10"/>
      <color rgb="FFFF0000"/>
      <name val="Times New Roman"/>
      <family val="1"/>
      <charset val="1"/>
    </font>
    <font>
      <sz val="9"/>
      <name val="Times New Roman"/>
      <family val="1"/>
      <charset val="1"/>
    </font>
    <font>
      <i val="true"/>
      <sz val="9"/>
      <color rgb="FF000000"/>
      <name val="Times New Roman"/>
      <family val="1"/>
      <charset val="1"/>
    </font>
    <font>
      <b val="true"/>
      <i val="true"/>
      <sz val="11"/>
      <name val="Times New Roman"/>
      <family val="1"/>
      <charset val="1"/>
    </font>
    <font>
      <i val="true"/>
      <sz val="10"/>
      <name val="Arial"/>
      <family val="2"/>
      <charset val="1"/>
    </font>
    <font>
      <u val="single"/>
      <sz val="12"/>
      <color rgb="FF000000"/>
      <name val="Times New Roman"/>
      <family val="1"/>
      <charset val="1"/>
    </font>
    <font>
      <i val="true"/>
      <sz val="10"/>
      <color rgb="FF0066CC"/>
      <name val="Times New Roman"/>
      <family val="1"/>
      <charset val="1"/>
    </font>
    <font>
      <b val="true"/>
      <u val="single"/>
      <sz val="12"/>
      <color rgb="FF000000"/>
      <name val="Times New Roman"/>
      <family val="1"/>
      <charset val="1"/>
    </font>
    <font>
      <b val="true"/>
      <i val="true"/>
      <sz val="11"/>
      <color rgb="FFFF0000"/>
      <name val="Times New Roman"/>
      <family val="1"/>
      <charset val="1"/>
    </font>
    <font>
      <i val="true"/>
      <u val="single"/>
      <sz val="11"/>
      <color rgb="FF000000"/>
      <name val="Times New Roman"/>
      <family val="1"/>
      <charset val="1"/>
    </font>
    <font>
      <b val="true"/>
      <sz val="14"/>
      <color rgb="FF000000"/>
      <name val="Times New Roman"/>
      <family val="1"/>
      <charset val="1"/>
    </font>
    <font>
      <i val="true"/>
      <sz val="12"/>
      <color rgb="FF000000"/>
      <name val="Times New Roman"/>
      <family val="1"/>
      <charset val="1"/>
    </font>
    <font>
      <b val="true"/>
      <sz val="18"/>
      <color rgb="FFFF0000"/>
      <name val="Times New Roman"/>
      <family val="1"/>
      <charset val="1"/>
    </font>
    <font>
      <i val="true"/>
      <sz val="10"/>
      <color rgb="FFFF0000"/>
      <name val="Times New Roman"/>
      <family val="1"/>
      <charset val="1"/>
    </font>
    <font>
      <u val="single"/>
      <sz val="11"/>
      <color rgb="FF000000"/>
      <name val="Times New Roman"/>
      <family val="1"/>
      <charset val="1"/>
    </font>
    <font>
      <sz val="12"/>
      <color rgb="FF000000"/>
      <name val="Calibri"/>
      <family val="2"/>
      <charset val="1"/>
    </font>
    <font>
      <b val="true"/>
      <vertAlign val="subscript"/>
      <sz val="10"/>
      <name val="Times New Roman"/>
      <family val="1"/>
      <charset val="1"/>
    </font>
    <font>
      <b val="true"/>
      <i val="true"/>
      <sz val="10"/>
      <color rgb="FFFF0000"/>
      <name val="Calibri"/>
      <family val="2"/>
      <charset val="1"/>
    </font>
    <font>
      <sz val="11"/>
      <color rgb="FF333333"/>
      <name val="Times New Roman"/>
      <family val="1"/>
      <charset val="1"/>
    </font>
    <font>
      <i val="true"/>
      <sz val="8"/>
      <color rgb="FF0066CC"/>
      <name val="Times New Roman"/>
      <family val="1"/>
      <charset val="1"/>
    </font>
    <font>
      <sz val="11"/>
      <color rgb="FF0000FF"/>
      <name val="Times New Roman"/>
      <family val="1"/>
      <charset val="1"/>
    </font>
    <font>
      <i val="true"/>
      <sz val="11"/>
      <color rgb="FFFF6600"/>
      <name val="Times New Roman"/>
      <family val="1"/>
      <charset val="1"/>
    </font>
    <font>
      <b val="true"/>
      <i val="true"/>
      <sz val="11"/>
      <color rgb="FFFF6600"/>
      <name val="Times New Roman"/>
      <family val="1"/>
      <charset val="1"/>
    </font>
    <font>
      <i val="true"/>
      <sz val="14"/>
      <color rgb="FF000000"/>
      <name val="Times New Roman"/>
      <family val="1"/>
      <charset val="1"/>
    </font>
    <font>
      <sz val="11"/>
      <color rgb="FF0066CC"/>
      <name val="Times New Roman"/>
      <family val="1"/>
      <charset val="1"/>
    </font>
    <font>
      <sz val="10"/>
      <color rgb="FF0066CC"/>
      <name val="Times New Roman"/>
      <family val="1"/>
      <charset val="1"/>
    </font>
    <font>
      <i val="true"/>
      <sz val="11"/>
      <color rgb="FF0066CC"/>
      <name val="Times New Roman"/>
      <family val="1"/>
      <charset val="1"/>
    </font>
    <font>
      <b val="true"/>
      <sz val="10"/>
      <color rgb="FF333333"/>
      <name val="Times New Roman"/>
      <family val="1"/>
      <charset val="1"/>
    </font>
    <font>
      <b val="true"/>
      <sz val="11"/>
      <color rgb="FF333333"/>
      <name val="Times New Roman"/>
      <family val="1"/>
      <charset val="1"/>
    </font>
    <font>
      <b val="true"/>
      <sz val="10"/>
      <color rgb="FFFF0000"/>
      <name val="Times New Roman"/>
      <family val="1"/>
      <charset val="1"/>
    </font>
    <font>
      <b val="true"/>
      <sz val="11"/>
      <color rgb="FFFF8080"/>
      <name val="Times New Roman"/>
      <family val="1"/>
      <charset val="1"/>
    </font>
    <font>
      <b val="true"/>
      <i val="true"/>
      <sz val="11"/>
      <color rgb="FFFF8080"/>
      <name val="Times New Roman"/>
      <family val="1"/>
      <charset val="1"/>
    </font>
    <font>
      <sz val="9"/>
      <color rgb="FF0066CC"/>
      <name val="Times New Roman"/>
      <family val="1"/>
      <charset val="1"/>
    </font>
    <font>
      <u val="single"/>
      <sz val="11"/>
      <name val="Arial"/>
      <family val="2"/>
      <charset val="1"/>
    </font>
    <font>
      <b val="true"/>
      <i val="true"/>
      <sz val="14"/>
      <color rgb="FF000000"/>
      <name val="Times New Roman"/>
      <family val="1"/>
      <charset val="1"/>
    </font>
    <font>
      <sz val="11"/>
      <color rgb="FF000000"/>
      <name val="Symbol"/>
      <family val="1"/>
      <charset val="2"/>
    </font>
    <font>
      <b val="true"/>
      <sz val="12"/>
      <name val="Cambria"/>
      <family val="1"/>
      <charset val="1"/>
    </font>
    <font>
      <b val="true"/>
      <sz val="11"/>
      <color rgb="FFFF6600"/>
      <name val="Times New Roman"/>
      <family val="1"/>
      <charset val="1"/>
    </font>
    <font>
      <i val="true"/>
      <sz val="10"/>
      <color rgb="FFFF6600"/>
      <name val="Times New Roman"/>
      <family val="1"/>
      <charset val="1"/>
    </font>
    <font>
      <i val="true"/>
      <sz val="9"/>
      <color rgb="FF000000"/>
      <name val="Tahoma"/>
      <family val="2"/>
      <charset val="1"/>
    </font>
    <font>
      <b val="true"/>
      <sz val="10"/>
      <color rgb="FF000000"/>
      <name val="Tahoma"/>
      <family val="2"/>
      <charset val="1"/>
    </font>
    <font>
      <sz val="10"/>
      <color rgb="FF000000"/>
      <name val="Tahoma"/>
      <family val="2"/>
      <charset val="1"/>
    </font>
    <font>
      <b val="true"/>
      <sz val="14"/>
      <name val="Arial"/>
      <family val="2"/>
      <charset val="1"/>
    </font>
    <font>
      <b val="true"/>
      <sz val="16"/>
      <name val="Arial"/>
      <family val="2"/>
      <charset val="1"/>
    </font>
    <font>
      <i val="true"/>
      <sz val="10"/>
      <color rgb="FFFF0000"/>
      <name val="Arial"/>
      <family val="2"/>
      <charset val="1"/>
    </font>
    <font>
      <sz val="10"/>
      <color rgb="FFFF0000"/>
      <name val="Arial"/>
      <family val="2"/>
      <charset val="1"/>
    </font>
    <font>
      <sz val="9"/>
      <name val="Arial"/>
      <family val="2"/>
      <charset val="1"/>
    </font>
    <font>
      <b val="true"/>
      <sz val="10"/>
      <color rgb="FF0000FF"/>
      <name val="Arial"/>
      <family val="2"/>
      <charset val="1"/>
    </font>
    <font>
      <sz val="11"/>
      <color rgb="FF000000"/>
      <name val="Arial"/>
      <family val="2"/>
      <charset val="1"/>
    </font>
    <font>
      <b val="true"/>
      <sz val="10"/>
      <color rgb="FF000000"/>
      <name val="Arial"/>
      <family val="2"/>
      <charset val="1"/>
    </font>
    <font>
      <sz val="16"/>
      <name val="Arial"/>
      <family val="2"/>
      <charset val="1"/>
    </font>
    <font>
      <b val="true"/>
      <sz val="10"/>
      <color rgb="FFFF0000"/>
      <name val="Arial"/>
      <family val="2"/>
      <charset val="1"/>
    </font>
    <font>
      <sz val="12"/>
      <name val="Arial"/>
      <family val="2"/>
      <charset val="1"/>
    </font>
    <font>
      <sz val="24"/>
      <name val="Arial"/>
      <family val="2"/>
      <charset val="1"/>
    </font>
    <font>
      <b val="true"/>
      <sz val="11"/>
      <color rgb="FFFF0000"/>
      <name val="Calibri"/>
      <family val="0"/>
    </font>
    <font>
      <u val="single"/>
      <sz val="11"/>
      <color rgb="FF000000"/>
      <name val="Calibri"/>
      <family val="2"/>
      <charset val="1"/>
    </font>
    <font>
      <b val="true"/>
      <i val="true"/>
      <sz val="12"/>
      <name val="Arial"/>
      <family val="2"/>
      <charset val="1"/>
    </font>
    <font>
      <b val="true"/>
      <sz val="9"/>
      <color rgb="FF000000"/>
      <name val="Calibri"/>
      <family val="2"/>
      <charset val="1"/>
    </font>
    <font>
      <sz val="12"/>
      <name val="Times New Roman"/>
      <family val="1"/>
      <charset val="1"/>
    </font>
    <font>
      <b val="true"/>
      <i val="true"/>
      <sz val="11"/>
      <color rgb="FF000000"/>
      <name val="Arial"/>
      <family val="2"/>
      <charset val="1"/>
    </font>
    <font>
      <sz val="9"/>
      <color rgb="FF000000"/>
      <name val="Calibri"/>
      <family val="2"/>
      <charset val="1"/>
    </font>
    <font>
      <i val="true"/>
      <sz val="10"/>
      <color rgb="FF000000"/>
      <name val="Arial"/>
      <family val="2"/>
      <charset val="1"/>
    </font>
    <font>
      <vertAlign val="superscript"/>
      <sz val="7.5"/>
      <color rgb="FF000000"/>
      <name val="Arial"/>
      <family val="2"/>
      <charset val="1"/>
    </font>
    <font>
      <sz val="10"/>
      <name val="MS Sans Serif"/>
      <family val="2"/>
      <charset val="1"/>
    </font>
    <font>
      <b val="true"/>
      <sz val="12"/>
      <color rgb="FFFFFFFF"/>
      <name val="Calibri"/>
      <family val="2"/>
      <charset val="1"/>
    </font>
    <font>
      <sz val="12"/>
      <color rgb="FFFFFFFF"/>
      <name val="Calibri"/>
      <family val="2"/>
      <charset val="1"/>
    </font>
    <font>
      <b val="true"/>
      <sz val="12"/>
      <color rgb="FF000000"/>
      <name val="Calibri"/>
      <family val="2"/>
      <charset val="1"/>
    </font>
    <font>
      <sz val="11"/>
      <color rgb="FF333399"/>
      <name val="Calibri"/>
      <family val="2"/>
      <charset val="1"/>
    </font>
    <font>
      <vertAlign val="subscript"/>
      <sz val="10"/>
      <name val="Arial"/>
      <family val="2"/>
      <charset val="1"/>
    </font>
    <font>
      <sz val="8"/>
      <name val="Arial"/>
      <family val="2"/>
      <charset val="1"/>
    </font>
    <font>
      <vertAlign val="superscript"/>
      <sz val="10"/>
      <name val="Arial"/>
      <family val="2"/>
      <charset val="1"/>
    </font>
    <font>
      <b val="true"/>
      <vertAlign val="subscript"/>
      <sz val="10"/>
      <color rgb="FF000000"/>
      <name val="Times New Roman"/>
      <family val="1"/>
      <charset val="1"/>
    </font>
    <font>
      <b val="true"/>
      <sz val="16"/>
      <color rgb="FF000000"/>
      <name val="Arial"/>
      <family val="2"/>
      <charset val="1"/>
    </font>
    <font>
      <u val="single"/>
      <sz val="10"/>
      <name val="Arial"/>
      <family val="2"/>
      <charset val="1"/>
    </font>
    <font>
      <b val="true"/>
      <sz val="22"/>
      <color rgb="FF000000"/>
      <name val="Calibri"/>
      <family val="2"/>
      <charset val="1"/>
    </font>
    <font>
      <sz val="10"/>
      <color rgb="FF99CC00"/>
      <name val="Arial"/>
      <family val="2"/>
      <charset val="1"/>
    </font>
    <font>
      <b val="true"/>
      <i val="true"/>
      <sz val="12"/>
      <color rgb="FF000000"/>
      <name val="Calibri"/>
      <family val="2"/>
      <charset val="1"/>
    </font>
    <font>
      <b val="true"/>
      <sz val="26"/>
      <color rgb="FF000000"/>
      <name val="Calibri"/>
      <family val="2"/>
      <charset val="1"/>
    </font>
    <font>
      <sz val="12"/>
      <color rgb="FF3366FF"/>
      <name val="Times New Roman"/>
      <family val="1"/>
      <charset val="1"/>
    </font>
    <font>
      <b val="true"/>
      <sz val="14"/>
      <color rgb="FF000000"/>
      <name val="Arial"/>
      <family val="2"/>
      <charset val="1"/>
    </font>
    <font>
      <sz val="10"/>
      <color rgb="FF3366FF"/>
      <name val="Times New Roman"/>
      <family val="1"/>
      <charset val="1"/>
    </font>
    <font>
      <sz val="10"/>
      <color rgb="FF333333"/>
      <name val="Times New Roman"/>
      <family val="1"/>
      <charset val="1"/>
    </font>
    <font>
      <b val="true"/>
      <u val="single"/>
      <sz val="10"/>
      <color rgb="FF3366FF"/>
      <name val="Times New Roman"/>
      <family val="1"/>
      <charset val="1"/>
    </font>
    <font>
      <sz val="8"/>
      <color rgb="FF3366FF"/>
      <name val="Times New Roman"/>
      <family val="1"/>
      <charset val="1"/>
    </font>
    <font>
      <b val="true"/>
      <sz val="12"/>
      <color rgb="FF000000"/>
      <name val="Calibri"/>
      <family val="2"/>
    </font>
    <font>
      <sz val="10"/>
      <color rgb="FF000000"/>
      <name val="Calibri"/>
      <family val="2"/>
    </font>
    <font>
      <b val="true"/>
      <sz val="18"/>
      <color rgb="FF000000"/>
      <name val="Calibri"/>
      <family val="2"/>
    </font>
    <font>
      <sz val="9"/>
      <color rgb="FF000000"/>
      <name val="Arial"/>
      <family val="2"/>
    </font>
    <font>
      <sz val="9.2"/>
      <color rgb="FF000000"/>
      <name val="Calibri"/>
      <family val="2"/>
    </font>
    <font>
      <sz val="10"/>
      <color rgb="FF000000"/>
      <name val="Arial"/>
      <family val="2"/>
    </font>
    <font>
      <sz val="11"/>
      <color rgb="FF000000"/>
      <name val="Calibri"/>
      <family val="2"/>
    </font>
  </fonts>
  <fills count="57">
    <fill>
      <patternFill patternType="none"/>
    </fill>
    <fill>
      <patternFill patternType="gray125"/>
    </fill>
    <fill>
      <patternFill patternType="solid">
        <fgColor rgb="FFD7E4BD"/>
        <bgColor rgb="FFD9D9D9"/>
      </patternFill>
    </fill>
    <fill>
      <patternFill patternType="solid">
        <fgColor rgb="FFC6D9F1"/>
        <bgColor rgb="FFD9D9D9"/>
      </patternFill>
    </fill>
    <fill>
      <patternFill patternType="solid">
        <fgColor rgb="FFFCD5B5"/>
        <bgColor rgb="FFFFCC99"/>
      </patternFill>
    </fill>
    <fill>
      <patternFill patternType="solid">
        <fgColor rgb="FF008000"/>
        <bgColor rgb="FF339966"/>
      </patternFill>
    </fill>
    <fill>
      <patternFill patternType="solid">
        <fgColor rgb="FF669900"/>
        <bgColor rgb="FF339966"/>
      </patternFill>
    </fill>
    <fill>
      <patternFill patternType="solid">
        <fgColor rgb="FF92D050"/>
        <bgColor rgb="FFB0C979"/>
      </patternFill>
    </fill>
    <fill>
      <patternFill patternType="solid">
        <fgColor rgb="FF66FF66"/>
        <bgColor rgb="FF92D050"/>
      </patternFill>
    </fill>
    <fill>
      <patternFill patternType="solid">
        <fgColor rgb="FFCCFFCC"/>
        <bgColor rgb="FFCCFFFF"/>
      </patternFill>
    </fill>
    <fill>
      <patternFill patternType="solid">
        <fgColor rgb="FF006BC4"/>
        <bgColor rgb="FF3366FF"/>
      </patternFill>
    </fill>
    <fill>
      <patternFill patternType="solid">
        <fgColor rgb="FF0099FF"/>
        <bgColor rgb="FF006BC4"/>
      </patternFill>
    </fill>
    <fill>
      <patternFill patternType="solid">
        <fgColor rgb="FF66CCFF"/>
        <bgColor rgb="FF97C9FD"/>
      </patternFill>
    </fill>
    <fill>
      <patternFill patternType="solid">
        <fgColor rgb="FFD2EDFE"/>
        <bgColor rgb="FFCCFFFF"/>
      </patternFill>
    </fill>
    <fill>
      <patternFill patternType="solid">
        <fgColor rgb="FFD26700"/>
        <bgColor rgb="FFFF6600"/>
      </patternFill>
    </fill>
    <fill>
      <patternFill patternType="solid">
        <fgColor rgb="FFFF9933"/>
        <bgColor rgb="FFFF9900"/>
      </patternFill>
    </fill>
    <fill>
      <patternFill patternType="solid">
        <fgColor rgb="FFFFCC00"/>
        <bgColor rgb="FFFFFF00"/>
      </patternFill>
    </fill>
    <fill>
      <patternFill patternType="solid">
        <fgColor rgb="FFFFD685"/>
        <bgColor rgb="FFFFCC99"/>
      </patternFill>
    </fill>
    <fill>
      <patternFill patternType="solid">
        <fgColor rgb="FFB0C979"/>
        <bgColor rgb="FFC4BD97"/>
      </patternFill>
    </fill>
    <fill>
      <patternFill patternType="solid">
        <fgColor rgb="FF33CC33"/>
        <bgColor rgb="FF339966"/>
      </patternFill>
    </fill>
    <fill>
      <patternFill patternType="solid">
        <fgColor rgb="FF6699FF"/>
        <bgColor rgb="FF5083C2"/>
      </patternFill>
    </fill>
    <fill>
      <patternFill patternType="solid">
        <fgColor rgb="FFFF9900"/>
        <bgColor rgb="FFFF9933"/>
      </patternFill>
    </fill>
    <fill>
      <patternFill patternType="solid">
        <fgColor rgb="FFD9D9D9"/>
        <bgColor rgb="FFD7E4BD"/>
      </patternFill>
    </fill>
    <fill>
      <patternFill patternType="solid">
        <fgColor rgb="FFFFCCFF"/>
        <bgColor rgb="FFFCD5B5"/>
      </patternFill>
    </fill>
    <fill>
      <patternFill patternType="solid">
        <fgColor rgb="FFFFFF99"/>
        <bgColor rgb="FFFFFFCC"/>
      </patternFill>
    </fill>
    <fill>
      <patternFill patternType="solid">
        <fgColor rgb="FFFFCC99"/>
        <bgColor rgb="FFFAC090"/>
      </patternFill>
    </fill>
    <fill>
      <patternFill patternType="solid">
        <fgColor rgb="FFC4BD97"/>
        <bgColor rgb="FFBFBFBF"/>
      </patternFill>
    </fill>
    <fill>
      <patternFill patternType="solid">
        <fgColor rgb="FF5083C2"/>
        <bgColor rgb="FF6699FF"/>
      </patternFill>
    </fill>
    <fill>
      <patternFill patternType="solid">
        <fgColor rgb="FFFFFFCC"/>
        <bgColor rgb="FFFDEADA"/>
      </patternFill>
    </fill>
    <fill>
      <patternFill patternType="solid">
        <fgColor rgb="FF333321"/>
        <bgColor rgb="FF003365"/>
      </patternFill>
    </fill>
    <fill>
      <patternFill patternType="solid">
        <fgColor rgb="FFFFFFFF"/>
        <bgColor rgb="FFF2F2F2"/>
      </patternFill>
    </fill>
    <fill>
      <patternFill patternType="solid">
        <fgColor rgb="FFFFFF00"/>
        <bgColor rgb="FFFFCC00"/>
      </patternFill>
    </fill>
    <fill>
      <patternFill patternType="solid">
        <fgColor rgb="FFFF0000"/>
        <bgColor rgb="FF800000"/>
      </patternFill>
    </fill>
    <fill>
      <patternFill patternType="solid">
        <fgColor rgb="FF808080"/>
        <bgColor rgb="FF969696"/>
      </patternFill>
    </fill>
    <fill>
      <patternFill patternType="solid">
        <fgColor rgb="FF99CC00"/>
        <bgColor rgb="FF92D050"/>
      </patternFill>
    </fill>
    <fill>
      <patternFill patternType="solid">
        <fgColor rgb="FF333399"/>
        <bgColor rgb="FF003365"/>
      </patternFill>
    </fill>
    <fill>
      <patternFill patternType="solid">
        <fgColor rgb="FFF2F2F2"/>
        <bgColor rgb="FFFDEADA"/>
      </patternFill>
    </fill>
    <fill>
      <patternFill patternType="solid">
        <fgColor rgb="FF376092"/>
        <bgColor rgb="FF5083C2"/>
      </patternFill>
    </fill>
    <fill>
      <patternFill patternType="solid">
        <fgColor rgb="FFBFBFBF"/>
        <bgColor rgb="FFC0C0C0"/>
      </patternFill>
    </fill>
    <fill>
      <patternFill patternType="solid">
        <fgColor rgb="FFC0C0C0"/>
        <bgColor rgb="FFBFBFBF"/>
      </patternFill>
    </fill>
    <fill>
      <patternFill patternType="solid">
        <fgColor rgb="FF97C9FD"/>
        <bgColor rgb="FFC6D9F1"/>
      </patternFill>
    </fill>
    <fill>
      <patternFill patternType="solid">
        <fgColor rgb="FF339966"/>
        <bgColor rgb="FF5083C2"/>
      </patternFill>
    </fill>
    <fill>
      <patternFill patternType="solid">
        <fgColor rgb="FF969696"/>
        <bgColor rgb="FF808080"/>
      </patternFill>
    </fill>
    <fill>
      <patternFill patternType="solid">
        <fgColor rgb="FF003365"/>
        <bgColor rgb="FF333399"/>
      </patternFill>
    </fill>
    <fill>
      <patternFill patternType="solid">
        <fgColor rgb="FF65016B"/>
        <bgColor rgb="FF800080"/>
      </patternFill>
    </fill>
    <fill>
      <patternFill patternType="solid">
        <fgColor rgb="FFCCFFFF"/>
        <bgColor rgb="FFD2EDFE"/>
      </patternFill>
    </fill>
    <fill>
      <patternFill patternType="solid">
        <fgColor rgb="FF800080"/>
        <bgColor rgb="FF65016B"/>
      </patternFill>
    </fill>
    <fill>
      <patternFill patternType="solid">
        <fgColor rgb="FF800000"/>
        <bgColor rgb="FF65016B"/>
      </patternFill>
    </fill>
    <fill>
      <patternFill patternType="solid">
        <fgColor rgb="FFFF00FF"/>
        <bgColor rgb="FF800080"/>
      </patternFill>
    </fill>
    <fill>
      <patternFill patternType="solid">
        <fgColor rgb="FF65016B"/>
        <bgColor rgb="FF800080"/>
      </patternFill>
    </fill>
    <fill>
      <patternFill patternType="solid">
        <fgColor rgb="FFC0504D"/>
        <bgColor rgb="FFD26700"/>
      </patternFill>
    </fill>
    <fill>
      <patternFill patternType="mediumGray">
        <fgColor rgb="FFC6D9F1"/>
        <bgColor rgb="FFC0C0C0"/>
      </patternFill>
    </fill>
    <fill>
      <patternFill patternType="darkGray">
        <fgColor rgb="FFD2EDFE"/>
        <bgColor rgb="FFF2F2F2"/>
      </patternFill>
    </fill>
    <fill>
      <patternFill patternType="darkGray">
        <fgColor rgb="FF97C9FD"/>
        <bgColor rgb="FF66CCFF"/>
      </patternFill>
    </fill>
    <fill>
      <patternFill patternType="solid">
        <fgColor rgb="FFFDEADA"/>
        <bgColor rgb="FFF2F2F2"/>
      </patternFill>
    </fill>
    <fill>
      <patternFill patternType="mediumGray">
        <fgColor rgb="FFD597E4"/>
        <bgColor rgb="FFFF8080"/>
      </patternFill>
    </fill>
    <fill>
      <patternFill patternType="solid">
        <fgColor rgb="FFFAC090"/>
        <bgColor rgb="FFFFCC99"/>
      </patternFill>
    </fill>
  </fills>
  <borders count="155">
    <border diagonalUp="false" diagonalDown="false">
      <left/>
      <right/>
      <top/>
      <bottom/>
      <diagonal/>
    </border>
    <border diagonalUp="false" diagonalDown="false">
      <left style="medium"/>
      <right style="medium"/>
      <top style="medium"/>
      <bottom style="mediu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medium"/>
      <top style="medium"/>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medium">
        <color rgb="FF800000"/>
      </left>
      <right/>
      <top style="medium">
        <color rgb="FF800000"/>
      </top>
      <bottom/>
      <diagonal/>
    </border>
    <border diagonalUp="false" diagonalDown="false">
      <left/>
      <right/>
      <top style="medium">
        <color rgb="FF800000"/>
      </top>
      <bottom/>
      <diagonal/>
    </border>
    <border diagonalUp="false" diagonalDown="false">
      <left/>
      <right style="medium">
        <color rgb="FF800000"/>
      </right>
      <top style="medium">
        <color rgb="FF800000"/>
      </top>
      <bottom/>
      <diagonal/>
    </border>
    <border diagonalUp="false" diagonalDown="false">
      <left style="medium">
        <color rgb="FF800000"/>
      </left>
      <right/>
      <top/>
      <bottom/>
      <diagonal/>
    </border>
    <border diagonalUp="false" diagonalDown="false">
      <left/>
      <right style="medium">
        <color rgb="FF800000"/>
      </right>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thick">
        <color rgb="FFFF0000"/>
      </bottom>
      <diagonal/>
    </border>
    <border diagonalUp="false" diagonalDown="false">
      <left style="thin"/>
      <right style="thin"/>
      <top/>
      <bottom style="thin"/>
      <diagonal/>
    </border>
    <border diagonalUp="false" diagonalDown="false">
      <left style="thick">
        <color rgb="FFFF0000"/>
      </left>
      <right style="thick">
        <color rgb="FFFF0000"/>
      </right>
      <top style="thick">
        <color rgb="FFFF0000"/>
      </top>
      <bottom style="thick">
        <color rgb="FFFF0000"/>
      </bottom>
      <diagonal/>
    </border>
    <border diagonalUp="false" diagonalDown="false">
      <left style="thick">
        <color rgb="FFFF0000"/>
      </left>
      <right/>
      <top/>
      <bottom/>
      <diagonal/>
    </border>
    <border diagonalUp="false" diagonalDown="false">
      <left style="medium">
        <color rgb="FF800000"/>
      </left>
      <right/>
      <top/>
      <bottom style="medium">
        <color rgb="FF800000"/>
      </bottom>
      <diagonal/>
    </border>
    <border diagonalUp="false" diagonalDown="false">
      <left/>
      <right/>
      <top/>
      <bottom style="medium">
        <color rgb="FF800000"/>
      </bottom>
      <diagonal/>
    </border>
    <border diagonalUp="false" diagonalDown="false">
      <left/>
      <right style="medium">
        <color rgb="FF800000"/>
      </right>
      <top/>
      <bottom style="medium">
        <color rgb="FF800000"/>
      </bottom>
      <diagonal/>
    </border>
    <border diagonalUp="false" diagonalDown="false">
      <left style="medium"/>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dotted"/>
      <top style="thin"/>
      <bottom style="thin"/>
      <diagonal/>
    </border>
    <border diagonalUp="false" diagonalDown="false">
      <left/>
      <right style="dotted"/>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style="thin"/>
      <right style="dotted"/>
      <top/>
      <bottom/>
      <diagonal/>
    </border>
    <border diagonalUp="false" diagonalDown="false">
      <left/>
      <right style="dotted"/>
      <top/>
      <bottom/>
      <diagonal/>
    </border>
    <border diagonalUp="false" diagonalDown="false">
      <left/>
      <right/>
      <top style="thin"/>
      <bottom/>
      <diagonal/>
    </border>
    <border diagonalUp="false" diagonalDown="false">
      <left style="thin"/>
      <right style="dotted"/>
      <top style="thin"/>
      <bottom/>
      <diagonal/>
    </border>
    <border diagonalUp="false" diagonalDown="false">
      <left/>
      <right/>
      <top/>
      <bottom style="thin"/>
      <diagonal/>
    </border>
    <border diagonalUp="false" diagonalDown="false">
      <left style="medium"/>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diagonal/>
    </border>
    <border diagonalUp="false" diagonalDown="false">
      <left style="thin"/>
      <right style="medium"/>
      <top style="medium"/>
      <bottom style="thin"/>
      <diagonal/>
    </border>
    <border diagonalUp="false" diagonalDown="false">
      <left style="thin"/>
      <right style="medium"/>
      <top/>
      <bottom style="thin"/>
      <diagonal/>
    </border>
    <border diagonalUp="false" diagonalDown="false">
      <left style="medium"/>
      <right style="medium"/>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bottom style="thin"/>
      <diagonal/>
    </border>
    <border diagonalUp="false" diagonalDown="false">
      <left style="medium"/>
      <right/>
      <top style="thin"/>
      <bottom style="thin"/>
      <diagonal/>
    </border>
    <border diagonalUp="false" diagonalDown="false">
      <left/>
      <right style="medium"/>
      <top style="thin"/>
      <bottom style="thin"/>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thin"/>
      <right style="thin"/>
      <top style="medium"/>
      <bottom/>
      <diagonal/>
    </border>
    <border diagonalUp="false" diagonalDown="false">
      <left style="medium"/>
      <right style="medium"/>
      <top/>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medium"/>
      <top style="thin"/>
      <bottom style="medium"/>
      <diagonal/>
    </border>
    <border diagonalUp="false" diagonalDown="false">
      <left style="medium"/>
      <right style="medium"/>
      <top style="thin"/>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thin"/>
      <right style="thin"/>
      <top style="medium"/>
      <bottom style="thin"/>
      <diagonal/>
    </border>
    <border diagonalUp="false" diagonalDown="false">
      <left/>
      <right style="medium"/>
      <top/>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style="medium">
        <color rgb="FFFF0000"/>
      </left>
      <right style="medium">
        <color rgb="FFFF0000"/>
      </right>
      <top style="medium">
        <color rgb="FFFF0000"/>
      </top>
      <bottom style="medium">
        <color rgb="FFFF0000"/>
      </bottom>
      <diagonal/>
    </border>
    <border diagonalUp="false" diagonalDown="false">
      <left style="thin"/>
      <right/>
      <top style="medium"/>
      <bottom style="thin"/>
      <diagonal/>
    </border>
    <border diagonalUp="false" diagonalDown="false">
      <left/>
      <right style="thin"/>
      <top style="medium"/>
      <bottom style="thin"/>
      <diagonal/>
    </border>
    <border diagonalUp="false" diagonalDown="false">
      <left style="medium"/>
      <right style="thin"/>
      <top/>
      <bottom/>
      <diagonal/>
    </border>
    <border diagonalUp="false" diagonalDown="false">
      <left style="thin"/>
      <right style="medium"/>
      <top style="thin"/>
      <bottom style="medium"/>
      <diagonal/>
    </border>
    <border diagonalUp="false" diagonalDown="false">
      <left/>
      <right style="thin"/>
      <top style="thin"/>
      <bottom style="medium"/>
      <diagonal/>
    </border>
    <border diagonalUp="false" diagonalDown="false">
      <left style="medium"/>
      <right/>
      <top style="medium"/>
      <bottom style="thin"/>
      <diagonal/>
    </border>
    <border diagonalUp="false" diagonalDown="false">
      <left style="medium"/>
      <right style="medium"/>
      <top/>
      <bottom/>
      <diagonal/>
    </border>
    <border diagonalUp="false" diagonalDown="false">
      <left style="medium"/>
      <right style="thin"/>
      <top/>
      <bottom style="medium"/>
      <diagonal/>
    </border>
    <border diagonalUp="false" diagonalDown="false">
      <left style="medium"/>
      <right/>
      <top style="thin"/>
      <bottom/>
      <diagonal/>
    </border>
    <border diagonalUp="false" diagonalDown="false">
      <left style="medium"/>
      <right/>
      <top style="thin"/>
      <bottom style="medium"/>
      <diagonal/>
    </border>
    <border diagonalUp="false" diagonalDown="false">
      <left style="medium"/>
      <right style="thin"/>
      <top style="medium"/>
      <bottom/>
      <diagonal/>
    </border>
    <border diagonalUp="false" diagonalDown="false">
      <left style="thin"/>
      <right/>
      <top style="medium"/>
      <bottom/>
      <diagonal/>
    </border>
    <border diagonalUp="false" diagonalDown="false">
      <left style="medium">
        <color rgb="FFFF0000"/>
      </left>
      <right/>
      <top/>
      <bottom/>
      <diagonal/>
    </border>
    <border diagonalUp="false" diagonalDown="false">
      <left/>
      <right style="thin"/>
      <top style="medium"/>
      <bottom style="medium"/>
      <diagonal/>
    </border>
    <border diagonalUp="false" diagonalDown="false">
      <left/>
      <right style="medium">
        <color rgb="FFFF0000"/>
      </right>
      <top style="medium">
        <color rgb="FFFF0000"/>
      </top>
      <bottom style="medium">
        <color rgb="FFFF0000"/>
      </bottom>
      <diagonal/>
    </border>
    <border diagonalUp="false" diagonalDown="false">
      <left/>
      <right style="medium">
        <color rgb="FFFF0000"/>
      </right>
      <top/>
      <bottom/>
      <diagonal/>
    </border>
    <border diagonalUp="false" diagonalDown="false">
      <left style="medium">
        <color rgb="FFFF0000"/>
      </left>
      <right/>
      <top style="medium">
        <color rgb="FFFF0000"/>
      </top>
      <bottom style="medium">
        <color rgb="FFFF0000"/>
      </bottom>
      <diagonal/>
    </border>
    <border diagonalUp="false" diagonalDown="false">
      <left/>
      <right/>
      <top/>
      <bottom style="medium">
        <color rgb="FFFF0000"/>
      </bottom>
      <diagonal/>
    </border>
    <border diagonalUp="false" diagonalDown="false">
      <left/>
      <right/>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style="thin"/>
      <right/>
      <top style="medium"/>
      <bottom style="medium"/>
      <diagonal/>
    </border>
    <border diagonalUp="false" diagonalDown="false">
      <left/>
      <right/>
      <top style="medium">
        <color rgb="FFFF0000"/>
      </top>
      <bottom style="medium">
        <color rgb="FFFF0000"/>
      </bottom>
      <diagonal/>
    </border>
    <border diagonalUp="false" diagonalDown="false">
      <left style="thin"/>
      <right style="medium">
        <color rgb="FFFF0000"/>
      </right>
      <top/>
      <bottom/>
      <diagonal/>
    </border>
    <border diagonalUp="false" diagonalDown="false">
      <left style="medium">
        <color rgb="FFFF0000"/>
      </left>
      <right style="medium">
        <color rgb="FFFF0000"/>
      </right>
      <top style="medium">
        <color rgb="FFFF0000"/>
      </top>
      <bottom style="thin"/>
      <diagonal/>
    </border>
    <border diagonalUp="false" diagonalDown="false">
      <left style="medium">
        <color rgb="FFFF0000"/>
      </left>
      <right style="medium">
        <color rgb="FFFF0000"/>
      </right>
      <top/>
      <bottom style="thin"/>
      <diagonal/>
    </border>
    <border diagonalUp="false" diagonalDown="false">
      <left style="medium">
        <color rgb="FFFF0000"/>
      </left>
      <right style="medium">
        <color rgb="FFFF0000"/>
      </right>
      <top/>
      <bottom style="medium">
        <color rgb="FFFF0000"/>
      </bottom>
      <diagonal/>
    </border>
    <border diagonalUp="false" diagonalDown="false">
      <left style="thin"/>
      <right style="thin"/>
      <top/>
      <bottom style="medium"/>
      <diagonal/>
    </border>
    <border diagonalUp="false" diagonalDown="false">
      <left style="thin"/>
      <right/>
      <top/>
      <bottom style="medium"/>
      <diagonal/>
    </border>
    <border diagonalUp="false" diagonalDown="false">
      <left style="medium"/>
      <right/>
      <top/>
      <bottom style="thin"/>
      <diagonal/>
    </border>
    <border diagonalUp="false" diagonalDown="false">
      <left style="thin"/>
      <right style="medium"/>
      <top/>
      <bottom/>
      <diagonal/>
    </border>
    <border diagonalUp="false" diagonalDown="false">
      <left style="medium">
        <color rgb="FFFF6600"/>
      </left>
      <right/>
      <top style="medium">
        <color rgb="FFFF6600"/>
      </top>
      <bottom style="medium">
        <color rgb="FFFF6600"/>
      </bottom>
      <diagonal/>
    </border>
    <border diagonalUp="false" diagonalDown="false">
      <left/>
      <right style="medium">
        <color rgb="FFFF6600"/>
      </right>
      <top style="medium">
        <color rgb="FFFF6600"/>
      </top>
      <bottom style="medium">
        <color rgb="FFFF6600"/>
      </bottom>
      <diagonal/>
    </border>
    <border diagonalUp="false" diagonalDown="false">
      <left style="medium">
        <color rgb="FFFF6600"/>
      </left>
      <right/>
      <top style="medium">
        <color rgb="FFFF6600"/>
      </top>
      <bottom style="medium">
        <color rgb="FFFF0000"/>
      </bottom>
      <diagonal/>
    </border>
    <border diagonalUp="false" diagonalDown="false">
      <left/>
      <right style="medium">
        <color rgb="FFFF6600"/>
      </right>
      <top style="medium">
        <color rgb="FFFF6600"/>
      </top>
      <bottom style="medium">
        <color rgb="FFFF0000"/>
      </bottom>
      <diagonal/>
    </border>
    <border diagonalUp="false" diagonalDown="false">
      <left style="thin"/>
      <right style="medium"/>
      <top/>
      <bottom style="medium"/>
      <diagonal/>
    </border>
    <border diagonalUp="false" diagonalDown="false">
      <left style="medium">
        <color rgb="FFFF6600"/>
      </left>
      <right/>
      <top/>
      <bottom/>
      <diagonal/>
    </border>
    <border diagonalUp="false" diagonalDown="false">
      <left/>
      <right style="thin"/>
      <top style="medium"/>
      <bottom/>
      <diagonal/>
    </border>
    <border diagonalUp="false" diagonalDown="false">
      <left style="medium">
        <color rgb="FF006BC4"/>
      </left>
      <right style="medium">
        <color rgb="FF006BC4"/>
      </right>
      <top style="medium">
        <color rgb="FF006BC4"/>
      </top>
      <bottom style="medium">
        <color rgb="FF006BC4"/>
      </bottom>
      <diagonal/>
    </border>
    <border diagonalUp="false" diagonalDown="false">
      <left style="thin">
        <color rgb="FF333399"/>
      </left>
      <right style="thin">
        <color rgb="FF333399"/>
      </right>
      <top style="thin">
        <color rgb="FF333399"/>
      </top>
      <bottom style="thin">
        <color rgb="FF333399"/>
      </bottom>
      <diagonal/>
    </border>
    <border diagonalUp="false" diagonalDown="false">
      <left style="medium">
        <color rgb="FF006BC4"/>
      </left>
      <right style="medium">
        <color rgb="FF006BC4"/>
      </right>
      <top/>
      <bottom style="medium">
        <color rgb="FF006BC4"/>
      </bottom>
      <diagonal/>
    </border>
    <border diagonalUp="false" diagonalDown="false">
      <left/>
      <right style="medium">
        <color rgb="FF006BC4"/>
      </right>
      <top/>
      <bottom style="medium">
        <color rgb="FF006BC4"/>
      </bottom>
      <diagonal/>
    </border>
    <border diagonalUp="false" diagonalDown="false">
      <left style="thin">
        <color rgb="FF333399"/>
      </left>
      <right/>
      <top/>
      <bottom/>
      <diagonal/>
    </border>
    <border diagonalUp="false" diagonalDown="false">
      <left style="medium">
        <color rgb="FF006BC4"/>
      </left>
      <right style="medium">
        <color rgb="FF006BC4"/>
      </right>
      <top/>
      <bottom/>
      <diagonal/>
    </border>
    <border diagonalUp="false" diagonalDown="false">
      <left/>
      <right style="medium">
        <color rgb="FF006BC4"/>
      </right>
      <top/>
      <bottom/>
      <diagonal/>
    </border>
    <border diagonalUp="false" diagonalDown="false">
      <left style="thin">
        <color rgb="FF333321"/>
      </left>
      <right style="thin">
        <color rgb="FF333321"/>
      </right>
      <top style="thin">
        <color rgb="FF333321"/>
      </top>
      <bottom/>
      <diagonal/>
    </border>
    <border diagonalUp="false" diagonalDown="false">
      <left style="thin">
        <color rgb="FF333321"/>
      </left>
      <right style="thin">
        <color rgb="FF333321"/>
      </right>
      <top/>
      <bottom/>
      <diagonal/>
    </border>
    <border diagonalUp="false" diagonalDown="false">
      <left style="thin">
        <color rgb="FF333321"/>
      </left>
      <right style="thin">
        <color rgb="FF333321"/>
      </right>
      <top style="thin">
        <color rgb="FF333321"/>
      </top>
      <bottom style="thin">
        <color rgb="FF333321"/>
      </bottom>
      <diagonal/>
    </border>
    <border diagonalUp="false" diagonalDown="false">
      <left style="medium">
        <color rgb="FF969696"/>
      </left>
      <right/>
      <top style="medium">
        <color rgb="FF969696"/>
      </top>
      <bottom style="medium">
        <color rgb="FF969696"/>
      </bottom>
      <diagonal/>
    </border>
    <border diagonalUp="false" diagonalDown="false">
      <left/>
      <right/>
      <top style="medium">
        <color rgb="FF969696"/>
      </top>
      <bottom style="medium">
        <color rgb="FF969696"/>
      </bottom>
      <diagonal/>
    </border>
    <border diagonalUp="false" diagonalDown="false">
      <left/>
      <right style="medium">
        <color rgb="FF969696"/>
      </right>
      <top style="medium">
        <color rgb="FF969696"/>
      </top>
      <bottom style="medium">
        <color rgb="FF969696"/>
      </bottom>
      <diagonal/>
    </border>
    <border diagonalUp="false" diagonalDown="false">
      <left style="medium">
        <color rgb="FF97C9FD"/>
      </left>
      <right style="medium">
        <color rgb="FF97C9FD"/>
      </right>
      <top style="medium">
        <color rgb="FF969696"/>
      </top>
      <bottom style="medium">
        <color rgb="FF97C9FD"/>
      </bottom>
      <diagonal/>
    </border>
    <border diagonalUp="false" diagonalDown="false">
      <left/>
      <right style="medium">
        <color rgb="FF97C9FD"/>
      </right>
      <top/>
      <bottom style="medium">
        <color rgb="FF97C9FD"/>
      </bottom>
      <diagonal/>
    </border>
    <border diagonalUp="false" diagonalDown="false">
      <left style="medium">
        <color rgb="FF97C9FD"/>
      </left>
      <right style="medium">
        <color rgb="FF97C9FD"/>
      </right>
      <top/>
      <bottom style="medium">
        <color rgb="FF97C9FD"/>
      </bottom>
      <diagonal/>
    </border>
    <border diagonalUp="false" diagonalDown="false">
      <left style="medium">
        <color rgb="FF97C9FD"/>
      </left>
      <right style="medium">
        <color rgb="FF97C9FD"/>
      </right>
      <top style="medium">
        <color rgb="FF97C9FD"/>
      </top>
      <bottom style="medium">
        <color rgb="FF97C9FD"/>
      </bottom>
      <diagonal/>
    </border>
    <border diagonalUp="false" diagonalDown="false">
      <left style="medium">
        <color rgb="FFFF6600"/>
      </left>
      <right style="medium">
        <color rgb="FFFF6600"/>
      </right>
      <top style="medium">
        <color rgb="FFFF6600"/>
      </top>
      <bottom style="medium">
        <color rgb="FFFF6600"/>
      </bottom>
      <diagonal/>
    </border>
    <border diagonalUp="false" diagonalDown="false">
      <left/>
      <right/>
      <top style="medium">
        <color rgb="FFFF6600"/>
      </top>
      <bottom style="medium">
        <color rgb="FFFF6600"/>
      </bottom>
      <diagonal/>
    </border>
    <border diagonalUp="false" diagonalDown="false">
      <left style="medium">
        <color rgb="FFFF6600"/>
      </left>
      <right style="medium">
        <color rgb="FFFF6600"/>
      </right>
      <top style="medium">
        <color rgb="FFFF6600"/>
      </top>
      <bottom/>
      <diagonal/>
    </border>
    <border diagonalUp="false" diagonalDown="false">
      <left style="medium">
        <color rgb="FFFF6600"/>
      </left>
      <right/>
      <top style="medium">
        <color rgb="FFFF6600"/>
      </top>
      <bottom/>
      <diagonal/>
    </border>
    <border diagonalUp="false" diagonalDown="false">
      <left/>
      <right/>
      <top style="medium">
        <color rgb="FFFF6600"/>
      </top>
      <bottom/>
      <diagonal/>
    </border>
    <border diagonalUp="false" diagonalDown="false">
      <left/>
      <right style="medium">
        <color rgb="FFFF6600"/>
      </right>
      <top style="medium">
        <color rgb="FFFF6600"/>
      </top>
      <bottom/>
      <diagonal/>
    </border>
    <border diagonalUp="false" diagonalDown="false">
      <left/>
      <right style="medium">
        <color rgb="FFFF6600"/>
      </right>
      <top/>
      <bottom/>
      <diagonal/>
    </border>
    <border diagonalUp="false" diagonalDown="false">
      <left style="medium">
        <color rgb="FFFF6600"/>
      </left>
      <right/>
      <top/>
      <bottom style="medium">
        <color rgb="FFFF6600"/>
      </bottom>
      <diagonal/>
    </border>
    <border diagonalUp="false" diagonalDown="false">
      <left/>
      <right/>
      <top/>
      <bottom style="medium">
        <color rgb="FFFF6600"/>
      </bottom>
      <diagonal/>
    </border>
    <border diagonalUp="false" diagonalDown="false">
      <left/>
      <right style="medium">
        <color rgb="FFFF6600"/>
      </right>
      <top/>
      <bottom style="medium">
        <color rgb="FFFF6600"/>
      </bottom>
      <diagonal/>
    </border>
    <border diagonalUp="false" diagonalDown="false">
      <left style="medium">
        <color rgb="FFFF6600"/>
      </left>
      <right style="medium">
        <color rgb="FFFF6600"/>
      </right>
      <top/>
      <bottom style="medium">
        <color rgb="FFFF6600"/>
      </bottom>
      <diagonal/>
    </border>
    <border diagonalUp="false" diagonalDown="false">
      <left style="thick"/>
      <right style="medium"/>
      <top style="thick"/>
      <bottom style="medium"/>
      <diagonal/>
    </border>
    <border diagonalUp="false" diagonalDown="false">
      <left/>
      <right style="medium"/>
      <top style="thick"/>
      <bottom/>
      <diagonal/>
    </border>
    <border diagonalUp="false" diagonalDown="false">
      <left/>
      <right/>
      <top style="thick"/>
      <bottom/>
      <diagonal/>
    </border>
    <border diagonalUp="false" diagonalDown="false">
      <left/>
      <right style="thick"/>
      <top style="thick"/>
      <bottom/>
      <diagonal/>
    </border>
    <border diagonalUp="false" diagonalDown="false">
      <left style="thick"/>
      <right/>
      <top style="medium"/>
      <bottom style="medium"/>
      <diagonal/>
    </border>
    <border diagonalUp="false" diagonalDown="false">
      <left style="thick"/>
      <right/>
      <top style="medium"/>
      <bottom/>
      <diagonal/>
    </border>
    <border diagonalUp="false" diagonalDown="false">
      <left/>
      <right/>
      <top style="medium"/>
      <bottom style="thin"/>
      <diagonal/>
    </border>
    <border diagonalUp="false" diagonalDown="false">
      <left style="thick"/>
      <right style="medium"/>
      <top/>
      <bottom style="medium"/>
      <diagonal/>
    </border>
    <border diagonalUp="false" diagonalDown="false">
      <left/>
      <right style="thick"/>
      <top/>
      <bottom/>
      <diagonal/>
    </border>
    <border diagonalUp="false" diagonalDown="false">
      <left style="thin"/>
      <right style="thin">
        <color rgb="FFD597E4"/>
      </right>
      <top style="thin"/>
      <bottom/>
      <diagonal/>
    </border>
    <border diagonalUp="false" diagonalDown="false">
      <left/>
      <right style="thin">
        <color rgb="FFD597E4"/>
      </right>
      <top/>
      <bottom style="thin"/>
      <diagonal/>
    </border>
    <border diagonalUp="false" diagonalDown="false">
      <left style="thin"/>
      <right style="thin">
        <color rgb="FFD597E4"/>
      </right>
      <top/>
      <bottom/>
      <diagonal/>
    </border>
    <border diagonalUp="false" diagonalDown="false">
      <left/>
      <right style="thin"/>
      <top/>
      <bottom style="thin">
        <color rgb="FF0000FF"/>
      </bottom>
      <diagonal/>
    </border>
    <border diagonalUp="false" diagonalDown="false">
      <left/>
      <right style="thin"/>
      <top style="thin">
        <color rgb="FF0000FF"/>
      </top>
      <bottom style="thin"/>
      <diagonal/>
    </border>
    <border diagonalUp="false" diagonalDown="false">
      <left style="thin"/>
      <right style="thin">
        <color rgb="FF0000FF"/>
      </right>
      <top style="thin"/>
      <bottom/>
      <diagonal/>
    </border>
    <border diagonalUp="false" diagonalDown="false">
      <left style="thin">
        <color rgb="FFD597E4"/>
      </left>
      <right style="thin"/>
      <top style="thin"/>
      <bottom style="thin"/>
      <diagonal/>
    </border>
    <border diagonalUp="false" diagonalDown="false">
      <left/>
      <right style="thin">
        <color rgb="FFD597E4"/>
      </right>
      <top/>
      <bottom/>
      <diagonal/>
    </border>
  </borders>
  <cellStyleXfs count="5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83"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93"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top" textRotation="0" wrapText="false" indent="0" shrinkToFit="false"/>
    </xf>
    <xf numFmtId="164" fontId="4" fillId="3" borderId="0" applyFont="true" applyBorder="false" applyAlignment="true" applyProtection="false">
      <alignment horizontal="general" vertical="top" textRotation="0" wrapText="false" indent="0" shrinkToFit="false"/>
    </xf>
    <xf numFmtId="164" fontId="4" fillId="4" borderId="0" applyFont="true" applyBorder="false" applyAlignment="true" applyProtection="false">
      <alignment horizontal="general" vertical="top" textRotation="0" wrapText="false" indent="0" shrinkToFit="false"/>
    </xf>
    <xf numFmtId="164" fontId="5" fillId="5" borderId="1" applyFont="true" applyBorder="true" applyAlignment="true" applyProtection="true">
      <alignment horizontal="center" vertical="center" textRotation="0" wrapText="true" indent="0" shrinkToFit="false"/>
      <protection locked="true" hidden="false"/>
    </xf>
    <xf numFmtId="164" fontId="5" fillId="6" borderId="0" applyFont="true" applyBorder="false" applyAlignment="true" applyProtection="true">
      <alignment horizontal="center" vertical="center" textRotation="0" wrapText="true" indent="0" shrinkToFit="false"/>
      <protection locked="true" hidden="false"/>
    </xf>
    <xf numFmtId="164" fontId="6" fillId="7" borderId="1" applyFont="true" applyBorder="true" applyAlignment="true" applyProtection="true">
      <alignment horizontal="center" vertical="center" textRotation="0" wrapText="true" indent="0" shrinkToFit="false"/>
      <protection locked="true" hidden="false"/>
    </xf>
    <xf numFmtId="164" fontId="6" fillId="8" borderId="1" applyFont="true" applyBorder="true" applyAlignment="true" applyProtection="true">
      <alignment horizontal="center" vertical="center" textRotation="0" wrapText="true" indent="0" shrinkToFit="false"/>
      <protection locked="true" hidden="false"/>
    </xf>
    <xf numFmtId="164" fontId="6" fillId="9" borderId="1" applyFont="true" applyBorder="true" applyAlignment="true" applyProtection="true">
      <alignment horizontal="center" vertical="center" textRotation="0" wrapText="true" indent="0" shrinkToFit="false"/>
      <protection locked="true" hidden="false"/>
    </xf>
    <xf numFmtId="164" fontId="6" fillId="10" borderId="1" applyFont="true" applyBorder="true" applyAlignment="true" applyProtection="true">
      <alignment horizontal="center" vertical="center" textRotation="0" wrapText="true" indent="0" shrinkToFit="false"/>
      <protection locked="true" hidden="false"/>
    </xf>
    <xf numFmtId="164" fontId="6" fillId="11" borderId="1" applyFont="true" applyBorder="true" applyAlignment="true" applyProtection="true">
      <alignment horizontal="center" vertical="center" textRotation="0" wrapText="true" indent="0" shrinkToFit="false"/>
      <protection locked="true" hidden="false"/>
    </xf>
    <xf numFmtId="164" fontId="6" fillId="12" borderId="1" applyFont="true" applyBorder="true" applyAlignment="true" applyProtection="true">
      <alignment horizontal="center" vertical="center" textRotation="0" wrapText="true" indent="0" shrinkToFit="false"/>
      <protection locked="true" hidden="false"/>
    </xf>
    <xf numFmtId="164" fontId="6" fillId="13" borderId="1" applyFont="true" applyBorder="true" applyAlignment="true" applyProtection="true">
      <alignment horizontal="center" vertical="center" textRotation="0" wrapText="true" indent="0" shrinkToFit="false"/>
      <protection locked="true" hidden="false"/>
    </xf>
    <xf numFmtId="164" fontId="5" fillId="14" borderId="1" applyFont="true" applyBorder="true" applyAlignment="true" applyProtection="true">
      <alignment horizontal="general" vertical="bottom" textRotation="0" wrapText="false" indent="0" shrinkToFit="false"/>
      <protection locked="true" hidden="false"/>
    </xf>
    <xf numFmtId="164" fontId="5" fillId="15" borderId="1" applyFont="true" applyBorder="true" applyAlignment="true" applyProtection="true">
      <alignment horizontal="general" vertical="center" textRotation="0" wrapText="false" indent="0" shrinkToFit="false"/>
      <protection locked="true" hidden="false"/>
    </xf>
    <xf numFmtId="164" fontId="5" fillId="16" borderId="1" applyFont="true" applyBorder="true" applyAlignment="true" applyProtection="true">
      <alignment horizontal="general" vertical="center" textRotation="0" wrapText="false" indent="0" shrinkToFit="false"/>
      <protection locked="true" hidden="false"/>
    </xf>
    <xf numFmtId="164" fontId="5" fillId="17" borderId="1" applyFont="true" applyBorder="true" applyAlignment="true" applyProtection="true">
      <alignment horizontal="general" vertical="center" textRotation="0" wrapText="false" indent="0" shrinkToFit="false"/>
      <protection locked="true" hidden="false"/>
    </xf>
    <xf numFmtId="164" fontId="0" fillId="18" borderId="0" applyFont="true" applyBorder="false" applyAlignment="true" applyProtection="false">
      <alignment horizontal="general" vertical="bottom" textRotation="0" wrapText="false" indent="0" shrinkToFit="false"/>
    </xf>
    <xf numFmtId="164" fontId="7" fillId="19" borderId="1" applyFont="true" applyBorder="true" applyAlignment="true" applyProtection="true">
      <alignment horizontal="center" vertical="center" textRotation="0" wrapText="true" indent="0" shrinkToFit="false"/>
      <protection locked="true" hidden="false"/>
    </xf>
    <xf numFmtId="164" fontId="7" fillId="20" borderId="1" applyFont="true" applyBorder="true" applyAlignment="true" applyProtection="true">
      <alignment horizontal="center" vertical="center" textRotation="0" wrapText="true" indent="0" shrinkToFit="false"/>
      <protection locked="true" hidden="false"/>
    </xf>
    <xf numFmtId="164" fontId="8" fillId="21" borderId="1" applyFont="true" applyBorder="true" applyAlignment="true" applyProtection="true">
      <alignment horizontal="center" vertical="center" textRotation="0" wrapText="true" indent="0" shrinkToFit="false"/>
      <protection locked="true" hidden="false"/>
    </xf>
    <xf numFmtId="164" fontId="0" fillId="2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2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4" borderId="0" applyFont="true" applyBorder="false" applyAlignment="true" applyProtection="false">
      <alignment horizontal="general" vertical="bottom" textRotation="0" wrapText="false" indent="0" shrinkToFit="false"/>
    </xf>
    <xf numFmtId="164" fontId="0" fillId="25" borderId="0" applyFont="true" applyBorder="false" applyAlignment="true" applyProtection="false">
      <alignment horizontal="general" vertical="bottom" textRotation="0" wrapText="false" indent="0" shrinkToFit="false"/>
    </xf>
    <xf numFmtId="164" fontId="0" fillId="25" borderId="0" applyFont="true" applyBorder="false" applyAlignment="true" applyProtection="false">
      <alignment horizontal="general" vertical="bottom" textRotation="0" wrapText="false" indent="0" shrinkToFit="false"/>
    </xf>
    <xf numFmtId="164" fontId="9" fillId="16" borderId="0" applyFont="true" applyBorder="false" applyAlignment="true" applyProtection="false">
      <alignment horizontal="center" vertical="center" textRotation="0" wrapText="true" indent="0" shrinkToFit="false"/>
    </xf>
    <xf numFmtId="164" fontId="0" fillId="26" borderId="0" applyFont="true" applyBorder="false" applyAlignment="true" applyProtection="false">
      <alignment horizontal="general" vertical="bottom" textRotation="0" wrapText="false" indent="0" shrinkToFit="false"/>
    </xf>
    <xf numFmtId="164" fontId="0" fillId="25" borderId="0" applyFont="true" applyBorder="false" applyAlignment="true" applyProtection="false">
      <alignment horizontal="general" vertical="bottom" textRotation="0" wrapText="false" indent="0" shrinkToFit="false"/>
    </xf>
    <xf numFmtId="164" fontId="17" fillId="27" borderId="0" applyFont="true" applyBorder="false" applyAlignment="true" applyProtection="false">
      <alignment horizontal="general" vertical="bottom" textRotation="0" wrapText="false" indent="0" shrinkToFit="false"/>
    </xf>
    <xf numFmtId="164" fontId="0" fillId="28" borderId="2" applyFont="true" applyBorder="true" applyAlignment="true" applyProtection="false">
      <alignment horizontal="general" vertical="bottom" textRotation="0" wrapText="false" indent="0" shrinkToFit="false"/>
    </xf>
  </cellStyleXfs>
  <cellXfs count="2699">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29" borderId="5" xfId="0" applyFont="true" applyBorder="true" applyAlignment="true" applyProtection="false">
      <alignment horizontal="general" vertical="center" textRotation="0" wrapText="true" indent="0" shrinkToFit="false"/>
      <protection locked="true" hidden="false"/>
    </xf>
    <xf numFmtId="164" fontId="11" fillId="0" borderId="5" xfId="0" applyFont="true" applyBorder="true" applyAlignment="true" applyProtection="false">
      <alignment horizontal="general" vertical="center" textRotation="0" wrapText="true" indent="0" shrinkToFit="false"/>
      <protection locked="true" hidden="false"/>
    </xf>
    <xf numFmtId="164" fontId="11" fillId="0" borderId="4" xfId="0" applyFont="true" applyBorder="true" applyAlignment="true" applyProtection="false">
      <alignment horizontal="justify" vertical="center" textRotation="0" wrapText="true" indent="0" shrinkToFit="false"/>
      <protection locked="true" hidden="false"/>
    </xf>
    <xf numFmtId="164" fontId="10" fillId="0" borderId="4" xfId="0" applyFont="true" applyBorder="true" applyAlignment="true" applyProtection="false">
      <alignment horizontal="general"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1" fillId="5" borderId="5"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27" borderId="1" xfId="51"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5" fontId="15"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5" fillId="30" borderId="6" xfId="0" applyFont="true" applyBorder="true" applyAlignment="false" applyProtection="false">
      <alignment horizontal="general" vertical="bottom" textRotation="0" wrapText="false" indent="0" shrinkToFit="false"/>
      <protection locked="true" hidden="false"/>
    </xf>
    <xf numFmtId="164" fontId="15" fillId="0" borderId="7" xfId="0" applyFont="true" applyBorder="true" applyAlignment="false" applyProtection="false">
      <alignment horizontal="general" vertical="bottom" textRotation="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64" fontId="0" fillId="24" borderId="6" xfId="45" applyFont="true" applyBorder="true" applyAlignment="true" applyProtection="true">
      <alignment horizontal="left" vertical="center" textRotation="0" wrapText="true" indent="0" shrinkToFit="false"/>
      <protection locked="true" hidden="false"/>
    </xf>
    <xf numFmtId="164" fontId="20" fillId="0" borderId="9" xfId="0" applyFont="true" applyBorder="true" applyAlignment="true" applyProtection="false">
      <alignment horizontal="center" vertical="center" textRotation="0" wrapText="false" indent="0" shrinkToFit="false"/>
      <protection locked="true" hidden="false"/>
    </xf>
    <xf numFmtId="164" fontId="20" fillId="0" borderId="10" xfId="0" applyFont="true" applyBorder="true" applyAlignment="true" applyProtection="false">
      <alignment horizontal="right" vertical="bottom" textRotation="0" wrapText="false" indent="0" shrinkToFit="false"/>
      <protection locked="true" hidden="false"/>
    </xf>
    <xf numFmtId="164" fontId="15" fillId="0" borderId="10" xfId="0" applyFont="true" applyBorder="true" applyAlignment="false" applyProtection="false">
      <alignment horizontal="general" vertical="bottom" textRotation="0" wrapText="false" indent="0" shrinkToFit="false"/>
      <protection locked="true" hidden="false"/>
    </xf>
    <xf numFmtId="164" fontId="15" fillId="0" borderId="11" xfId="0" applyFont="true" applyBorder="true" applyAlignment="false" applyProtection="false">
      <alignment horizontal="general" vertical="bottom" textRotation="0" wrapText="false" indent="0" shrinkToFit="false"/>
      <protection locked="true" hidden="false"/>
    </xf>
    <xf numFmtId="164" fontId="15" fillId="31" borderId="6"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0" fillId="18" borderId="6" xfId="37" applyFont="true" applyBorder="true" applyAlignment="true" applyProtection="true">
      <alignment horizontal="left" vertical="center" textRotation="0" wrapText="true" indent="0" shrinkToFit="false"/>
      <protection locked="true" hidden="false"/>
    </xf>
    <xf numFmtId="164" fontId="15" fillId="0" borderId="12" xfId="0" applyFont="true" applyBorder="true" applyAlignment="false" applyProtection="false">
      <alignment horizontal="general" vertical="bottom" textRotation="0" wrapText="false" indent="0" shrinkToFit="false"/>
      <protection locked="true" hidden="false"/>
    </xf>
    <xf numFmtId="164" fontId="15" fillId="0" borderId="1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21" fillId="32" borderId="6" xfId="0" applyFont="true" applyBorder="true" applyAlignment="false" applyProtection="false">
      <alignment horizontal="general" vertical="bottom" textRotation="0" wrapText="false" indent="0" shrinkToFit="false"/>
      <protection locked="true" hidden="false"/>
    </xf>
    <xf numFmtId="164" fontId="0" fillId="25" borderId="6" xfId="50" applyFont="true" applyBorder="true" applyAlignment="true" applyProtection="true">
      <alignment horizontal="left" vertical="center" textRotation="0" wrapText="true" indent="0" shrinkToFit="false"/>
      <protection locked="true" hidden="false"/>
    </xf>
    <xf numFmtId="164" fontId="22" fillId="0" borderId="12" xfId="0" applyFont="true" applyBorder="true" applyAlignment="false" applyProtection="false">
      <alignment horizontal="general" vertical="bottom" textRotation="0" wrapText="false" indent="0" shrinkToFit="false"/>
      <protection locked="true" hidden="false"/>
    </xf>
    <xf numFmtId="164" fontId="15" fillId="33" borderId="6" xfId="0" applyFont="true" applyBorder="true" applyAlignment="false" applyProtection="false">
      <alignment horizontal="general" vertical="bottom" textRotation="0" wrapText="false" indent="0" shrinkToFit="false"/>
      <protection locked="true" hidden="false"/>
    </xf>
    <xf numFmtId="164" fontId="15" fillId="0" borderId="14" xfId="0" applyFont="true" applyBorder="true" applyAlignment="false" applyProtection="false">
      <alignment horizontal="general" vertical="bottom" textRotation="0" wrapText="false" indent="0" shrinkToFit="false"/>
      <protection locked="true" hidden="false"/>
    </xf>
    <xf numFmtId="164" fontId="15" fillId="0" borderId="15" xfId="0" applyFont="true" applyBorder="true" applyAlignment="false" applyProtection="false">
      <alignment horizontal="general" vertical="bottom" textRotation="0" wrapText="false" indent="0" shrinkToFit="false"/>
      <protection locked="true" hidden="false"/>
    </xf>
    <xf numFmtId="164" fontId="0" fillId="3" borderId="6" xfId="44" applyFont="true" applyBorder="true" applyAlignment="true" applyProtection="true">
      <alignment horizontal="left" vertical="center" textRotation="0" wrapText="true" indent="0" shrinkToFit="false"/>
      <protection locked="true" hidden="false"/>
    </xf>
    <xf numFmtId="164" fontId="23" fillId="0" borderId="12"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false" applyProtection="false">
      <alignment horizontal="general" vertical="bottom" textRotation="0" wrapText="false" indent="0" shrinkToFit="false"/>
      <protection locked="true" hidden="false"/>
    </xf>
    <xf numFmtId="164" fontId="24" fillId="26" borderId="6" xfId="49" applyFont="true" applyBorder="true" applyAlignment="true" applyProtection="true">
      <alignment horizontal="left" vertical="center" textRotation="0" wrapText="true" indent="0" shrinkToFit="false"/>
      <protection locked="true" hidden="false"/>
    </xf>
    <xf numFmtId="164" fontId="25" fillId="0" borderId="12" xfId="0" applyFont="true" applyBorder="true" applyAlignment="false" applyProtection="false">
      <alignment horizontal="general" vertical="bottom" textRotation="0" wrapText="false" indent="0" shrinkToFit="false"/>
      <protection locked="true" hidden="false"/>
    </xf>
    <xf numFmtId="164" fontId="15" fillId="34" borderId="6"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center" vertical="center" textRotation="0" wrapText="true" indent="0" shrinkToFit="false"/>
      <protection locked="true" hidden="false"/>
    </xf>
    <xf numFmtId="164" fontId="15" fillId="0" borderId="16" xfId="0" applyFont="true" applyBorder="true" applyAlignment="false" applyProtection="false">
      <alignment horizontal="general" vertical="bottom" textRotation="0" wrapText="false" indent="0" shrinkToFit="false"/>
      <protection locked="true" hidden="false"/>
    </xf>
    <xf numFmtId="164" fontId="0" fillId="23" borderId="6" xfId="43" applyFont="true" applyBorder="true" applyAlignment="true" applyProtection="true">
      <alignment horizontal="left" vertical="bottom" textRotation="0" wrapText="true" indent="0" shrinkToFit="false"/>
      <protection locked="true" hidden="false"/>
    </xf>
    <xf numFmtId="164" fontId="26" fillId="0" borderId="12"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15" fillId="35" borderId="6" xfId="0" applyFont="true" applyBorder="true" applyAlignment="false" applyProtection="false">
      <alignment horizontal="general" vertical="bottom" textRotation="0" wrapText="false" indent="0" shrinkToFit="false"/>
      <protection locked="true" hidden="false"/>
    </xf>
    <xf numFmtId="164" fontId="15" fillId="0" borderId="17" xfId="0" applyFont="true" applyBorder="true" applyAlignment="false" applyProtection="false">
      <alignment horizontal="general" vertical="bottom" textRotation="0" wrapText="false" indent="0" shrinkToFit="false"/>
      <protection locked="true" hidden="false"/>
    </xf>
    <xf numFmtId="164" fontId="0" fillId="22" borderId="18" xfId="41" applyFont="true" applyBorder="true" applyAlignment="true" applyProtection="true">
      <alignment horizontal="left" vertical="bottom" textRotation="0" wrapText="true" indent="0" shrinkToFit="false"/>
      <protection locked="true" hidden="false"/>
    </xf>
    <xf numFmtId="164" fontId="15" fillId="21" borderId="6" xfId="0" applyFont="true" applyBorder="true" applyAlignment="false" applyProtection="false">
      <alignment horizontal="general" vertical="bottom" textRotation="0" wrapText="false" indent="0" shrinkToFit="false"/>
      <protection locked="true" hidden="false"/>
    </xf>
    <xf numFmtId="164" fontId="15" fillId="0" borderId="19" xfId="0" applyFont="true" applyBorder="true" applyAlignment="false" applyProtection="false">
      <alignment horizontal="general" vertical="bottom" textRotation="0" wrapText="false" indent="0" shrinkToFit="false"/>
      <protection locked="true" hidden="false"/>
    </xf>
    <xf numFmtId="164" fontId="28" fillId="0" borderId="20" xfId="0" applyFont="true" applyBorder="true" applyAlignment="true" applyProtection="false">
      <alignment horizontal="left" vertical="center" textRotation="0" wrapText="true" indent="0" shrinkToFit="false"/>
      <protection locked="true" hidden="false"/>
    </xf>
    <xf numFmtId="164" fontId="15" fillId="0" borderId="21" xfId="0" applyFont="true" applyBorder="true" applyAlignment="false" applyProtection="false">
      <alignment horizontal="general" vertical="bottom" textRotation="0" wrapText="false" indent="0" shrinkToFit="false"/>
      <protection locked="true" hidden="false"/>
    </xf>
    <xf numFmtId="164" fontId="15" fillId="0" borderId="22" xfId="0" applyFont="true" applyBorder="true" applyAlignment="false" applyProtection="false">
      <alignment horizontal="general" vertical="bottom" textRotation="0" wrapText="false" indent="0" shrinkToFit="false"/>
      <protection locked="true" hidden="false"/>
    </xf>
    <xf numFmtId="164" fontId="15" fillId="0" borderId="23" xfId="0" applyFont="true" applyBorder="true" applyAlignment="false" applyProtection="false">
      <alignment horizontal="general" vertical="bottom" textRotation="0" wrapText="false" indent="0" shrinkToFit="false"/>
      <protection locked="true" hidden="false"/>
    </xf>
    <xf numFmtId="164" fontId="15" fillId="0" borderId="23" xfId="0" applyFont="true" applyBorder="true" applyAlignment="true" applyProtection="false">
      <alignment horizontal="general" vertical="bottom" textRotation="0" wrapText="true" indent="0" shrinkToFit="false"/>
      <protection locked="true" hidden="false"/>
    </xf>
    <xf numFmtId="164" fontId="15" fillId="0" borderId="24" xfId="0" applyFont="true" applyBorder="true" applyAlignment="true" applyProtection="false">
      <alignment horizontal="general" vertical="bottom" textRotation="0" wrapText="true" indent="0" shrinkToFit="false"/>
      <protection locked="true" hidden="false"/>
    </xf>
    <xf numFmtId="164" fontId="15" fillId="0" borderId="7" xfId="0" applyFont="true" applyBorder="true" applyAlignment="true" applyProtection="false">
      <alignment horizontal="general" vertical="center" textRotation="0" wrapText="false" indent="0" shrinkToFit="false"/>
      <protection locked="true" hidden="false"/>
    </xf>
    <xf numFmtId="164" fontId="15" fillId="0" borderId="8"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0" fillId="36" borderId="0" xfId="0" applyFont="fals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4" fillId="35" borderId="25" xfId="51" applyFont="true" applyBorder="true" applyAlignment="true" applyProtection="true">
      <alignment horizontal="center" vertical="center" textRotation="0" wrapText="false" indent="0" shrinkToFit="false"/>
      <protection locked="true" hidden="false"/>
    </xf>
    <xf numFmtId="164" fontId="35"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true" applyAlignment="false" applyProtection="false">
      <alignment horizontal="general" vertical="bottom" textRotation="0" wrapText="false" indent="0" shrinkToFit="false"/>
      <protection locked="true" hidden="false"/>
    </xf>
    <xf numFmtId="164" fontId="39" fillId="0" borderId="26" xfId="0" applyFont="true" applyBorder="true" applyAlignment="true" applyProtection="false">
      <alignment horizontal="general" vertical="bottom" textRotation="0" wrapText="false" indent="0" shrinkToFit="false"/>
      <protection locked="true" hidden="false"/>
    </xf>
    <xf numFmtId="164" fontId="39" fillId="0" borderId="27" xfId="0" applyFont="true" applyBorder="true" applyAlignment="true" applyProtection="false">
      <alignment horizontal="right" vertical="bottom" textRotation="0" wrapText="false" indent="0" shrinkToFit="false"/>
      <protection locked="true" hidden="false"/>
    </xf>
    <xf numFmtId="165" fontId="36" fillId="36" borderId="27" xfId="0" applyFont="true" applyBorder="true" applyAlignment="false" applyProtection="false">
      <alignment horizontal="general" vertical="bottom" textRotation="0" wrapText="false" indent="0" shrinkToFit="false"/>
      <protection locked="true" hidden="false"/>
    </xf>
    <xf numFmtId="165" fontId="36" fillId="36"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4" fontId="39" fillId="0" borderId="0" xfId="0" applyFont="true" applyBorder="true" applyAlignment="true" applyProtection="false">
      <alignment horizontal="left" vertical="bottom" textRotation="0" wrapText="false" indent="0" shrinkToFit="false"/>
      <protection locked="true" hidden="false"/>
    </xf>
    <xf numFmtId="164" fontId="38" fillId="36" borderId="0" xfId="0" applyFont="true" applyBorder="true" applyAlignment="true" applyProtection="false">
      <alignment horizontal="center" vertical="bottom" textRotation="0" wrapText="false" indent="0" shrinkToFit="false"/>
      <protection locked="true" hidden="false"/>
    </xf>
    <xf numFmtId="164" fontId="4" fillId="36" borderId="0" xfId="0" applyFont="true" applyBorder="true" applyAlignment="true" applyProtection="false">
      <alignment horizontal="center" vertical="bottom" textRotation="0" wrapText="false" indent="0" shrinkToFit="false"/>
      <protection locked="true" hidden="false"/>
    </xf>
    <xf numFmtId="164" fontId="39" fillId="0" borderId="0" xfId="0" applyFont="true" applyBorder="true" applyAlignment="true" applyProtection="false">
      <alignment horizontal="general" vertical="bottom" textRotation="0" wrapText="false" indent="0" shrinkToFit="false"/>
      <protection locked="true" hidden="false"/>
    </xf>
    <xf numFmtId="164" fontId="39" fillId="0" borderId="0" xfId="0" applyFont="true" applyBorder="true" applyAlignment="true" applyProtection="false">
      <alignment horizontal="right" vertical="bottom" textRotation="0" wrapText="false" indent="0" shrinkToFit="false"/>
      <protection locked="true" hidden="false"/>
    </xf>
    <xf numFmtId="165" fontId="36" fillId="36" borderId="0"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true" applyAlignment="false" applyProtection="false">
      <alignment horizontal="general" vertical="bottom" textRotation="0" wrapText="false" indent="0" shrinkToFit="false"/>
      <protection locked="true" hidden="false"/>
    </xf>
    <xf numFmtId="164" fontId="40" fillId="0" borderId="0" xfId="0" applyFont="true" applyBorder="true" applyAlignment="false" applyProtection="false">
      <alignment horizontal="general" vertical="bottom" textRotation="0" wrapText="false" indent="0" shrinkToFit="false"/>
      <protection locked="true" hidden="false"/>
    </xf>
    <xf numFmtId="164" fontId="41" fillId="0"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true" indent="0" shrinkToFit="false"/>
      <protection locked="true" hidden="false"/>
    </xf>
    <xf numFmtId="165" fontId="36" fillId="36" borderId="0" xfId="0" applyFont="true" applyBorder="true" applyAlignment="true" applyProtection="false">
      <alignment horizontal="center" vertical="bottom" textRotation="0" wrapText="false" indent="0" shrinkToFit="false"/>
      <protection locked="true" hidden="false"/>
    </xf>
    <xf numFmtId="164" fontId="38"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39" fillId="36" borderId="0" xfId="0" applyFont="true" applyBorder="true" applyAlignment="false" applyProtection="false">
      <alignment horizontal="general" vertical="bottom" textRotation="0" wrapText="false" indent="0" shrinkToFit="false"/>
      <protection locked="true" hidden="false"/>
    </xf>
    <xf numFmtId="164" fontId="4" fillId="36" borderId="0" xfId="0" applyFont="true" applyBorder="true" applyAlignment="false" applyProtection="false">
      <alignment horizontal="general" vertical="bottom" textRotation="0" wrapText="false" indent="0" shrinkToFit="false"/>
      <protection locked="true" hidden="false"/>
    </xf>
    <xf numFmtId="164" fontId="42" fillId="0" borderId="0"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true" applyAlignment="true" applyProtection="false">
      <alignment horizontal="general" vertical="top" textRotation="0" wrapText="false" indent="0" shrinkToFit="false"/>
      <protection locked="true" hidden="false"/>
    </xf>
    <xf numFmtId="164" fontId="39" fillId="0" borderId="0" xfId="0" applyFont="true" applyBorder="true" applyAlignment="true" applyProtection="false">
      <alignment horizontal="general" vertical="center" textRotation="0" wrapText="false" indent="0" shrinkToFit="false"/>
      <protection locked="true" hidden="false"/>
    </xf>
    <xf numFmtId="164" fontId="43" fillId="0" borderId="0" xfId="0" applyFont="true" applyBorder="true" applyAlignment="false" applyProtection="false">
      <alignment horizontal="general" vertical="bottom" textRotation="0" wrapText="false" indent="0" shrinkToFit="false"/>
      <protection locked="true" hidden="false"/>
    </xf>
    <xf numFmtId="164" fontId="34" fillId="35" borderId="0" xfId="51" applyFont="true" applyBorder="true" applyAlignment="true" applyProtection="true">
      <alignment horizontal="center" vertical="center" textRotation="0" wrapText="false" indent="0" shrinkToFit="false"/>
      <protection locked="true" hidden="false"/>
    </xf>
    <xf numFmtId="164" fontId="44" fillId="37" borderId="6" xfId="0" applyFont="true" applyBorder="true" applyAlignment="true" applyProtection="false">
      <alignment horizontal="center" vertical="center" textRotation="0" wrapText="true" indent="0" shrinkToFit="false"/>
      <protection locked="true" hidden="false"/>
    </xf>
    <xf numFmtId="164" fontId="43" fillId="37" borderId="14" xfId="0" applyFont="true" applyBorder="true" applyAlignment="false" applyProtection="false">
      <alignment horizontal="general" vertical="bottom" textRotation="0" wrapText="false" indent="0" shrinkToFit="false"/>
      <protection locked="true" hidden="false"/>
    </xf>
    <xf numFmtId="164" fontId="43" fillId="37" borderId="15" xfId="0" applyFont="true" applyBorder="true" applyAlignment="false" applyProtection="false">
      <alignment horizontal="general" vertical="bottom" textRotation="0" wrapText="false" indent="0" shrinkToFit="false"/>
      <protection locked="true" hidden="false"/>
    </xf>
    <xf numFmtId="164" fontId="44" fillId="37" borderId="28" xfId="0" applyFont="true" applyBorder="true" applyAlignment="true" applyProtection="false">
      <alignment horizontal="center" vertical="center" textRotation="0" wrapText="true" indent="0" shrinkToFit="false"/>
      <protection locked="true" hidden="false"/>
    </xf>
    <xf numFmtId="164" fontId="45" fillId="37" borderId="8" xfId="0" applyFont="true" applyBorder="true" applyAlignment="true" applyProtection="false">
      <alignment horizontal="center" vertical="center" textRotation="0" wrapText="true" indent="0" shrinkToFit="false"/>
      <protection locked="true" hidden="false"/>
    </xf>
    <xf numFmtId="164" fontId="44" fillId="37" borderId="29" xfId="0" applyFont="true" applyBorder="true" applyAlignment="true" applyProtection="false">
      <alignment horizontal="center" vertical="center" textRotation="0" wrapText="true" indent="0" shrinkToFit="false"/>
      <protection locked="true" hidden="false"/>
    </xf>
    <xf numFmtId="164" fontId="43" fillId="37" borderId="30" xfId="0" applyFont="true" applyBorder="true" applyAlignment="false" applyProtection="false">
      <alignment horizontal="general" vertical="bottom" textRotation="0" wrapText="false" indent="0" shrinkToFit="false"/>
      <protection locked="true" hidden="false"/>
    </xf>
    <xf numFmtId="164" fontId="43" fillId="37" borderId="31" xfId="0" applyFont="true" applyBorder="true" applyAlignment="false" applyProtection="false">
      <alignment horizontal="general" vertical="bottom" textRotation="0" wrapText="false" indent="0" shrinkToFit="false"/>
      <protection locked="true" hidden="false"/>
    </xf>
    <xf numFmtId="164" fontId="43" fillId="37" borderId="32" xfId="0" applyFont="true" applyBorder="true" applyAlignment="false" applyProtection="false">
      <alignment horizontal="general" vertical="bottom" textRotation="0" wrapText="false" indent="0" shrinkToFit="false"/>
      <protection locked="true" hidden="false"/>
    </xf>
    <xf numFmtId="164" fontId="43" fillId="37" borderId="33" xfId="0" applyFont="true" applyBorder="true" applyAlignment="false" applyProtection="false">
      <alignment horizontal="general" vertical="bottom" textRotation="0" wrapText="false" indent="0" shrinkToFit="false"/>
      <protection locked="true" hidden="false"/>
    </xf>
    <xf numFmtId="164" fontId="37" fillId="38" borderId="30" xfId="46" applyFont="true" applyBorder="true" applyAlignment="true" applyProtection="true">
      <alignment horizontal="center" vertical="center" textRotation="0" wrapText="false" indent="0" shrinkToFit="false"/>
      <protection locked="true" hidden="false"/>
    </xf>
    <xf numFmtId="164" fontId="43" fillId="0" borderId="28" xfId="0" applyFont="true" applyBorder="true" applyAlignment="false" applyProtection="false">
      <alignment horizontal="general" vertical="bottom" textRotation="0" wrapText="false" indent="0" shrinkToFit="false"/>
      <protection locked="true" hidden="false"/>
    </xf>
    <xf numFmtId="164" fontId="43" fillId="0" borderId="31" xfId="0" applyFont="true" applyBorder="true" applyAlignment="false" applyProtection="false">
      <alignment horizontal="general" vertical="bottom" textRotation="0" wrapText="false" indent="0" shrinkToFit="false"/>
      <protection locked="true" hidden="false"/>
    </xf>
    <xf numFmtId="164" fontId="43" fillId="0" borderId="29" xfId="0" applyFont="true" applyBorder="true" applyAlignment="false" applyProtection="false">
      <alignment horizontal="general" vertical="bottom" textRotation="0" wrapText="false" indent="0" shrinkToFit="false"/>
      <protection locked="true" hidden="false"/>
    </xf>
    <xf numFmtId="164" fontId="38" fillId="36" borderId="16" xfId="0" applyFont="true" applyBorder="true" applyAlignment="false" applyProtection="false">
      <alignment horizontal="general" vertical="bottom" textRotation="0" wrapText="false" indent="0" shrinkToFit="false"/>
      <protection locked="true" hidden="false"/>
    </xf>
    <xf numFmtId="164" fontId="38" fillId="0" borderId="7" xfId="0" applyFont="true" applyBorder="true" applyAlignment="true" applyProtection="false">
      <alignment horizontal="left" vertical="top" textRotation="0" wrapText="true" indent="0" shrinkToFit="false"/>
      <protection locked="true" hidden="false"/>
    </xf>
    <xf numFmtId="164" fontId="43" fillId="36" borderId="28" xfId="0" applyFont="true" applyBorder="true" applyAlignment="false" applyProtection="false">
      <alignment horizontal="general" vertical="bottom" textRotation="0" wrapText="false" indent="0" shrinkToFit="false"/>
      <protection locked="true" hidden="false"/>
    </xf>
    <xf numFmtId="164" fontId="43" fillId="36" borderId="8" xfId="0" applyFont="true" applyBorder="true" applyAlignment="false" applyProtection="false">
      <alignment horizontal="general" vertical="bottom" textRotation="0" wrapText="false" indent="0" shrinkToFit="false"/>
      <protection locked="true" hidden="false"/>
    </xf>
    <xf numFmtId="164" fontId="43" fillId="36" borderId="29" xfId="0" applyFont="true" applyBorder="true" applyAlignment="true" applyProtection="false">
      <alignment horizontal="center" vertical="bottom" textRotation="0" wrapText="false" indent="0" shrinkToFit="false"/>
      <protection locked="true" hidden="false"/>
    </xf>
    <xf numFmtId="164" fontId="38" fillId="36" borderId="17" xfId="0" applyFont="true" applyBorder="true" applyAlignment="false" applyProtection="false">
      <alignment horizontal="general" vertical="bottom" textRotation="0" wrapText="false" indent="0" shrinkToFit="false"/>
      <protection locked="true" hidden="false"/>
    </xf>
    <xf numFmtId="164" fontId="38" fillId="0" borderId="7" xfId="0" applyFont="true" applyBorder="true" applyAlignment="true" applyProtection="false">
      <alignment horizontal="left" vertical="top" textRotation="0" wrapText="false" indent="0" shrinkToFit="false"/>
      <protection locked="true" hidden="false"/>
    </xf>
    <xf numFmtId="164" fontId="38" fillId="0" borderId="34" xfId="0" applyFont="true" applyBorder="true" applyAlignment="true" applyProtection="false">
      <alignment horizontal="left" vertical="top" textRotation="0" wrapText="false" indent="0" shrinkToFit="false"/>
      <protection locked="true" hidden="false"/>
    </xf>
    <xf numFmtId="164" fontId="43" fillId="0" borderId="8" xfId="0" applyFont="true" applyBorder="true" applyAlignment="false" applyProtection="false">
      <alignment horizontal="general" vertical="bottom" textRotation="0" wrapText="false" indent="0" shrinkToFit="false"/>
      <protection locked="true" hidden="false"/>
    </xf>
    <xf numFmtId="164" fontId="38" fillId="36" borderId="19" xfId="0" applyFont="true" applyBorder="true" applyAlignment="false" applyProtection="false">
      <alignment horizontal="general" vertical="bottom" textRotation="0" wrapText="false" indent="0" shrinkToFit="false"/>
      <protection locked="true" hidden="false"/>
    </xf>
    <xf numFmtId="164" fontId="37" fillId="38" borderId="6" xfId="46" applyFont="true" applyBorder="true" applyAlignment="true" applyProtection="true">
      <alignment horizontal="center" vertical="center" textRotation="0" wrapText="false" indent="0" shrinkToFit="false"/>
      <protection locked="true" hidden="false"/>
    </xf>
    <xf numFmtId="164" fontId="43" fillId="0" borderId="35" xfId="0" applyFont="true" applyBorder="true" applyAlignment="false" applyProtection="false">
      <alignment horizontal="general" vertical="bottom" textRotation="0" wrapText="false" indent="0" shrinkToFit="false"/>
      <protection locked="true" hidden="false"/>
    </xf>
    <xf numFmtId="164" fontId="46" fillId="0" borderId="36" xfId="0" applyFont="true" applyBorder="true" applyAlignment="true" applyProtection="false">
      <alignment horizontal="center" vertical="bottom" textRotation="0" wrapText="false" indent="0" shrinkToFit="false"/>
      <protection locked="true" hidden="false"/>
    </xf>
    <xf numFmtId="164" fontId="38" fillId="0" borderId="34" xfId="0" applyFont="true" applyBorder="true" applyAlignment="true" applyProtection="false">
      <alignment horizontal="center" vertical="top" textRotation="0" wrapText="false" indent="0" shrinkToFit="false"/>
      <protection locked="true" hidden="false"/>
    </xf>
    <xf numFmtId="164" fontId="43" fillId="0" borderId="34" xfId="0" applyFont="true" applyBorder="true" applyAlignment="false" applyProtection="false">
      <alignment horizontal="general" vertical="bottom" textRotation="0" wrapText="false" indent="0" shrinkToFit="false"/>
      <protection locked="true" hidden="false"/>
    </xf>
    <xf numFmtId="164" fontId="38" fillId="0" borderId="14" xfId="0" applyFont="true" applyBorder="true" applyAlignment="true" applyProtection="false">
      <alignment horizontal="left" vertical="top" textRotation="0" wrapText="false" indent="0" shrinkToFit="false"/>
      <protection locked="true" hidden="false"/>
    </xf>
    <xf numFmtId="164" fontId="37" fillId="38" borderId="16" xfId="46" applyFont="true" applyBorder="true" applyAlignment="true" applyProtection="true">
      <alignment horizontal="center" vertical="center" textRotation="0" wrapText="false" indent="0" shrinkToFit="false"/>
      <protection locked="true" hidden="false"/>
    </xf>
    <xf numFmtId="164" fontId="43" fillId="36" borderId="34" xfId="0" applyFont="true" applyBorder="true" applyAlignment="true" applyProtection="false">
      <alignment horizontal="center" vertical="bottom" textRotation="0" wrapText="false" indent="0" shrinkToFit="false"/>
      <protection locked="true" hidden="false"/>
    </xf>
    <xf numFmtId="164" fontId="38" fillId="0" borderId="37" xfId="0" applyFont="true" applyBorder="true" applyAlignment="true" applyProtection="false">
      <alignment horizontal="left" vertical="top" textRotation="0" wrapText="false" indent="0" shrinkToFit="false"/>
      <protection locked="true" hidden="false"/>
    </xf>
    <xf numFmtId="164" fontId="43" fillId="36" borderId="38" xfId="0" applyFont="true" applyBorder="true" applyAlignment="false" applyProtection="false">
      <alignment horizontal="general" vertical="bottom" textRotation="0" wrapText="false" indent="0" shrinkToFit="false"/>
      <protection locked="true" hidden="false"/>
    </xf>
    <xf numFmtId="164" fontId="43" fillId="0" borderId="15" xfId="0" applyFont="true" applyBorder="true" applyAlignment="false" applyProtection="false">
      <alignment horizontal="general" vertical="bottom" textRotation="0" wrapText="false" indent="0" shrinkToFit="false"/>
      <protection locked="true" hidden="false"/>
    </xf>
    <xf numFmtId="164" fontId="43" fillId="36" borderId="38" xfId="0" applyFont="true" applyBorder="true" applyAlignment="true" applyProtection="false">
      <alignment horizontal="center" vertical="bottom" textRotation="0" wrapText="false" indent="0" shrinkToFit="false"/>
      <protection locked="true" hidden="false"/>
    </xf>
    <xf numFmtId="164" fontId="43" fillId="36" borderId="15" xfId="0" applyFont="true" applyBorder="true" applyAlignment="false" applyProtection="false">
      <alignment horizontal="general" vertical="bottom" textRotation="0" wrapText="false" indent="0" shrinkToFit="false"/>
      <protection locked="true" hidden="false"/>
    </xf>
    <xf numFmtId="164" fontId="38" fillId="0" borderId="37" xfId="0" applyFont="true" applyBorder="true" applyAlignment="false" applyProtection="false">
      <alignment horizontal="general" vertical="bottom" textRotation="0" wrapText="false" indent="0" shrinkToFit="false"/>
      <protection locked="true" hidden="false"/>
    </xf>
    <xf numFmtId="164" fontId="43" fillId="0" borderId="37" xfId="0" applyFont="true" applyBorder="true" applyAlignment="false" applyProtection="false">
      <alignment horizontal="general" vertical="bottom" textRotation="0" wrapText="false" indent="0" shrinkToFit="false"/>
      <protection locked="true" hidden="false"/>
    </xf>
    <xf numFmtId="164" fontId="43" fillId="0" borderId="37"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7" fillId="37" borderId="19" xfId="0" applyFont="true" applyBorder="true" applyAlignment="true" applyProtection="false">
      <alignment horizontal="center" vertical="center" textRotation="0" wrapText="true" indent="0" shrinkToFit="false"/>
      <protection locked="true" hidden="false"/>
    </xf>
    <xf numFmtId="164" fontId="47" fillId="37" borderId="32" xfId="0" applyFont="true" applyBorder="true" applyAlignment="true" applyProtection="false">
      <alignment horizontal="center" vertical="center" textRotation="0" wrapText="true" indent="0" shrinkToFit="false"/>
      <protection locked="true" hidden="false"/>
    </xf>
    <xf numFmtId="164" fontId="43" fillId="37" borderId="7" xfId="0" applyFont="true" applyBorder="true" applyAlignment="true" applyProtection="false">
      <alignment horizontal="center" vertical="center" textRotation="0" wrapText="true" indent="0" shrinkToFit="false"/>
      <protection locked="true" hidden="false"/>
    </xf>
    <xf numFmtId="164" fontId="43" fillId="37" borderId="8" xfId="0" applyFont="true" applyBorder="true" applyAlignment="true" applyProtection="false">
      <alignment horizontal="center" vertical="center" textRotation="0" wrapText="true" indent="0" shrinkToFit="false"/>
      <protection locked="true" hidden="false"/>
    </xf>
    <xf numFmtId="164" fontId="43" fillId="37" borderId="34" xfId="0" applyFont="true" applyBorder="true" applyAlignment="true" applyProtection="false">
      <alignment horizontal="center" vertical="center" textRotation="0" wrapText="true" indent="0" shrinkToFit="false"/>
      <protection locked="true" hidden="false"/>
    </xf>
    <xf numFmtId="164" fontId="37" fillId="38" borderId="7" xfId="46" applyFont="true" applyBorder="true" applyAlignment="true" applyProtection="true">
      <alignment horizontal="general" vertical="center" textRotation="0" wrapText="false" indent="0" shrinkToFit="false"/>
      <protection locked="true" hidden="false"/>
    </xf>
    <xf numFmtId="164" fontId="37" fillId="38" borderId="8" xfId="46" applyFont="true" applyBorder="true" applyAlignment="true" applyProtection="true">
      <alignment horizontal="general" vertical="center" textRotation="0" wrapText="false" indent="0" shrinkToFit="false"/>
      <protection locked="true" hidden="false"/>
    </xf>
    <xf numFmtId="164" fontId="38" fillId="0" borderId="32" xfId="0" applyFont="true" applyBorder="true" applyAlignment="true" applyProtection="false">
      <alignment horizontal="left" vertical="top" textRotation="0" wrapText="true" indent="0" shrinkToFit="false"/>
      <protection locked="true" hidden="false"/>
    </xf>
    <xf numFmtId="164" fontId="43" fillId="36" borderId="32" xfId="0" applyFont="true" applyBorder="true" applyAlignment="false" applyProtection="false">
      <alignment horizontal="general" vertical="bottom" textRotation="0" wrapText="false" indent="0" shrinkToFit="false"/>
      <protection locked="true" hidden="false"/>
    </xf>
    <xf numFmtId="164" fontId="43" fillId="36" borderId="33" xfId="0" applyFont="true" applyBorder="true" applyAlignment="false" applyProtection="false">
      <alignment horizontal="general" vertical="bottom" textRotation="0" wrapText="false" indent="0" shrinkToFit="false"/>
      <protection locked="true" hidden="false"/>
    </xf>
    <xf numFmtId="164" fontId="43" fillId="36" borderId="32" xfId="0" applyFont="true" applyBorder="true" applyAlignment="true" applyProtection="false">
      <alignment horizontal="center" vertical="bottom" textRotation="0" wrapText="false" indent="0" shrinkToFit="false"/>
      <protection locked="true" hidden="false"/>
    </xf>
    <xf numFmtId="164" fontId="43" fillId="36" borderId="39" xfId="0" applyFont="true" applyBorder="true" applyAlignment="true" applyProtection="false">
      <alignment horizontal="center" vertical="bottom" textRotation="0" wrapText="false" indent="0" shrinkToFit="false"/>
      <protection locked="true" hidden="false"/>
    </xf>
    <xf numFmtId="164" fontId="43" fillId="36" borderId="17" xfId="0" applyFont="true" applyBorder="true" applyAlignment="true" applyProtection="false">
      <alignment horizontal="center" vertical="bottom" textRotation="0" wrapText="false" indent="0" shrinkToFit="false"/>
      <protection locked="true" hidden="false"/>
    </xf>
    <xf numFmtId="164" fontId="43" fillId="36" borderId="7" xfId="0" applyFont="true" applyBorder="true" applyAlignment="false" applyProtection="false">
      <alignment horizontal="general" vertical="bottom" textRotation="0" wrapText="false" indent="0" shrinkToFit="false"/>
      <protection locked="true" hidden="false"/>
    </xf>
    <xf numFmtId="164" fontId="43" fillId="36" borderId="7" xfId="0" applyFont="true" applyBorder="true" applyAlignment="true" applyProtection="false">
      <alignment horizontal="center" vertical="bottom" textRotation="0" wrapText="false" indent="0" shrinkToFit="false"/>
      <protection locked="true" hidden="false"/>
    </xf>
    <xf numFmtId="164" fontId="43" fillId="36" borderId="16" xfId="0" applyFont="true" applyBorder="true" applyAlignment="true" applyProtection="false">
      <alignment horizontal="center" vertical="bottom" textRotation="0" wrapText="false" indent="0" shrinkToFit="false"/>
      <protection locked="true" hidden="false"/>
    </xf>
    <xf numFmtId="164" fontId="43" fillId="0" borderId="30" xfId="0" applyFont="true" applyBorder="true" applyAlignment="false" applyProtection="false">
      <alignment horizontal="general" vertical="bottom" textRotation="0" wrapText="false" indent="0" shrinkToFit="false"/>
      <protection locked="true" hidden="false"/>
    </xf>
    <xf numFmtId="164" fontId="46" fillId="0" borderId="30" xfId="0" applyFont="true" applyBorder="true" applyAlignment="true" applyProtection="false">
      <alignment horizontal="center" vertical="bottom" textRotation="0" wrapText="false" indent="0" shrinkToFit="false"/>
      <protection locked="true" hidden="false"/>
    </xf>
    <xf numFmtId="164" fontId="46" fillId="0" borderId="0" xfId="0" applyFont="true" applyBorder="true" applyAlignment="true" applyProtection="false">
      <alignment horizontal="center" vertical="bottom" textRotation="0" wrapText="false" indent="0" shrinkToFit="false"/>
      <protection locked="true" hidden="false"/>
    </xf>
    <xf numFmtId="164" fontId="38" fillId="0" borderId="32" xfId="0" applyFont="true" applyBorder="true" applyAlignment="true" applyProtection="false">
      <alignment horizontal="left" vertical="top" textRotation="0" wrapText="false" indent="0" shrinkToFit="false"/>
      <protection locked="true" hidden="false"/>
    </xf>
    <xf numFmtId="164" fontId="38" fillId="0" borderId="39" xfId="0" applyFont="true" applyBorder="true" applyAlignment="true" applyProtection="false">
      <alignment horizontal="center" vertical="top" textRotation="0" wrapText="false" indent="0" shrinkToFit="false"/>
      <protection locked="true" hidden="false"/>
    </xf>
    <xf numFmtId="164" fontId="38" fillId="0" borderId="39" xfId="0" applyFont="true" applyBorder="true" applyAlignment="true" applyProtection="false">
      <alignment horizontal="left" vertical="top" textRotation="0" wrapText="false" indent="0" shrinkToFit="false"/>
      <protection locked="true" hidden="false"/>
    </xf>
    <xf numFmtId="164" fontId="49" fillId="0" borderId="16" xfId="0" applyFont="true" applyBorder="true" applyAlignment="true" applyProtection="false">
      <alignment horizontal="center" vertical="bottom" textRotation="0" wrapText="false" indent="0" shrinkToFit="false"/>
      <protection locked="true" hidden="false"/>
    </xf>
    <xf numFmtId="164" fontId="43" fillId="36" borderId="8" xfId="0" applyFont="true" applyBorder="true" applyAlignment="true" applyProtection="false">
      <alignment horizontal="center" vertical="bottom" textRotation="0" wrapText="false" indent="0" shrinkToFit="false"/>
      <protection locked="true" hidden="false"/>
    </xf>
    <xf numFmtId="164" fontId="43" fillId="36" borderId="6" xfId="0" applyFont="true" applyBorder="true" applyAlignment="true" applyProtection="false">
      <alignment horizontal="center" vertical="bottom" textRotation="0" wrapText="false" indent="0" shrinkToFit="false"/>
      <protection locked="true" hidden="false"/>
    </xf>
    <xf numFmtId="164" fontId="37" fillId="37" borderId="7" xfId="0" applyFont="true" applyBorder="true" applyAlignment="true" applyProtection="false">
      <alignment horizontal="center" vertical="center" textRotation="0" wrapText="true" indent="0" shrinkToFit="false"/>
      <protection locked="true" hidden="false"/>
    </xf>
    <xf numFmtId="164" fontId="37" fillId="37" borderId="34" xfId="0" applyFont="true" applyBorder="true" applyAlignment="true" applyProtection="false">
      <alignment horizontal="center" vertical="center" textRotation="0" wrapText="true" indent="0" shrinkToFit="false"/>
      <protection locked="true" hidden="false"/>
    </xf>
    <xf numFmtId="164" fontId="37" fillId="37" borderId="8" xfId="0" applyFont="true" applyBorder="true" applyAlignment="true" applyProtection="false">
      <alignment horizontal="center" vertical="center" textRotation="0" wrapText="true" indent="0" shrinkToFit="false"/>
      <protection locked="true" hidden="false"/>
    </xf>
    <xf numFmtId="164" fontId="50" fillId="38" borderId="7" xfId="0" applyFont="true" applyBorder="true" applyAlignment="true" applyProtection="false">
      <alignment horizontal="center" vertical="center" textRotation="0" wrapText="true" indent="0" shrinkToFit="false"/>
      <protection locked="true" hidden="false"/>
    </xf>
    <xf numFmtId="164" fontId="38" fillId="0" borderId="7" xfId="0" applyFont="true" applyBorder="true" applyAlignment="false" applyProtection="false">
      <alignment horizontal="general" vertical="bottom" textRotation="0" wrapText="false" indent="0" shrinkToFit="false"/>
      <protection locked="true" hidden="false"/>
    </xf>
    <xf numFmtId="164" fontId="43" fillId="36" borderId="34" xfId="0" applyFont="true" applyBorder="true" applyAlignment="false" applyProtection="false">
      <alignment horizontal="general" vertical="bottom" textRotation="0" wrapText="false" indent="0" shrinkToFit="false"/>
      <protection locked="true" hidden="false"/>
    </xf>
    <xf numFmtId="164" fontId="38" fillId="0" borderId="8" xfId="0" applyFont="true" applyBorder="true" applyAlignment="true" applyProtection="false">
      <alignment horizontal="left" vertical="center" textRotation="0" wrapText="true" indent="0" shrinkToFit="false"/>
      <protection locked="true" hidden="false"/>
    </xf>
    <xf numFmtId="164" fontId="37" fillId="0" borderId="7" xfId="0" applyFont="true" applyBorder="true" applyAlignment="false" applyProtection="false">
      <alignment horizontal="general" vertical="bottom" textRotation="0" wrapText="false" indent="0" shrinkToFit="false"/>
      <protection locked="true" hidden="false"/>
    </xf>
    <xf numFmtId="164" fontId="38" fillId="0" borderId="7" xfId="0" applyFont="true" applyBorder="true" applyAlignment="true" applyProtection="true">
      <alignment horizontal="right" vertical="bottom" textRotation="0" wrapText="false" indent="0" shrinkToFit="false"/>
      <protection locked="true" hidden="false"/>
    </xf>
    <xf numFmtId="164" fontId="47" fillId="37" borderId="6" xfId="0" applyFont="true" applyBorder="true" applyAlignment="true" applyProtection="false">
      <alignment horizontal="center" vertical="center" textRotation="0" wrapText="true" indent="0" shrinkToFit="false"/>
      <protection locked="true" hidden="false"/>
    </xf>
    <xf numFmtId="164" fontId="43" fillId="37" borderId="14" xfId="0" applyFont="true" applyBorder="true" applyAlignment="true" applyProtection="false">
      <alignment horizontal="center" vertical="center" textRotation="0" wrapText="true" indent="0" shrinkToFit="false"/>
      <protection locked="true" hidden="false"/>
    </xf>
    <xf numFmtId="164" fontId="43" fillId="37" borderId="16" xfId="0" applyFont="true" applyBorder="true" applyAlignment="true" applyProtection="false">
      <alignment horizontal="center" vertical="center" textRotation="0" wrapText="true" indent="0" shrinkToFit="false"/>
      <protection locked="true" hidden="false"/>
    </xf>
    <xf numFmtId="164" fontId="38" fillId="0" borderId="7" xfId="0" applyFont="true" applyBorder="true" applyAlignment="true" applyProtection="false">
      <alignment horizontal="left" vertical="bottom" textRotation="0" wrapText="false" indent="0" shrinkToFit="false"/>
      <protection locked="true" hidden="false"/>
    </xf>
    <xf numFmtId="164" fontId="38" fillId="0" borderId="8" xfId="0" applyFont="true" applyBorder="true" applyAlignment="true" applyProtection="false">
      <alignment horizontal="right" vertical="bottom" textRotation="0" wrapText="false" indent="0" shrinkToFit="false"/>
      <protection locked="true" hidden="false"/>
    </xf>
    <xf numFmtId="164" fontId="36" fillId="0" borderId="7" xfId="0" applyFont="true" applyBorder="true" applyAlignment="true" applyProtection="false">
      <alignment horizontal="right" vertical="bottom" textRotation="0" wrapText="false" indent="0" shrinkToFit="false"/>
      <protection locked="true" hidden="false"/>
    </xf>
    <xf numFmtId="164" fontId="36" fillId="0" borderId="8" xfId="0" applyFont="true" applyBorder="true" applyAlignment="true" applyProtection="false">
      <alignment horizontal="left" vertical="bottom" textRotation="0" wrapText="false" indent="0" shrinkToFit="false"/>
      <protection locked="true" hidden="false"/>
    </xf>
    <xf numFmtId="164" fontId="38" fillId="0" borderId="8" xfId="0" applyFont="true" applyBorder="true" applyAlignment="true" applyProtection="false">
      <alignment horizontal="left" vertical="bottom" textRotation="0" wrapText="false" indent="0" shrinkToFit="false"/>
      <protection locked="true" hidden="false"/>
    </xf>
    <xf numFmtId="164" fontId="36" fillId="0" borderId="7" xfId="0" applyFont="true" applyBorder="true" applyAlignment="true" applyProtection="false">
      <alignment horizontal="left" vertical="bottom" textRotation="0" wrapText="false" indent="0" shrinkToFit="false"/>
      <protection locked="true" hidden="false"/>
    </xf>
    <xf numFmtId="164" fontId="36" fillId="0" borderId="8" xfId="0" applyFont="true" applyBorder="true" applyAlignment="false" applyProtection="false">
      <alignment horizontal="general" vertical="bottom" textRotation="0" wrapText="false" indent="0" shrinkToFit="false"/>
      <protection locked="true" hidden="false"/>
    </xf>
    <xf numFmtId="164" fontId="36" fillId="0" borderId="8" xfId="0" applyFont="true" applyBorder="true" applyAlignment="true" applyProtection="false">
      <alignment horizontal="right" vertical="bottom" textRotation="0" wrapText="false" indent="0" shrinkToFit="false"/>
      <protection locked="true" hidden="false"/>
    </xf>
    <xf numFmtId="164" fontId="36" fillId="0" borderId="6" xfId="0" applyFont="true" applyBorder="true" applyAlignment="true" applyProtection="false">
      <alignment horizontal="right" vertical="bottom" textRotation="0" wrapText="false" indent="0" shrinkToFit="false"/>
      <protection locked="true" hidden="false"/>
    </xf>
    <xf numFmtId="164" fontId="36" fillId="0" borderId="19" xfId="0" applyFont="true" applyBorder="true" applyAlignment="true" applyProtection="false">
      <alignment horizontal="right" vertical="bottom" textRotation="0" wrapText="false" indent="0" shrinkToFit="false"/>
      <protection locked="true" hidden="false"/>
    </xf>
    <xf numFmtId="164" fontId="43" fillId="0" borderId="6" xfId="0" applyFont="true" applyBorder="true" applyAlignment="true" applyProtection="false">
      <alignment horizontal="left" vertical="bottom" textRotation="0" wrapText="false" indent="0" shrinkToFit="false"/>
      <protection locked="true" hidden="false"/>
    </xf>
    <xf numFmtId="164" fontId="43" fillId="0" borderId="6" xfId="0" applyFont="true" applyBorder="true" applyAlignment="true" applyProtection="false">
      <alignment horizontal="left" vertical="bottom" textRotation="0" wrapText="true" indent="0" shrinkToFit="false"/>
      <protection locked="true" hidden="false"/>
    </xf>
    <xf numFmtId="164" fontId="36" fillId="0" borderId="8" xfId="0" applyFont="true" applyBorder="true" applyAlignment="true" applyProtection="false">
      <alignment horizontal="center" vertical="bottom" textRotation="0" wrapText="false" indent="0" shrinkToFit="false"/>
      <protection locked="true" hidden="false"/>
    </xf>
    <xf numFmtId="164" fontId="51" fillId="0" borderId="0" xfId="0" applyFont="true" applyBorder="true" applyAlignment="true" applyProtection="false">
      <alignment horizontal="general" vertical="center" textRotation="0" wrapText="true" indent="0" shrinkToFit="false"/>
      <protection locked="true" hidden="false"/>
    </xf>
    <xf numFmtId="164" fontId="38" fillId="0" borderId="7"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left" vertical="bottom" textRotation="0" wrapText="false" indent="0" shrinkToFit="false"/>
      <protection locked="true" hidden="false"/>
    </xf>
    <xf numFmtId="164" fontId="37" fillId="38" borderId="0" xfId="46"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3" fillId="0" borderId="0" xfId="0" applyFont="true" applyBorder="true" applyAlignment="true" applyProtection="false">
      <alignment horizontal="center" vertical="center" textRotation="0" wrapText="false" indent="0" shrinkToFit="false"/>
      <protection locked="true" hidden="false"/>
    </xf>
    <xf numFmtId="164" fontId="43" fillId="36" borderId="6"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left" vertical="bottom" textRotation="0" wrapText="true" indent="0" shrinkToFit="false"/>
      <protection locked="true" hidden="false"/>
    </xf>
    <xf numFmtId="164" fontId="52"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53"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38" fillId="36" borderId="0" xfId="43" applyFont="true" applyBorder="true" applyAlignment="true" applyProtection="true">
      <alignment horizontal="center" vertical="bottom" textRotation="0" wrapText="false" indent="0" shrinkToFit="false"/>
      <protection locked="true" hidden="false"/>
    </xf>
    <xf numFmtId="164" fontId="47" fillId="37" borderId="16" xfId="0" applyFont="true" applyBorder="true" applyAlignment="true" applyProtection="false">
      <alignment horizontal="center" vertical="center" textRotation="0" wrapText="true" indent="0" shrinkToFit="false"/>
      <protection locked="true" hidden="false"/>
    </xf>
    <xf numFmtId="164" fontId="54" fillId="37" borderId="19" xfId="0" applyFont="true" applyBorder="true" applyAlignment="true" applyProtection="false">
      <alignment horizontal="center" vertical="center" textRotation="0" wrapText="true" indent="0" shrinkToFit="false"/>
      <protection locked="true" hidden="false"/>
    </xf>
    <xf numFmtId="164" fontId="43" fillId="0" borderId="6" xfId="0" applyFont="true" applyBorder="true" applyAlignment="false" applyProtection="false">
      <alignment horizontal="general" vertical="bottom" textRotation="0" wrapText="false" indent="0" shrinkToFit="false"/>
      <protection locked="true" hidden="false"/>
    </xf>
    <xf numFmtId="164" fontId="43" fillId="0" borderId="7" xfId="0" applyFont="true" applyBorder="true" applyAlignment="false" applyProtection="false">
      <alignment horizontal="general" vertical="bottom" textRotation="0" wrapText="false" indent="0" shrinkToFit="false"/>
      <protection locked="true" hidden="false"/>
    </xf>
    <xf numFmtId="164" fontId="4" fillId="36" borderId="6"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36" borderId="7" xfId="0" applyFont="true" applyBorder="true" applyAlignment="false" applyProtection="false">
      <alignment horizontal="general" vertical="bottom" textRotation="0" wrapText="false" indent="0" shrinkToFit="false"/>
      <protection locked="true" hidden="false"/>
    </xf>
    <xf numFmtId="164" fontId="4" fillId="36" borderId="8" xfId="0" applyFont="true" applyBorder="true" applyAlignment="true" applyProtection="false">
      <alignment horizontal="center" vertical="bottom" textRotation="0" wrapText="false" indent="0" shrinkToFit="false"/>
      <protection locked="true" hidden="false"/>
    </xf>
    <xf numFmtId="164" fontId="38" fillId="0" borderId="7" xfId="0" applyFont="true" applyBorder="true" applyAlignment="false" applyProtection="true">
      <alignment horizontal="general" vertical="bottom" textRotation="0" wrapText="false" indent="0" shrinkToFit="false"/>
      <protection locked="false" hidden="false"/>
    </xf>
    <xf numFmtId="164" fontId="37" fillId="38" borderId="6" xfId="46" applyFont="true" applyBorder="true" applyAlignment="true" applyProtection="tru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4" fontId="37" fillId="38" borderId="0" xfId="46" applyFont="true" applyBorder="true" applyAlignment="true" applyProtection="true">
      <alignment horizontal="center" vertical="center" textRotation="0" wrapText="true" indent="0" shrinkToFit="false"/>
      <protection locked="true" hidden="false"/>
    </xf>
    <xf numFmtId="164" fontId="4" fillId="36" borderId="34" xfId="0" applyFont="true" applyBorder="true" applyAlignment="true" applyProtection="false">
      <alignment horizontal="center" vertical="bottom" textRotation="0" wrapText="false" indent="0" shrinkToFit="false"/>
      <protection locked="true" hidden="false"/>
    </xf>
    <xf numFmtId="164" fontId="38" fillId="0" borderId="7" xfId="0" applyFont="true" applyBorder="true" applyAlignment="true" applyProtection="true">
      <alignment horizontal="general" vertical="bottom" textRotation="0" wrapText="false" indent="0" shrinkToFit="false"/>
      <protection locked="false" hidden="false"/>
    </xf>
    <xf numFmtId="164" fontId="38" fillId="0" borderId="8" xfId="0" applyFont="true" applyBorder="true" applyAlignment="true" applyProtection="true">
      <alignment horizontal="general" vertical="bottom" textRotation="0" wrapText="false" indent="0" shrinkToFit="false"/>
      <protection locked="false" hidden="false"/>
    </xf>
    <xf numFmtId="164" fontId="55" fillId="0" borderId="8" xfId="0" applyFont="true" applyBorder="true" applyAlignment="true" applyProtection="false">
      <alignment horizontal="center" vertical="center" textRotation="0" wrapText="false" indent="0" shrinkToFit="false"/>
      <protection locked="true" hidden="false"/>
    </xf>
    <xf numFmtId="164" fontId="38" fillId="0" borderId="7" xfId="0" applyFont="true" applyBorder="true" applyAlignment="true" applyProtection="false">
      <alignment horizontal="center" vertical="bottom" textRotation="0" wrapText="false" indent="0" shrinkToFit="false"/>
      <protection locked="true" hidden="false"/>
    </xf>
    <xf numFmtId="164" fontId="45" fillId="0" borderId="0" xfId="0" applyFont="true" applyBorder="true" applyAlignment="false" applyProtection="false">
      <alignment horizontal="general" vertical="bottom" textRotation="0" wrapText="false" indent="0" shrinkToFit="false"/>
      <protection locked="true" hidden="false"/>
    </xf>
    <xf numFmtId="164" fontId="44" fillId="37" borderId="34" xfId="0" applyFont="true" applyBorder="true" applyAlignment="true" applyProtection="false">
      <alignment horizontal="general" vertical="center" textRotation="0" wrapText="true" indent="0" shrinkToFit="false"/>
      <protection locked="true" hidden="false"/>
    </xf>
    <xf numFmtId="164" fontId="38" fillId="0" borderId="6" xfId="0" applyFont="true" applyBorder="true" applyAlignment="false" applyProtection="false">
      <alignment horizontal="general" vertical="bottom" textRotation="0" wrapText="false" indent="0" shrinkToFit="false"/>
      <protection locked="true" hidden="false"/>
    </xf>
    <xf numFmtId="164" fontId="4" fillId="36" borderId="6"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7" fillId="0" borderId="0" xfId="0" applyFont="true" applyBorder="true" applyAlignment="true" applyProtection="false">
      <alignment horizontal="left" vertical="center" textRotation="0" wrapText="false" indent="0" shrinkToFit="false"/>
      <protection locked="true" hidden="false"/>
    </xf>
    <xf numFmtId="164" fontId="57" fillId="0" borderId="7" xfId="0" applyFont="true" applyBorder="true" applyAlignment="true" applyProtection="false">
      <alignment horizontal="general" vertical="bottom" textRotation="0" wrapText="false" indent="0" shrinkToFit="false"/>
      <protection locked="true" hidden="false"/>
    </xf>
    <xf numFmtId="164" fontId="0" fillId="0" borderId="34" xfId="45" applyFont="true" applyBorder="true" applyAlignment="true" applyProtection="true">
      <alignment horizontal="center" vertical="center" textRotation="0" wrapText="false" indent="0" shrinkToFit="false"/>
      <protection locked="false" hidden="false"/>
    </xf>
    <xf numFmtId="164" fontId="54" fillId="37" borderId="6" xfId="0" applyFont="true" applyBorder="true" applyAlignment="true" applyProtection="false">
      <alignment horizontal="center" vertical="center" textRotation="0" wrapText="true" indent="0" shrinkToFit="false"/>
      <protection locked="true" hidden="false"/>
    </xf>
    <xf numFmtId="164" fontId="57" fillId="0" borderId="7" xfId="0" applyFont="true" applyBorder="true" applyAlignment="true" applyProtection="true">
      <alignment horizontal="general" vertical="bottom" textRotation="0" wrapText="false" indent="0" shrinkToFit="false"/>
      <protection locked="false" hidden="false"/>
    </xf>
    <xf numFmtId="164" fontId="47" fillId="37" borderId="14" xfId="0" applyFont="true" applyBorder="true" applyAlignment="true" applyProtection="false">
      <alignment horizontal="center" vertical="center" textRotation="0" wrapText="true" indent="0" shrinkToFit="false"/>
      <protection locked="true" hidden="false"/>
    </xf>
    <xf numFmtId="164" fontId="38" fillId="0" borderId="7" xfId="0" applyFont="true" applyBorder="true" applyAlignment="true" applyProtection="false">
      <alignment horizontal="general" vertical="bottom" textRotation="0" wrapText="false" indent="0" shrinkToFit="false"/>
      <protection locked="true" hidden="false"/>
    </xf>
    <xf numFmtId="164" fontId="43" fillId="0" borderId="39" xfId="0" applyFont="true" applyBorder="true" applyAlignment="false" applyProtection="false">
      <alignment horizontal="general" vertical="bottom" textRotation="0" wrapText="false" indent="0" shrinkToFit="false"/>
      <protection locked="true" hidden="false"/>
    </xf>
    <xf numFmtId="164" fontId="43" fillId="0" borderId="33" xfId="0" applyFont="true" applyBorder="true" applyAlignment="false" applyProtection="false">
      <alignment horizontal="general" vertical="bottom" textRotation="0" wrapText="false" indent="0" shrinkToFit="false"/>
      <protection locked="true" hidden="false"/>
    </xf>
    <xf numFmtId="164" fontId="4" fillId="36" borderId="19" xfId="0" applyFont="true" applyBorder="true" applyAlignment="false" applyProtection="false">
      <alignment horizontal="general" vertical="bottom" textRotation="0" wrapText="false" indent="0" shrinkToFit="false"/>
      <protection locked="true" hidden="false"/>
    </xf>
    <xf numFmtId="164" fontId="38" fillId="0" borderId="6" xfId="0" applyFont="true" applyBorder="true" applyAlignment="true" applyProtection="false">
      <alignment horizontal="general" vertical="bottom" textRotation="0" wrapText="false" indent="0" shrinkToFit="false"/>
      <protection locked="true" hidden="false"/>
    </xf>
    <xf numFmtId="164" fontId="54" fillId="0" borderId="0" xfId="0" applyFont="true" applyBorder="true" applyAlignment="true" applyProtection="false">
      <alignment horizontal="right" vertical="bottom" textRotation="0" wrapText="false" indent="0" shrinkToFit="false"/>
      <protection locked="true" hidden="false"/>
    </xf>
    <xf numFmtId="164" fontId="4" fillId="0" borderId="31" xfId="0" applyFont="true" applyBorder="true" applyAlignment="true" applyProtection="false">
      <alignment horizontal="left" vertical="bottom" textRotation="0" wrapText="false" indent="0" shrinkToFit="false"/>
      <protection locked="true" hidden="false"/>
    </xf>
    <xf numFmtId="164" fontId="52" fillId="0" borderId="0" xfId="0" applyFont="true" applyBorder="true" applyAlignment="true" applyProtection="false">
      <alignment horizontal="general" vertical="top" textRotation="0" wrapText="false" indent="0" shrinkToFit="false"/>
      <protection locked="true" hidden="false"/>
    </xf>
    <xf numFmtId="164" fontId="4" fillId="36" borderId="6"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true" applyProtection="false">
      <alignment horizontal="right" vertical="bottom" textRotation="0" wrapText="false" indent="0" shrinkToFit="false"/>
      <protection locked="true" hidden="false"/>
    </xf>
    <xf numFmtId="164" fontId="37" fillId="0" borderId="0" xfId="0" applyFont="true" applyBorder="true" applyAlignment="true" applyProtection="false">
      <alignment horizontal="right" vertical="bottom" textRotation="0" wrapText="false" indent="0" shrinkToFit="false"/>
      <protection locked="true" hidden="false"/>
    </xf>
    <xf numFmtId="164" fontId="38" fillId="0" borderId="0" xfId="0" applyFont="true" applyBorder="true" applyAlignment="true" applyProtection="false">
      <alignment horizontal="right" vertical="bottom" textRotation="0" wrapText="false" indent="0" shrinkToFit="false"/>
      <protection locked="true" hidden="false"/>
    </xf>
    <xf numFmtId="164" fontId="38" fillId="0" borderId="0" xfId="0" applyFont="true" applyBorder="true" applyAlignment="true" applyProtection="false">
      <alignment horizontal="general" vertical="bottom" textRotation="0" wrapText="true" indent="0" shrinkToFit="false"/>
      <protection locked="true" hidden="false"/>
    </xf>
    <xf numFmtId="164" fontId="4" fillId="0" borderId="31" xfId="0" applyFont="true" applyBorder="true" applyAlignment="true" applyProtection="false">
      <alignment horizontal="left" vertical="bottom" textRotation="0" wrapText="true" indent="0" shrinkToFit="false"/>
      <protection locked="true" hidden="false"/>
    </xf>
    <xf numFmtId="164" fontId="39"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3" fillId="0" borderId="0" xfId="0" applyFont="true" applyBorder="true" applyAlignment="true" applyProtection="false">
      <alignment horizontal="left" vertical="bottom" textRotation="0" wrapText="false" indent="0" shrinkToFit="false"/>
      <protection locked="true" hidden="false"/>
    </xf>
    <xf numFmtId="164" fontId="52" fillId="0" borderId="0" xfId="0" applyFont="true" applyBorder="true" applyAlignment="true" applyProtection="false">
      <alignment horizontal="right" vertical="center" textRotation="0" wrapText="false" indent="0" shrinkToFit="false"/>
      <protection locked="true" hidden="false"/>
    </xf>
    <xf numFmtId="164" fontId="4" fillId="0" borderId="31" xfId="0" applyFont="true" applyBorder="true" applyAlignment="true" applyProtection="false">
      <alignment horizontal="right" vertical="bottom" textRotation="0" wrapText="false" indent="0" shrinkToFit="false"/>
      <protection locked="true" hidden="false"/>
    </xf>
    <xf numFmtId="164" fontId="43" fillId="36" borderId="0" xfId="0" applyFont="true" applyBorder="true" applyAlignment="false" applyProtection="false">
      <alignment horizontal="general" vertical="bottom" textRotation="0" wrapText="false" indent="0" shrinkToFit="false"/>
      <protection locked="true" hidden="false"/>
    </xf>
    <xf numFmtId="164" fontId="59" fillId="37" borderId="40" xfId="0" applyFont="true" applyBorder="true" applyAlignment="true" applyProtection="false">
      <alignment horizontal="center" vertical="center" textRotation="0" wrapText="true" indent="0" shrinkToFit="false"/>
      <protection locked="true" hidden="false"/>
    </xf>
    <xf numFmtId="164" fontId="59" fillId="37" borderId="41" xfId="0" applyFont="true" applyBorder="true" applyAlignment="true" applyProtection="false">
      <alignment horizontal="center" vertical="center" textRotation="0" wrapText="true" indent="0" shrinkToFit="false"/>
      <protection locked="true" hidden="false"/>
    </xf>
    <xf numFmtId="164" fontId="59" fillId="37" borderId="42" xfId="0" applyFont="true" applyBorder="true" applyAlignment="true" applyProtection="false">
      <alignment horizontal="center" vertical="center" textRotation="0" wrapText="true" indent="0" shrinkToFit="false"/>
      <protection locked="true" hidden="false"/>
    </xf>
    <xf numFmtId="164" fontId="59" fillId="37" borderId="43" xfId="0" applyFont="true" applyBorder="true" applyAlignment="true" applyProtection="false">
      <alignment horizontal="center" vertical="center" textRotation="0" wrapText="true" indent="0" shrinkToFit="false"/>
      <protection locked="true" hidden="false"/>
    </xf>
    <xf numFmtId="164" fontId="54" fillId="37" borderId="44" xfId="0" applyFont="true" applyBorder="true" applyAlignment="true" applyProtection="false">
      <alignment horizontal="center" vertical="center" textRotation="0" wrapText="true" indent="0" shrinkToFit="false"/>
      <protection locked="true" hidden="false"/>
    </xf>
    <xf numFmtId="164" fontId="39" fillId="36" borderId="45" xfId="0" applyFont="true" applyBorder="true" applyAlignment="true" applyProtection="false">
      <alignment horizontal="center" vertical="bottom" textRotation="0" wrapText="true" indent="0" shrinkToFit="false"/>
      <protection locked="true" hidden="false"/>
    </xf>
    <xf numFmtId="164" fontId="39" fillId="36" borderId="46" xfId="0" applyFont="true" applyBorder="true" applyAlignment="true" applyProtection="false">
      <alignment horizontal="center" vertical="bottom" textRotation="0" wrapText="true" indent="0" shrinkToFit="false"/>
      <protection locked="true" hidden="false"/>
    </xf>
    <xf numFmtId="164" fontId="39" fillId="36" borderId="47" xfId="0" applyFont="true" applyBorder="true" applyAlignment="true" applyProtection="false">
      <alignment horizontal="general" vertical="bottom" textRotation="0" wrapText="true" indent="0" shrinkToFit="false"/>
      <protection locked="true" hidden="false"/>
    </xf>
    <xf numFmtId="164" fontId="39" fillId="36" borderId="48" xfId="0" applyFont="true" applyBorder="true" applyAlignment="true" applyProtection="false">
      <alignment horizontal="general" vertical="bottom" textRotation="0" wrapText="true" indent="0" shrinkToFit="false"/>
      <protection locked="true" hidden="false"/>
    </xf>
    <xf numFmtId="164" fontId="39" fillId="36" borderId="44" xfId="0" applyFont="true" applyBorder="true" applyAlignment="true" applyProtection="false">
      <alignment horizontal="general" vertical="bottom" textRotation="0" wrapText="true" indent="0" shrinkToFit="false"/>
      <protection locked="true" hidden="false"/>
    </xf>
    <xf numFmtId="164" fontId="39" fillId="36" borderId="46" xfId="0" applyFont="true" applyBorder="true" applyAlignment="true" applyProtection="false">
      <alignment horizontal="general" vertical="bottom" textRotation="0" wrapText="true" indent="0" shrinkToFit="false"/>
      <protection locked="true" hidden="false"/>
    </xf>
    <xf numFmtId="164" fontId="39" fillId="36" borderId="49" xfId="0" applyFont="true" applyBorder="true" applyAlignment="true" applyProtection="false">
      <alignment horizontal="center" vertical="bottom" textRotation="0" wrapText="true" indent="0" shrinkToFit="false"/>
      <protection locked="true" hidden="false"/>
    </xf>
    <xf numFmtId="164" fontId="39" fillId="36" borderId="50" xfId="0" applyFont="true" applyBorder="true" applyAlignment="true" applyProtection="false">
      <alignment horizontal="center" vertical="bottom" textRotation="0" wrapText="true" indent="0" shrinkToFit="false"/>
      <protection locked="true" hidden="false"/>
    </xf>
    <xf numFmtId="164" fontId="39" fillId="36" borderId="8" xfId="0" applyFont="true" applyBorder="true" applyAlignment="true" applyProtection="false">
      <alignment horizontal="center" vertical="bottom" textRotation="0" wrapText="true" indent="0" shrinkToFit="false"/>
      <protection locked="true" hidden="false"/>
    </xf>
    <xf numFmtId="164" fontId="34" fillId="35" borderId="0" xfId="51" applyFont="true" applyBorder="true" applyAlignment="true" applyProtection="true">
      <alignment horizontal="center" vertical="center" textRotation="0" wrapText="true" indent="0" shrinkToFit="false"/>
      <protection locked="true" hidden="false"/>
    </xf>
    <xf numFmtId="164" fontId="49" fillId="0" borderId="0" xfId="0" applyFont="true" applyBorder="true" applyAlignment="true" applyProtection="false">
      <alignment horizontal="right" vertical="bottom" textRotation="0" wrapText="false" indent="0" shrinkToFit="false"/>
      <protection locked="true" hidden="false"/>
    </xf>
    <xf numFmtId="164" fontId="39" fillId="0" borderId="0" xfId="0" applyFont="true" applyBorder="true" applyAlignment="true" applyProtection="false">
      <alignment horizontal="center" vertical="center" textRotation="0" wrapText="true" indent="0" shrinkToFit="false"/>
      <protection locked="true" hidden="false"/>
    </xf>
    <xf numFmtId="164" fontId="54" fillId="0" borderId="0" xfId="0" applyFont="true" applyBorder="true" applyAlignment="true" applyProtection="false">
      <alignment horizontal="left" vertical="bottom" textRotation="0" wrapText="false" indent="0" shrinkToFit="false"/>
      <protection locked="true" hidden="false"/>
    </xf>
    <xf numFmtId="164" fontId="39" fillId="0" borderId="0" xfId="0" applyFont="true" applyBorder="true" applyAlignment="true" applyProtection="false">
      <alignment horizontal="general" vertical="center" textRotation="0" wrapText="true" indent="0" shrinkToFit="false"/>
      <protection locked="true" hidden="false"/>
    </xf>
    <xf numFmtId="164" fontId="52" fillId="0" borderId="0" xfId="0" applyFont="true" applyBorder="true" applyAlignment="true" applyProtection="false">
      <alignment horizontal="left" vertical="center" textRotation="0" wrapText="true" indent="0" shrinkToFit="false"/>
      <protection locked="true" hidden="false"/>
    </xf>
    <xf numFmtId="164" fontId="47" fillId="37" borderId="7" xfId="0" applyFont="true" applyBorder="true" applyAlignment="true" applyProtection="false">
      <alignment horizontal="center" vertical="center" textRotation="0" wrapText="true" indent="0" shrinkToFit="false"/>
      <protection locked="true" hidden="false"/>
    </xf>
    <xf numFmtId="164" fontId="47" fillId="37" borderId="34" xfId="0" applyFont="true" applyBorder="true" applyAlignment="true" applyProtection="false">
      <alignment horizontal="center" vertical="center" textRotation="0" wrapText="true" indent="0" shrinkToFit="false"/>
      <protection locked="true" hidden="false"/>
    </xf>
    <xf numFmtId="164" fontId="47" fillId="37" borderId="8" xfId="0" applyFont="true" applyBorder="true" applyAlignment="true" applyProtection="false">
      <alignment horizontal="center" vertical="center" textRotation="0" wrapText="true" indent="0" shrinkToFit="false"/>
      <protection locked="true" hidden="false"/>
    </xf>
    <xf numFmtId="164" fontId="4" fillId="0" borderId="32" xfId="0" applyFont="true" applyBorder="true" applyAlignment="true" applyProtection="false">
      <alignment horizontal="general" vertical="bottom" textRotation="0" wrapText="false" indent="0" shrinkToFit="false"/>
      <protection locked="true" hidden="false"/>
    </xf>
    <xf numFmtId="164" fontId="4" fillId="0" borderId="39" xfId="0" applyFont="true" applyBorder="true" applyAlignment="true" applyProtection="false">
      <alignment horizontal="general" vertical="bottom" textRotation="0" wrapText="false" indent="0" shrinkToFit="false"/>
      <protection locked="true" hidden="false"/>
    </xf>
    <xf numFmtId="164" fontId="38" fillId="0" borderId="39" xfId="0" applyFont="true" applyBorder="true" applyAlignment="true" applyProtection="false">
      <alignment horizontal="center" vertical="center" textRotation="0" wrapText="true" indent="0" shrinkToFit="false"/>
      <protection locked="true" hidden="false"/>
    </xf>
    <xf numFmtId="164" fontId="4" fillId="36" borderId="33" xfId="0" applyFont="true" applyBorder="true" applyAlignment="true" applyProtection="false">
      <alignment horizontal="center" vertical="center" textRotation="0" wrapText="false" indent="0" shrinkToFit="false"/>
      <protection locked="true" hidden="false"/>
    </xf>
    <xf numFmtId="164" fontId="43" fillId="0" borderId="0"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general" vertical="bottom" textRotation="0" wrapText="false" indent="0" shrinkToFit="false"/>
      <protection locked="true" hidden="false"/>
    </xf>
    <xf numFmtId="164" fontId="4" fillId="0" borderId="34" xfId="0" applyFont="true" applyBorder="true" applyAlignment="true" applyProtection="false">
      <alignment horizontal="general" vertical="bottom" textRotation="0" wrapText="false" indent="0" shrinkToFit="false"/>
      <protection locked="true" hidden="false"/>
    </xf>
    <xf numFmtId="164" fontId="38" fillId="0" borderId="34" xfId="0" applyFont="true" applyBorder="true" applyAlignment="true" applyProtection="false">
      <alignment horizontal="center" vertical="center" textRotation="0" wrapText="true" indent="0" shrinkToFit="false"/>
      <protection locked="true" hidden="false"/>
    </xf>
    <xf numFmtId="164" fontId="4" fillId="36" borderId="8" xfId="0" applyFont="true" applyBorder="true" applyAlignment="true" applyProtection="false">
      <alignment horizontal="center" vertical="center" textRotation="0" wrapText="false" indent="0" shrinkToFit="false"/>
      <protection locked="true" hidden="false"/>
    </xf>
    <xf numFmtId="164" fontId="60" fillId="0" borderId="30" xfId="0" applyFont="true" applyBorder="true" applyAlignment="true" applyProtection="false">
      <alignment horizontal="center" vertical="center" textRotation="0" wrapText="true" indent="0" shrinkToFit="false"/>
      <protection locked="true" hidden="false"/>
    </xf>
    <xf numFmtId="164" fontId="43" fillId="0" borderId="30" xfId="0" applyFont="true" applyBorder="true" applyAlignment="true" applyProtection="false">
      <alignment horizontal="general" vertical="center" textRotation="0" wrapText="true" indent="0" shrinkToFit="false"/>
      <protection locked="true" hidden="false"/>
    </xf>
    <xf numFmtId="164" fontId="38" fillId="0" borderId="34" xfId="0" applyFont="true" applyBorder="true" applyAlignment="true" applyProtection="false">
      <alignment horizontal="general" vertical="bottom" textRotation="0" wrapText="false" indent="0" shrinkToFit="false"/>
      <protection locked="true" hidden="false"/>
    </xf>
    <xf numFmtId="164" fontId="54" fillId="0" borderId="0" xfId="0" applyFont="true" applyBorder="true" applyAlignment="true" applyProtection="false">
      <alignment horizontal="left" vertical="center" textRotation="0" wrapText="true" indent="0" shrinkToFit="false"/>
      <protection locked="true" hidden="false"/>
    </xf>
    <xf numFmtId="164" fontId="38" fillId="0" borderId="0" xfId="5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38" fillId="0" borderId="30" xfId="0" applyFont="true" applyBorder="true" applyAlignment="true" applyProtection="false">
      <alignment horizontal="general" vertical="bottom" textRotation="0" wrapText="false" indent="0" shrinkToFit="false"/>
      <protection locked="true" hidden="false"/>
    </xf>
    <xf numFmtId="164" fontId="38" fillId="0" borderId="30" xfId="0" applyFont="true" applyBorder="true" applyAlignment="true" applyProtection="false">
      <alignment horizontal="general" vertical="bottom" textRotation="0" wrapText="true" indent="0" shrinkToFit="false"/>
      <protection locked="true" hidden="false"/>
    </xf>
    <xf numFmtId="164" fontId="55"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31" xfId="0" applyFont="true" applyBorder="true" applyAlignment="true" applyProtection="false">
      <alignment horizontal="right" vertical="center" textRotation="0" wrapText="true" indent="0" shrinkToFit="false"/>
      <protection locked="true" hidden="false"/>
    </xf>
    <xf numFmtId="164" fontId="4" fillId="36" borderId="19" xfId="0" applyFont="true" applyBorder="true" applyAlignment="true" applyProtection="false">
      <alignment horizontal="center" vertical="center" textRotation="0" wrapText="true" indent="0" shrinkToFit="false"/>
      <protection locked="true" hidden="false"/>
    </xf>
    <xf numFmtId="164" fontId="4" fillId="0" borderId="17" xfId="0" applyFont="true" applyBorder="true" applyAlignment="true" applyProtection="false">
      <alignment horizontal="right" vertical="center" textRotation="0" wrapText="true" indent="0" shrinkToFit="false"/>
      <protection locked="true" hidden="false"/>
    </xf>
    <xf numFmtId="164" fontId="4" fillId="36" borderId="6" xfId="0" applyFont="true" applyBorder="true" applyAlignment="true" applyProtection="false">
      <alignment horizontal="center" vertical="center" textRotation="0" wrapText="true" indent="0" shrinkToFit="false"/>
      <protection locked="true" hidden="false"/>
    </xf>
    <xf numFmtId="164" fontId="38" fillId="36" borderId="6" xfId="44" applyFont="true" applyBorder="true" applyAlignment="true" applyProtection="true">
      <alignment horizontal="center" vertical="center" textRotation="0" wrapText="true" indent="0" shrinkToFit="false"/>
      <protection locked="true" hidden="false"/>
    </xf>
    <xf numFmtId="164" fontId="38" fillId="36" borderId="16" xfId="44"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false">
      <alignment horizontal="right" vertical="center" textRotation="0" wrapText="true" indent="0" shrinkToFit="false"/>
      <protection locked="true" hidden="false"/>
    </xf>
    <xf numFmtId="164" fontId="38" fillId="0" borderId="0" xfId="0" applyFont="true" applyBorder="true" applyAlignment="true" applyProtection="false">
      <alignment horizontal="center" vertical="bottom" textRotation="0" wrapText="false" indent="0" shrinkToFit="false"/>
      <protection locked="true" hidden="false"/>
    </xf>
    <xf numFmtId="164" fontId="61" fillId="0" borderId="0" xfId="0" applyFont="true" applyBorder="true" applyAlignment="false" applyProtection="false">
      <alignment horizontal="general" vertical="bottom" textRotation="0" wrapText="false" indent="0" shrinkToFit="false"/>
      <protection locked="true" hidden="false"/>
    </xf>
    <xf numFmtId="164" fontId="43" fillId="0" borderId="31"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left" vertical="bottom" textRotation="0" wrapText="true" indent="0" shrinkToFit="false"/>
      <protection locked="true" hidden="false"/>
    </xf>
    <xf numFmtId="164" fontId="43" fillId="36" borderId="19" xfId="0" applyFont="true" applyBorder="true" applyAlignment="true" applyProtection="false">
      <alignment horizontal="general" vertical="bottom" textRotation="0" wrapText="false" indent="0" shrinkToFit="false"/>
      <protection locked="true" hidden="false"/>
    </xf>
    <xf numFmtId="164" fontId="38" fillId="36" borderId="6" xfId="0" applyFont="true" applyBorder="true" applyAlignment="false" applyProtection="false">
      <alignment horizontal="general" vertical="bottom" textRotation="0" wrapText="false" indent="0" shrinkToFit="false"/>
      <protection locked="true" hidden="false"/>
    </xf>
    <xf numFmtId="164" fontId="55" fillId="0" borderId="0" xfId="0" applyFont="true" applyBorder="true" applyAlignment="true" applyProtection="false">
      <alignment horizontal="left" vertical="bottom" textRotation="0" wrapText="false" indent="0" shrinkToFit="false"/>
      <protection locked="true" hidden="false"/>
    </xf>
    <xf numFmtId="164" fontId="52" fillId="0" borderId="0" xfId="0" applyFont="true" applyBorder="true" applyAlignment="true" applyProtection="false">
      <alignment horizontal="general" vertical="bottom" textRotation="0" wrapText="false" indent="0" shrinkToFit="false"/>
      <protection locked="true" hidden="false"/>
    </xf>
    <xf numFmtId="164" fontId="47" fillId="0" borderId="0" xfId="0" applyFont="true" applyBorder="true" applyAlignment="false" applyProtection="false">
      <alignment horizontal="general" vertical="bottom" textRotation="0" wrapText="false" indent="0" shrinkToFit="false"/>
      <protection locked="true" hidden="false"/>
    </xf>
    <xf numFmtId="164" fontId="43" fillId="0" borderId="39" xfId="0" applyFont="true" applyBorder="true" applyAlignment="true" applyProtection="false">
      <alignment horizontal="center" vertical="center" textRotation="0" wrapText="true" indent="0" shrinkToFit="false"/>
      <protection locked="true" hidden="false"/>
    </xf>
    <xf numFmtId="164" fontId="55" fillId="0" borderId="0" xfId="0" applyFont="true" applyBorder="true" applyAlignment="true" applyProtection="false">
      <alignment horizontal="left" vertical="bottom" textRotation="0" wrapText="true" indent="0" shrinkToFit="false"/>
      <protection locked="true" hidden="false"/>
    </xf>
    <xf numFmtId="164" fontId="43" fillId="0" borderId="6" xfId="0" applyFont="true" applyBorder="true" applyAlignment="true" applyProtection="false">
      <alignment horizontal="center" vertical="center" textRotation="0" wrapText="false" indent="0" shrinkToFit="false"/>
      <protection locked="true" hidden="false"/>
    </xf>
    <xf numFmtId="164" fontId="62" fillId="0" borderId="6" xfId="0" applyFont="true" applyBorder="true" applyAlignment="true" applyProtection="false">
      <alignment horizontal="left" vertical="center" textRotation="0" wrapText="false" indent="0" shrinkToFit="false"/>
      <protection locked="true" hidden="false"/>
    </xf>
    <xf numFmtId="164" fontId="43" fillId="36" borderId="6" xfId="0" applyFont="true" applyBorder="true" applyAlignment="true" applyProtection="false">
      <alignment horizontal="general" vertical="bottom" textRotation="0" wrapText="false" indent="0" shrinkToFit="false"/>
      <protection locked="true" hidden="false"/>
    </xf>
    <xf numFmtId="164" fontId="62" fillId="0" borderId="6" xfId="0" applyFont="true" applyBorder="true" applyAlignment="true" applyProtection="false">
      <alignment horizontal="left" vertical="center" textRotation="0" wrapText="true" indent="0" shrinkToFit="false"/>
      <protection locked="true" hidden="false"/>
    </xf>
    <xf numFmtId="164" fontId="62" fillId="0" borderId="6" xfId="0" applyFont="true" applyBorder="true" applyAlignment="true" applyProtection="false">
      <alignment horizontal="general" vertical="center" textRotation="0" wrapText="false" indent="0" shrinkToFit="false"/>
      <protection locked="true" hidden="false"/>
    </xf>
    <xf numFmtId="164" fontId="62" fillId="36" borderId="6" xfId="0" applyFont="true" applyBorder="true" applyAlignment="true" applyProtection="false">
      <alignment horizontal="center" vertical="center" textRotation="0" wrapText="false" indent="0" shrinkToFit="false"/>
      <protection locked="true" hidden="false"/>
    </xf>
    <xf numFmtId="164" fontId="37" fillId="37" borderId="6" xfId="0" applyFont="true" applyBorder="true" applyAlignment="true" applyProtection="false">
      <alignment horizontal="center" vertical="center" textRotation="0" wrapText="true" indent="0" shrinkToFit="false"/>
      <protection locked="true" hidden="false"/>
    </xf>
    <xf numFmtId="164" fontId="4" fillId="0" borderId="6"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center" textRotation="0" wrapText="true" indent="0" shrinkToFit="false"/>
      <protection locked="true" hidden="false"/>
    </xf>
    <xf numFmtId="164" fontId="41" fillId="0" borderId="0" xfId="0" applyFont="true" applyBorder="true" applyAlignment="false" applyProtection="false">
      <alignment horizontal="general" vertical="bottom" textRotation="0" wrapText="false" indent="0" shrinkToFit="false"/>
      <protection locked="true" hidden="false"/>
    </xf>
    <xf numFmtId="164" fontId="65" fillId="0" borderId="0" xfId="0" applyFont="true" applyBorder="true" applyAlignment="true" applyProtection="false">
      <alignment horizontal="left" vertical="bottom" textRotation="0" wrapText="true" indent="0" shrinkToFit="false"/>
      <protection locked="true" hidden="false"/>
    </xf>
    <xf numFmtId="164" fontId="66" fillId="0" borderId="0" xfId="0" applyFont="true" applyBorder="true" applyAlignment="true" applyProtection="false">
      <alignment horizontal="general" vertical="bottom" textRotation="0" wrapText="false" indent="0" shrinkToFit="false"/>
      <protection locked="true" hidden="false"/>
    </xf>
    <xf numFmtId="164" fontId="64" fillId="0" borderId="31" xfId="0" applyFont="true" applyBorder="true" applyAlignment="true" applyProtection="false">
      <alignment horizontal="left" vertical="bottom" textRotation="0" wrapText="true" indent="0" shrinkToFit="false"/>
      <protection locked="true" hidden="false"/>
    </xf>
    <xf numFmtId="164" fontId="52" fillId="0" borderId="31" xfId="0" applyFont="true" applyBorder="true" applyAlignment="true" applyProtection="false">
      <alignment horizontal="left" vertical="bottom" textRotation="0" wrapText="true" indent="0" shrinkToFit="false"/>
      <protection locked="true" hidden="false"/>
    </xf>
    <xf numFmtId="164" fontId="64" fillId="0" borderId="0" xfId="0" applyFont="true" applyBorder="true" applyAlignment="true" applyProtection="false">
      <alignment horizontal="left" vertical="bottom" textRotation="0" wrapText="false" indent="0" shrinkToFit="false"/>
      <protection locked="true" hidden="false"/>
    </xf>
    <xf numFmtId="164" fontId="38" fillId="36" borderId="0" xfId="43" applyFont="true" applyBorder="true" applyAlignment="true" applyProtection="true">
      <alignment horizontal="general" vertical="bottom" textRotation="0" wrapText="false" indent="0" shrinkToFit="false"/>
      <protection locked="true" hidden="false"/>
    </xf>
    <xf numFmtId="164" fontId="38" fillId="36" borderId="0" xfId="0" applyFont="true" applyBorder="true" applyAlignment="false" applyProtection="false">
      <alignment horizontal="general" vertical="bottom" textRotation="0" wrapText="false" indent="0" shrinkToFit="false"/>
      <protection locked="true" hidden="false"/>
    </xf>
    <xf numFmtId="164" fontId="52" fillId="0" borderId="0" xfId="0" applyFont="true" applyBorder="true" applyAlignment="false" applyProtection="false">
      <alignment horizontal="general" vertical="bottom" textRotation="0" wrapText="false" indent="0" shrinkToFit="false"/>
      <protection locked="true" hidden="false"/>
    </xf>
    <xf numFmtId="164" fontId="52" fillId="0" borderId="0" xfId="0" applyFont="true" applyBorder="true" applyAlignment="true" applyProtection="false">
      <alignment horizontal="left" vertical="center" textRotation="0" wrapText="false" indent="0" shrinkToFit="false"/>
      <protection locked="true" hidden="false"/>
    </xf>
    <xf numFmtId="164" fontId="43" fillId="0" borderId="0" xfId="0" applyFont="true" applyBorder="true" applyAlignment="true" applyProtection="false">
      <alignment horizontal="center" vertical="bottom" textRotation="0" wrapText="false" indent="0" shrinkToFit="false"/>
      <protection locked="true" hidden="false"/>
    </xf>
    <xf numFmtId="164" fontId="41" fillId="36" borderId="0" xfId="0" applyFont="true" applyBorder="true" applyAlignment="false" applyProtection="false">
      <alignment horizontal="general" vertical="bottom" textRotation="0" wrapText="false" indent="0" shrinkToFit="false"/>
      <protection locked="true" hidden="false"/>
    </xf>
    <xf numFmtId="164" fontId="41" fillId="36" borderId="6" xfId="0" applyFont="true" applyBorder="true" applyAlignment="false" applyProtection="false">
      <alignment horizontal="general" vertical="bottom" textRotation="0" wrapText="false" indent="0" shrinkToFit="false"/>
      <protection locked="true" hidden="false"/>
    </xf>
    <xf numFmtId="164" fontId="41" fillId="0" borderId="0" xfId="0" applyFont="true" applyBorder="true" applyAlignment="true" applyProtection="false">
      <alignment horizontal="general" vertical="bottom" textRotation="0" wrapText="false" indent="0" shrinkToFit="false"/>
      <protection locked="true" hidden="false"/>
    </xf>
    <xf numFmtId="164" fontId="41" fillId="36" borderId="6"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2" fillId="0" borderId="0" xfId="0" applyFont="true" applyBorder="true" applyAlignment="true" applyProtection="false">
      <alignment horizontal="left" vertical="bottom" textRotation="0" wrapText="true" indent="0" shrinkToFit="false"/>
      <protection locked="true" hidden="false"/>
    </xf>
    <xf numFmtId="164" fontId="52" fillId="0" borderId="0" xfId="0" applyFont="true" applyBorder="true" applyAlignment="true" applyProtection="false">
      <alignment horizontal="right" vertical="bottom" textRotation="0" wrapText="false" indent="0" shrinkToFit="false"/>
      <protection locked="true" hidden="false"/>
    </xf>
    <xf numFmtId="164" fontId="37" fillId="38" borderId="0" xfId="47" applyFont="true" applyBorder="true" applyAlignment="true" applyProtection="true">
      <alignment horizontal="center" vertical="center" textRotation="0" wrapText="true" indent="0" shrinkToFit="false"/>
      <protection locked="true" hidden="false"/>
    </xf>
    <xf numFmtId="164" fontId="37" fillId="0" borderId="0" xfId="47" applyFont="true" applyBorder="true" applyAlignment="true" applyProtection="true">
      <alignment horizontal="center" vertical="center" textRotation="0" wrapText="true" indent="0" shrinkToFit="false"/>
      <protection locked="true" hidden="false"/>
    </xf>
    <xf numFmtId="164" fontId="37" fillId="38" borderId="16" xfId="47" applyFont="true" applyBorder="true" applyAlignment="true" applyProtection="true">
      <alignment horizontal="center" vertical="center" textRotation="0" wrapText="true" indent="0" shrinkToFit="false"/>
      <protection locked="true" hidden="false"/>
    </xf>
    <xf numFmtId="164" fontId="37" fillId="37" borderId="1" xfId="0" applyFont="true" applyBorder="true" applyAlignment="true" applyProtection="false">
      <alignment horizontal="center" vertical="center" textRotation="0" wrapText="true" indent="0" shrinkToFit="false"/>
      <protection locked="true" hidden="false"/>
    </xf>
    <xf numFmtId="164" fontId="37" fillId="37" borderId="51" xfId="0" applyFont="true" applyBorder="true" applyAlignment="true" applyProtection="false">
      <alignment horizontal="center" vertical="center" textRotation="0" wrapText="true" indent="0" shrinkToFit="false"/>
      <protection locked="true" hidden="false"/>
    </xf>
    <xf numFmtId="164" fontId="37" fillId="37" borderId="52" xfId="0" applyFont="true" applyBorder="true" applyAlignment="true" applyProtection="false">
      <alignment horizontal="center" vertical="center" textRotation="0" wrapText="true" indent="0" shrinkToFit="false"/>
      <protection locked="true" hidden="false"/>
    </xf>
    <xf numFmtId="164" fontId="37" fillId="37" borderId="53" xfId="0" applyFont="true" applyBorder="true" applyAlignment="true" applyProtection="false">
      <alignment horizontal="center" vertical="center" textRotation="0" wrapText="true" indent="0" shrinkToFit="false"/>
      <protection locked="true" hidden="false"/>
    </xf>
    <xf numFmtId="164" fontId="37" fillId="37" borderId="42" xfId="0" applyFont="true" applyBorder="true" applyAlignment="true" applyProtection="false">
      <alignment horizontal="center" vertical="center" textRotation="0" wrapText="true" indent="0" shrinkToFit="false"/>
      <protection locked="true" hidden="false"/>
    </xf>
    <xf numFmtId="164" fontId="37" fillId="0" borderId="54" xfId="41" applyFont="true" applyBorder="true" applyAlignment="true" applyProtection="true">
      <alignment horizontal="left" vertical="bottom" textRotation="0" wrapText="false" indent="0" shrinkToFit="false"/>
      <protection locked="true" hidden="false"/>
    </xf>
    <xf numFmtId="164" fontId="4" fillId="36" borderId="55" xfId="0" applyFont="true" applyBorder="true" applyAlignment="false" applyProtection="false">
      <alignment horizontal="general" vertical="bottom" textRotation="0" wrapText="false" indent="0" shrinkToFit="false"/>
      <protection locked="true" hidden="false"/>
    </xf>
    <xf numFmtId="164" fontId="4" fillId="36" borderId="56" xfId="0" applyFont="true" applyBorder="true" applyAlignment="false" applyProtection="false">
      <alignment horizontal="general" vertical="bottom" textRotation="0" wrapText="false" indent="0" shrinkToFit="false"/>
      <protection locked="true" hidden="false"/>
    </xf>
    <xf numFmtId="164" fontId="4" fillId="36" borderId="57" xfId="0" applyFont="true" applyBorder="true" applyAlignment="false" applyProtection="false">
      <alignment horizontal="general" vertical="bottom" textRotation="0" wrapText="false" indent="0" shrinkToFit="false"/>
      <protection locked="true" hidden="false"/>
    </xf>
    <xf numFmtId="164" fontId="60" fillId="0" borderId="0" xfId="0" applyFont="true" applyBorder="true" applyAlignment="false" applyProtection="false">
      <alignment horizontal="general" vertical="bottom" textRotation="0" wrapText="false" indent="0" shrinkToFit="false"/>
      <protection locked="true" hidden="false"/>
    </xf>
    <xf numFmtId="164" fontId="54" fillId="0" borderId="45" xfId="41" applyFont="true" applyBorder="true" applyAlignment="true" applyProtection="true">
      <alignment horizontal="left" vertical="top" textRotation="0" wrapText="true" indent="0" shrinkToFit="false"/>
      <protection locked="true" hidden="false"/>
    </xf>
    <xf numFmtId="164" fontId="72" fillId="0" borderId="0" xfId="0" applyFont="true" applyBorder="false" applyAlignment="false" applyProtection="false">
      <alignment horizontal="general" vertical="bottom" textRotation="0" wrapText="false" indent="0" shrinkToFit="false"/>
      <protection locked="true" hidden="false"/>
    </xf>
    <xf numFmtId="164" fontId="37" fillId="0" borderId="45" xfId="41" applyFont="true" applyBorder="true" applyAlignment="true" applyProtection="true">
      <alignment horizontal="left" vertical="bottom" textRotation="0" wrapText="true" indent="0" shrinkToFit="false"/>
      <protection locked="true" hidden="false"/>
    </xf>
    <xf numFmtId="164" fontId="37" fillId="0" borderId="45" xfId="41" applyFont="true" applyBorder="true" applyAlignment="true" applyProtection="true">
      <alignment horizontal="left" vertical="bottom" textRotation="0" wrapText="false" indent="0" shrinkToFit="false"/>
      <protection locked="true" hidden="false"/>
    </xf>
    <xf numFmtId="164" fontId="73" fillId="0" borderId="45" xfId="0" applyFont="true" applyBorder="true" applyAlignment="true" applyProtection="false">
      <alignment horizontal="center" vertical="center" textRotation="0" wrapText="false" indent="0" shrinkToFit="false"/>
      <protection locked="true" hidden="false"/>
    </xf>
    <xf numFmtId="164" fontId="54" fillId="0" borderId="58" xfId="41" applyFont="true" applyBorder="true" applyAlignment="true" applyProtection="true">
      <alignment horizontal="left" vertical="top" textRotation="0" wrapText="true" indent="0" shrinkToFit="false"/>
      <protection locked="true" hidden="false"/>
    </xf>
    <xf numFmtId="164" fontId="18" fillId="0" borderId="0" xfId="0" applyFont="true" applyBorder="true" applyAlignment="true" applyProtection="false">
      <alignment horizontal="left" vertical="bottom" textRotation="0" wrapText="true" indent="0" shrinkToFit="false"/>
      <protection locked="true" hidden="false"/>
    </xf>
    <xf numFmtId="164" fontId="57" fillId="0" borderId="0" xfId="0" applyFont="true" applyBorder="false" applyAlignment="false" applyProtection="false">
      <alignment horizontal="general" vertical="bottom" textRotation="0" wrapText="false" indent="0" shrinkToFit="false"/>
      <protection locked="true" hidden="false"/>
    </xf>
    <xf numFmtId="164" fontId="74" fillId="0" borderId="45" xfId="41" applyFont="true" applyBorder="true" applyAlignment="true" applyProtection="true">
      <alignment horizontal="left" vertical="top" textRotation="0" wrapText="true" indent="0" shrinkToFit="false"/>
      <protection locked="true" hidden="false"/>
    </xf>
    <xf numFmtId="164" fontId="54" fillId="0" borderId="59" xfId="41" applyFont="true" applyBorder="true" applyAlignment="true" applyProtection="true">
      <alignment horizontal="left" vertical="top" textRotation="0" wrapText="true" indent="0" shrinkToFit="false"/>
      <protection locked="true" hidden="false"/>
    </xf>
    <xf numFmtId="164" fontId="37" fillId="0" borderId="52" xfId="41" applyFont="true" applyBorder="true" applyAlignment="true" applyProtection="true">
      <alignment horizontal="left" vertical="bottom" textRotation="0" wrapText="true" indent="0" shrinkToFit="false"/>
      <protection locked="true" hidden="false"/>
    </xf>
    <xf numFmtId="164" fontId="4" fillId="36" borderId="60" xfId="0" applyFont="true" applyBorder="true" applyAlignment="false" applyProtection="false">
      <alignment horizontal="general" vertical="bottom" textRotation="0" wrapText="false" indent="0" shrinkToFit="false"/>
      <protection locked="true" hidden="false"/>
    </xf>
    <xf numFmtId="164" fontId="4" fillId="36" borderId="61" xfId="0" applyFont="true" applyBorder="true" applyAlignment="false" applyProtection="false">
      <alignment horizontal="general" vertical="bottom" textRotation="0" wrapText="false" indent="0" shrinkToFit="false"/>
      <protection locked="true" hidden="false"/>
    </xf>
    <xf numFmtId="164" fontId="60" fillId="0" borderId="0" xfId="0" applyFont="true" applyBorder="true" applyAlignment="true" applyProtection="false">
      <alignment horizontal="left" vertical="top" textRotation="0" wrapText="true" indent="0" shrinkToFit="false"/>
      <protection locked="true" hidden="false"/>
    </xf>
    <xf numFmtId="164" fontId="54" fillId="0" borderId="4" xfId="41" applyFont="true" applyBorder="true" applyAlignment="true" applyProtection="true">
      <alignment horizontal="left" vertical="top" textRotation="0" wrapText="true" indent="0" shrinkToFit="false"/>
      <protection locked="true" hidden="false"/>
    </xf>
    <xf numFmtId="164" fontId="54" fillId="0" borderId="0" xfId="41" applyFont="true" applyBorder="true" applyAlignment="true" applyProtection="true">
      <alignment horizontal="left" vertical="top" textRotation="0" wrapText="true" indent="0" shrinkToFit="false"/>
      <protection locked="true" hidden="false"/>
    </xf>
    <xf numFmtId="164" fontId="75" fillId="0" borderId="0" xfId="0" applyFont="true" applyBorder="true" applyAlignment="true" applyProtection="false">
      <alignment horizontal="left" vertical="top" textRotation="0" wrapText="true" indent="0" shrinkToFit="false"/>
      <protection locked="true" hidden="false"/>
    </xf>
    <xf numFmtId="164" fontId="76" fillId="0" borderId="0" xfId="0" applyFont="true" applyBorder="true" applyAlignment="true" applyProtection="false">
      <alignment horizontal="general" vertical="bottom" textRotation="0" wrapText="false" indent="0" shrinkToFit="false"/>
      <protection locked="true" hidden="false"/>
    </xf>
    <xf numFmtId="164" fontId="37" fillId="38" borderId="6" xfId="47" applyFont="true" applyBorder="true" applyAlignment="true" applyProtection="tru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75" fillId="0" borderId="0" xfId="0" applyFont="true" applyBorder="true" applyAlignment="false" applyProtection="false">
      <alignment horizontal="general" vertical="bottom" textRotation="0" wrapText="false" indent="0" shrinkToFit="false"/>
      <protection locked="true" hidden="false"/>
    </xf>
    <xf numFmtId="164" fontId="8" fillId="0" borderId="45" xfId="41" applyFont="true" applyBorder="true" applyAlignment="true" applyProtection="true">
      <alignment horizontal="center" vertical="center" textRotation="0" wrapText="true" indent="0" shrinkToFit="false"/>
      <protection locked="true" hidden="false"/>
    </xf>
    <xf numFmtId="164" fontId="37" fillId="0" borderId="58" xfId="41" applyFont="true" applyBorder="true" applyAlignment="true" applyProtection="true">
      <alignment horizontal="left" vertical="bottom" textRotation="0" wrapText="true" indent="0" shrinkToFit="false"/>
      <protection locked="true" hidden="false"/>
    </xf>
    <xf numFmtId="164" fontId="54" fillId="0" borderId="0" xfId="0" applyFont="true" applyBorder="true" applyAlignment="false" applyProtection="false">
      <alignment horizontal="general" vertical="bottom" textRotation="0" wrapText="false" indent="0" shrinkToFit="false"/>
      <protection locked="true" hidden="false"/>
    </xf>
    <xf numFmtId="164" fontId="77" fillId="0" borderId="0" xfId="0" applyFont="true" applyBorder="true" applyAlignment="false" applyProtection="false">
      <alignment horizontal="general" vertical="bottom" textRotation="0" wrapText="false" indent="0" shrinkToFit="false"/>
      <protection locked="true" hidden="false"/>
    </xf>
    <xf numFmtId="164" fontId="41" fillId="0" borderId="0" xfId="0" applyFont="true" applyBorder="true" applyAlignment="true" applyProtection="false">
      <alignment horizontal="left" vertical="bottom" textRotation="0" wrapText="false" indent="0" shrinkToFit="false"/>
      <protection locked="true" hidden="false"/>
    </xf>
    <xf numFmtId="164" fontId="78" fillId="0" borderId="0"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60" fillId="0" borderId="62" xfId="0" applyFont="true" applyBorder="true" applyAlignment="true" applyProtection="false">
      <alignment horizontal="center" vertical="center" textRotation="0" wrapText="true" indent="0" shrinkToFit="false"/>
      <protection locked="true" hidden="false"/>
    </xf>
    <xf numFmtId="164" fontId="37" fillId="37" borderId="48" xfId="0" applyFont="true" applyBorder="true" applyAlignment="true" applyProtection="false">
      <alignment horizontal="center" vertical="center" textRotation="0" wrapText="true" indent="0" shrinkToFit="false"/>
      <protection locked="true" hidden="false"/>
    </xf>
    <xf numFmtId="164" fontId="37" fillId="37" borderId="44" xfId="0" applyFont="true" applyBorder="true" applyAlignment="true" applyProtection="false">
      <alignment horizontal="center" vertical="center" textRotation="0" wrapText="true" indent="0" shrinkToFit="false"/>
      <protection locked="true" hidden="false"/>
    </xf>
    <xf numFmtId="164" fontId="54" fillId="37" borderId="63" xfId="0" applyFont="true" applyBorder="true" applyAlignment="true" applyProtection="false">
      <alignment horizontal="center" vertical="center" textRotation="0" wrapText="true" indent="0" shrinkToFit="false"/>
      <protection locked="true" hidden="false"/>
    </xf>
    <xf numFmtId="164" fontId="54" fillId="37" borderId="64" xfId="0" applyFont="true" applyBorder="true" applyAlignment="true" applyProtection="false">
      <alignment horizontal="center" vertical="center" textRotation="0" wrapText="true" indent="0" shrinkToFit="false"/>
      <protection locked="true" hidden="false"/>
    </xf>
    <xf numFmtId="164" fontId="4" fillId="38" borderId="41" xfId="0" applyFont="true" applyBorder="true" applyAlignment="true" applyProtection="false">
      <alignment horizontal="left" vertical="bottom" textRotation="0" wrapText="false" indent="0" shrinkToFit="false"/>
      <protection locked="true" hidden="false"/>
    </xf>
    <xf numFmtId="164" fontId="43" fillId="0" borderId="65" xfId="0" applyFont="true" applyBorder="true" applyAlignment="false" applyProtection="false">
      <alignment horizontal="general" vertical="bottom" textRotation="0" wrapText="false" indent="0" shrinkToFit="false"/>
      <protection locked="true" hidden="false"/>
    </xf>
    <xf numFmtId="164" fontId="43" fillId="36" borderId="43" xfId="0" applyFont="true" applyBorder="true" applyAlignment="true" applyProtection="false">
      <alignment horizontal="center" vertical="bottom" textRotation="0" wrapText="false" indent="0" shrinkToFit="false"/>
      <protection locked="true" hidden="false"/>
    </xf>
    <xf numFmtId="164" fontId="41" fillId="0" borderId="46" xfId="0" applyFont="true" applyBorder="true" applyAlignment="true" applyProtection="false">
      <alignment horizontal="left" vertical="bottom" textRotation="0" wrapText="false" indent="0" shrinkToFit="false"/>
      <protection locked="true" hidden="false"/>
    </xf>
    <xf numFmtId="164" fontId="38" fillId="36" borderId="6" xfId="41" applyFont="true" applyBorder="true" applyAlignment="true" applyProtection="true">
      <alignment horizontal="general" vertical="bottom" textRotation="0" wrapText="false" indent="0" shrinkToFit="false"/>
      <protection locked="true" hidden="false"/>
    </xf>
    <xf numFmtId="164" fontId="43" fillId="0" borderId="47" xfId="0" applyFont="true" applyBorder="true" applyAlignment="true" applyProtection="false">
      <alignment horizontal="center" vertical="bottom" textRotation="0" wrapText="false" indent="0" shrinkToFit="false"/>
      <protection locked="true" hidden="false"/>
    </xf>
    <xf numFmtId="164" fontId="4" fillId="38" borderId="46" xfId="0" applyFont="true" applyBorder="true" applyAlignment="true" applyProtection="false">
      <alignment horizontal="left" vertical="bottom" textRotation="0" wrapText="true" indent="0" shrinkToFit="false"/>
      <protection locked="true" hidden="false"/>
    </xf>
    <xf numFmtId="164" fontId="43" fillId="0" borderId="19" xfId="0" applyFont="true" applyBorder="true" applyAlignment="false" applyProtection="false">
      <alignment horizontal="general" vertical="bottom" textRotation="0" wrapText="false" indent="0" shrinkToFit="false"/>
      <protection locked="true" hidden="false"/>
    </xf>
    <xf numFmtId="164" fontId="43" fillId="36" borderId="44" xfId="0" applyFont="true" applyBorder="true" applyAlignment="true" applyProtection="false">
      <alignment horizontal="center" vertical="bottom" textRotation="0" wrapText="false" indent="0" shrinkToFit="false"/>
      <protection locked="true" hidden="false"/>
    </xf>
    <xf numFmtId="164" fontId="43" fillId="36" borderId="66" xfId="0" applyFont="true" applyBorder="true" applyAlignment="true" applyProtection="false">
      <alignment horizontal="center" vertical="bottom" textRotation="0" wrapText="false" indent="0" shrinkToFit="false"/>
      <protection locked="true" hidden="false"/>
    </xf>
    <xf numFmtId="164" fontId="43" fillId="0" borderId="50" xfId="0" applyFont="true" applyBorder="true" applyAlignment="false" applyProtection="false">
      <alignment horizontal="general" vertical="bottom" textRotation="0" wrapText="false" indent="0" shrinkToFit="false"/>
      <protection locked="true" hidden="false"/>
    </xf>
    <xf numFmtId="164" fontId="41" fillId="0" borderId="67" xfId="0" applyFont="true" applyBorder="true" applyAlignment="true" applyProtection="false">
      <alignment horizontal="left" vertical="bottom" textRotation="0" wrapText="false" indent="0" shrinkToFit="false"/>
      <protection locked="true" hidden="false"/>
    </xf>
    <xf numFmtId="164" fontId="38" fillId="36" borderId="68" xfId="41" applyFont="true" applyBorder="true" applyAlignment="true" applyProtection="true">
      <alignment horizontal="general" vertical="bottom" textRotation="0" wrapText="false" indent="0" shrinkToFit="false"/>
      <protection locked="true" hidden="false"/>
    </xf>
    <xf numFmtId="164" fontId="43" fillId="0" borderId="69" xfId="0" applyFont="true" applyBorder="true" applyAlignment="false" applyProtection="false">
      <alignment horizontal="general" vertical="bottom" textRotation="0" wrapText="false" indent="0" shrinkToFit="false"/>
      <protection locked="true" hidden="false"/>
    </xf>
    <xf numFmtId="164" fontId="43" fillId="0" borderId="70" xfId="0" applyFont="true" applyBorder="true" applyAlignment="false" applyProtection="false">
      <alignment horizontal="general" vertical="bottom" textRotation="0" wrapText="false" indent="0" shrinkToFit="false"/>
      <protection locked="true" hidden="false"/>
    </xf>
    <xf numFmtId="164" fontId="42" fillId="0" borderId="0" xfId="0" applyFont="true" applyBorder="true" applyAlignment="true" applyProtection="false">
      <alignment horizontal="left" vertical="center" textRotation="0" wrapText="true" indent="0" shrinkToFit="false"/>
      <protection locked="true" hidden="false"/>
    </xf>
    <xf numFmtId="164" fontId="52" fillId="0" borderId="0" xfId="0" applyFont="true" applyBorder="true" applyAlignment="true" applyProtection="false">
      <alignment horizontal="left" vertical="bottom" textRotation="0" wrapText="false" indent="0" shrinkToFit="false"/>
      <protection locked="true" hidden="false"/>
    </xf>
    <xf numFmtId="164" fontId="38" fillId="0" borderId="31" xfId="0" applyFont="true" applyBorder="true" applyAlignment="true" applyProtection="false">
      <alignment horizontal="left" vertical="bottom" textRotation="0" wrapText="false" indent="0" shrinkToFit="false"/>
      <protection locked="true" hidden="false"/>
    </xf>
    <xf numFmtId="164" fontId="16" fillId="27" borderId="25" xfId="51" applyFont="true" applyBorder="true" applyAlignment="true" applyProtection="true">
      <alignment horizontal="center" vertical="center" textRotation="0" wrapText="false" indent="0" shrinkToFit="false"/>
      <protection locked="true" hidden="false"/>
    </xf>
    <xf numFmtId="164" fontId="81" fillId="0" borderId="0" xfId="0" applyFont="true" applyBorder="true" applyAlignment="false" applyProtection="false">
      <alignment horizontal="general" vertical="bottom" textRotation="0" wrapText="false" indent="0" shrinkToFit="false"/>
      <protection locked="true" hidden="false"/>
    </xf>
    <xf numFmtId="164" fontId="82" fillId="0" borderId="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true" applyAlignment="false" applyProtection="false">
      <alignment horizontal="general" vertical="bottom" textRotation="0" wrapText="false" indent="0" shrinkToFit="false"/>
      <protection locked="true" hidden="false"/>
    </xf>
    <xf numFmtId="164" fontId="73" fillId="0" borderId="0" xfId="0" applyFont="true" applyBorder="true" applyAlignment="false" applyProtection="false">
      <alignment horizontal="general" vertical="bottom" textRotation="0" wrapText="false" indent="0" shrinkToFit="false"/>
      <protection locked="true" hidden="false"/>
    </xf>
    <xf numFmtId="164" fontId="73" fillId="0" borderId="0" xfId="0" applyFont="true" applyBorder="true" applyAlignment="true" applyProtection="false">
      <alignment horizontal="general" vertical="bottom" textRotation="0" wrapText="true" indent="0" shrinkToFit="false"/>
      <protection locked="true" hidden="false"/>
    </xf>
    <xf numFmtId="164" fontId="8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31" fillId="24" borderId="0" xfId="0" applyFont="true" applyBorder="false" applyAlignment="true" applyProtection="false">
      <alignment horizontal="center" vertical="bottom" textRotation="0" wrapText="false" indent="0" shrinkToFit="false"/>
      <protection locked="true" hidden="false"/>
    </xf>
    <xf numFmtId="164" fontId="31" fillId="0" borderId="0" xfId="0" applyFont="true" applyBorder="false" applyAlignment="true" applyProtection="false">
      <alignment horizontal="center" vertical="bottom" textRotation="0" wrapText="false" indent="0" shrinkToFit="false"/>
      <protection locked="true" hidden="false"/>
    </xf>
    <xf numFmtId="165" fontId="85" fillId="24" borderId="0" xfId="0" applyFont="true" applyBorder="true" applyAlignment="false" applyProtection="false">
      <alignment horizontal="general" vertical="bottom" textRotation="0" wrapText="false" indent="0" shrinkToFit="false"/>
      <protection locked="true" hidden="false"/>
    </xf>
    <xf numFmtId="164" fontId="85"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6"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general" vertical="bottom" textRotation="0" wrapText="false" indent="0" shrinkToFit="false"/>
      <protection locked="true" hidden="false"/>
    </xf>
    <xf numFmtId="166" fontId="0" fillId="23" borderId="0" xfId="43" applyFont="true" applyBorder="true" applyAlignment="true" applyProtection="true">
      <alignment horizontal="left" vertical="top" textRotation="0" wrapText="true" indent="0" shrinkToFit="false"/>
      <protection locked="true" hidden="false"/>
    </xf>
    <xf numFmtId="164" fontId="87" fillId="0" borderId="0" xfId="0" applyFont="true" applyBorder="false" applyAlignment="true" applyProtection="false">
      <alignment horizontal="general" vertical="bottom" textRotation="0" wrapText="false" indent="0" shrinkToFit="false"/>
      <protection locked="true" hidden="false"/>
    </xf>
    <xf numFmtId="164" fontId="87" fillId="0" borderId="0" xfId="0" applyFont="true" applyBorder="false" applyAlignment="false" applyProtection="false">
      <alignment horizontal="general" vertical="bottom" textRotation="0" wrapText="false" indent="0" shrinkToFit="false"/>
      <protection locked="true" hidden="false"/>
    </xf>
    <xf numFmtId="164" fontId="15" fillId="24"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7" fontId="85" fillId="24"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5" fillId="24" borderId="0" xfId="0" applyFont="true" applyBorder="true" applyAlignment="true" applyProtection="false">
      <alignment horizontal="center" vertical="bottom" textRotation="0" wrapText="false" indent="0" shrinkToFit="false"/>
      <protection locked="true" hidden="false"/>
    </xf>
    <xf numFmtId="164" fontId="15" fillId="24" borderId="0" xfId="0" applyFont="true" applyBorder="false" applyAlignment="true" applyProtection="false">
      <alignment horizontal="general" vertical="bottom" textRotation="0" wrapText="false" indent="0" shrinkToFit="false"/>
      <protection locked="true" hidden="false"/>
    </xf>
    <xf numFmtId="164" fontId="87" fillId="0" borderId="0" xfId="0" applyFont="true" applyBorder="false" applyAlignment="true" applyProtection="false">
      <alignment horizontal="left" vertical="bottom" textRotation="0" wrapText="false" indent="0" shrinkToFit="false"/>
      <protection locked="true" hidden="false"/>
    </xf>
    <xf numFmtId="168" fontId="0" fillId="3" borderId="71" xfId="44" applyFont="false" applyBorder="true" applyAlignment="true" applyProtection="true">
      <alignment horizontal="right" vertical="bottom" textRotation="0" wrapText="true" indent="0" shrinkToFit="false"/>
      <protection locked="true" hidden="false"/>
    </xf>
    <xf numFmtId="164" fontId="31" fillId="0" borderId="0" xfId="0" applyFont="true" applyBorder="true" applyAlignment="false" applyProtection="false">
      <alignment horizontal="general" vertical="bottom" textRotation="0" wrapText="false" indent="0" shrinkToFit="false"/>
      <protection locked="true" hidden="false"/>
    </xf>
    <xf numFmtId="164" fontId="15" fillId="24" borderId="0" xfId="0" applyFont="true" applyBorder="false" applyAlignment="false" applyProtection="false">
      <alignment horizontal="general" vertical="bottom" textRotation="0" wrapText="false" indent="0" shrinkToFit="false"/>
      <protection locked="true" hidden="false"/>
    </xf>
    <xf numFmtId="164" fontId="88" fillId="0" borderId="0" xfId="0" applyFont="true" applyBorder="false" applyAlignment="true" applyProtection="false">
      <alignment horizontal="right" vertical="bottom" textRotation="0" wrapText="true" indent="0" shrinkToFit="false"/>
      <protection locked="true" hidden="false"/>
    </xf>
    <xf numFmtId="169" fontId="89" fillId="24" borderId="0" xfId="0" applyFont="true" applyBorder="false" applyAlignment="true" applyProtection="false">
      <alignment horizontal="general" vertical="center" textRotation="0" wrapText="false" indent="0" shrinkToFit="false"/>
      <protection locked="true" hidden="false"/>
    </xf>
    <xf numFmtId="164" fontId="89" fillId="0" borderId="0" xfId="0" applyFont="true" applyBorder="false" applyAlignment="true" applyProtection="false">
      <alignment horizontal="general" vertical="center" textRotation="0" wrapText="false" indent="0" shrinkToFit="false"/>
      <protection locked="true" hidden="false"/>
    </xf>
    <xf numFmtId="164" fontId="88" fillId="0" borderId="0" xfId="0" applyFont="true" applyBorder="false" applyAlignment="true" applyProtection="false">
      <alignment horizontal="right" vertical="bottom" textRotation="0" wrapText="false" indent="0" shrinkToFit="false"/>
      <protection locked="true" hidden="false"/>
    </xf>
    <xf numFmtId="164" fontId="89" fillId="0" borderId="0" xfId="0" applyFont="true" applyBorder="false" applyAlignment="false" applyProtection="false">
      <alignment horizontal="general" vertical="bottom" textRotation="0" wrapText="false" indent="0" shrinkToFit="false"/>
      <protection locked="true" hidden="false"/>
    </xf>
    <xf numFmtId="164" fontId="88" fillId="0" borderId="0" xfId="0" applyFont="true" applyBorder="false" applyAlignment="true" applyProtection="false">
      <alignment horizontal="right" vertical="center" textRotation="0" wrapText="true" indent="0" shrinkToFit="false"/>
      <protection locked="true" hidden="false"/>
    </xf>
    <xf numFmtId="166" fontId="0" fillId="23" borderId="0" xfId="43" applyFont="false" applyBorder="true" applyAlignment="true" applyProtection="true">
      <alignment horizontal="left" vertical="top" textRotation="0" wrapText="true" indent="0" shrinkToFit="false"/>
      <protection locked="true" hidden="false"/>
    </xf>
    <xf numFmtId="164" fontId="0" fillId="23" borderId="0" xfId="43" applyFont="fals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23" borderId="0" xfId="43" applyFont="true" applyBorder="true" applyAlignment="true" applyProtection="true">
      <alignment horizontal="general" vertical="center" textRotation="0" wrapText="true" indent="0" shrinkToFit="false"/>
      <protection locked="true" hidden="false"/>
    </xf>
    <xf numFmtId="164" fontId="0" fillId="23" borderId="0" xfId="43" applyFont="false" applyBorder="true" applyAlignment="true" applyProtection="true">
      <alignment horizontal="general" vertical="center" textRotation="0" wrapText="tru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9" fillId="24" borderId="0" xfId="0" applyFont="true" applyBorder="true" applyAlignment="true" applyProtection="false">
      <alignment horizontal="center" vertical="bottom" textRotation="0" wrapText="false" indent="0" shrinkToFit="false"/>
      <protection locked="true" hidden="false"/>
    </xf>
    <xf numFmtId="164" fontId="73" fillId="0" borderId="0" xfId="0" applyFont="true" applyBorder="false" applyAlignment="true" applyProtection="false">
      <alignment horizontal="right" vertical="bottom" textRotation="0" wrapText="false" indent="0" shrinkToFit="false"/>
      <protection locked="true" hidden="false"/>
    </xf>
    <xf numFmtId="164" fontId="73" fillId="0" borderId="0" xfId="0" applyFont="true" applyBorder="false" applyAlignment="true" applyProtection="false">
      <alignment horizontal="left" vertical="bottom" textRotation="0" wrapText="false" indent="0" shrinkToFit="false"/>
      <protection locked="true" hidden="false"/>
    </xf>
    <xf numFmtId="166" fontId="15" fillId="0" borderId="0" xfId="0" applyFont="true" applyBorder="false" applyAlignment="true" applyProtection="false">
      <alignment horizontal="general" vertical="top" textRotation="0" wrapText="false" indent="0" shrinkToFit="false"/>
      <protection locked="true" hidden="false"/>
    </xf>
    <xf numFmtId="166" fontId="15" fillId="0" borderId="0" xfId="0" applyFont="true" applyBorder="false" applyAlignment="true" applyProtection="false">
      <alignment horizontal="general" vertical="top" textRotation="0" wrapText="true" indent="0" shrinkToFit="false"/>
      <protection locked="true" hidden="false"/>
    </xf>
    <xf numFmtId="164" fontId="31" fillId="24"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true" applyAlignment="true" applyProtection="false">
      <alignment horizontal="right" vertical="center" textRotation="0" wrapText="true" indent="0" shrinkToFit="false"/>
      <protection locked="true" hidden="false"/>
    </xf>
    <xf numFmtId="164" fontId="0" fillId="23" borderId="0" xfId="43" applyFont="true" applyBorder="true" applyAlignment="true" applyProtection="true">
      <alignment horizontal="general" vertical="bottom"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81" fillId="0" borderId="0" xfId="0" applyFont="true" applyBorder="false" applyAlignment="false" applyProtection="false">
      <alignment horizontal="general" vertical="bottom" textRotation="0" wrapText="false" indent="0" shrinkToFit="false"/>
      <protection locked="true" hidden="false"/>
    </xf>
    <xf numFmtId="164" fontId="91" fillId="0" borderId="0" xfId="0" applyFont="true" applyBorder="false" applyAlignment="false" applyProtection="false">
      <alignment horizontal="general" vertical="bottom" textRotation="0" wrapText="false" indent="0" shrinkToFit="false"/>
      <protection locked="true" hidden="false"/>
    </xf>
    <xf numFmtId="164" fontId="73" fillId="0" borderId="0" xfId="0" applyFont="true" applyBorder="false" applyAlignment="false" applyProtection="false">
      <alignment horizontal="general" vertical="bottom" textRotation="0" wrapText="false" indent="0" shrinkToFit="false"/>
      <protection locked="true" hidden="false"/>
    </xf>
    <xf numFmtId="164" fontId="73" fillId="0" borderId="0" xfId="0" applyFont="true" applyBorder="false" applyAlignment="true" applyProtection="false">
      <alignment horizontal="general" vertical="top" textRotation="0" wrapText="true" indent="0" shrinkToFit="false"/>
      <protection locked="true" hidden="false"/>
    </xf>
    <xf numFmtId="166" fontId="73" fillId="0" borderId="0" xfId="0" applyFont="true" applyBorder="false" applyAlignment="false" applyProtection="false">
      <alignment horizontal="general" vertical="bottom" textRotation="0" wrapText="false" indent="0" shrinkToFit="false"/>
      <protection locked="true" hidden="false"/>
    </xf>
    <xf numFmtId="164" fontId="73" fillId="0" borderId="0" xfId="0" applyFont="true" applyBorder="false" applyAlignment="true" applyProtection="false">
      <alignment horizontal="general" vertical="bottom" textRotation="0" wrapText="true" indent="0" shrinkToFit="false"/>
      <protection locked="true" hidden="false"/>
    </xf>
    <xf numFmtId="164" fontId="24" fillId="26" borderId="41" xfId="49" applyFont="true" applyBorder="true" applyAlignment="true" applyProtection="true">
      <alignment horizontal="center" vertical="center" textRotation="0" wrapText="true" indent="0" shrinkToFit="false"/>
      <protection locked="true" hidden="false"/>
    </xf>
    <xf numFmtId="164" fontId="24" fillId="26" borderId="72" xfId="49" applyFont="true" applyBorder="true" applyAlignment="true" applyProtection="true">
      <alignment horizontal="center" vertical="center" textRotation="0" wrapText="false" indent="0" shrinkToFit="false"/>
      <protection locked="true" hidden="false"/>
    </xf>
    <xf numFmtId="164" fontId="24" fillId="26" borderId="42" xfId="49" applyFont="true" applyBorder="true" applyAlignment="true" applyProtection="true">
      <alignment horizontal="center" vertical="center" textRotation="0" wrapText="true" indent="0" shrinkToFit="false"/>
      <protection locked="true" hidden="false"/>
    </xf>
    <xf numFmtId="164" fontId="24" fillId="26" borderId="73" xfId="49" applyFont="true" applyBorder="true" applyAlignment="true" applyProtection="true">
      <alignment horizontal="center" vertical="center" textRotation="0" wrapText="true" indent="0" shrinkToFit="false"/>
      <protection locked="true" hidden="false"/>
    </xf>
    <xf numFmtId="164" fontId="24" fillId="26" borderId="65" xfId="49" applyFont="true" applyBorder="true" applyAlignment="true" applyProtection="true">
      <alignment horizontal="center" vertical="center" textRotation="0" wrapText="true" indent="0" shrinkToFit="false"/>
      <protection locked="true" hidden="false"/>
    </xf>
    <xf numFmtId="164" fontId="24" fillId="26" borderId="43" xfId="49" applyFont="true" applyBorder="true" applyAlignment="true" applyProtection="true">
      <alignment horizontal="center" vertical="center" textRotation="0" wrapText="true" indent="0" shrinkToFit="false"/>
      <protection locked="true" hidden="false"/>
    </xf>
    <xf numFmtId="164" fontId="24" fillId="26" borderId="6" xfId="49" applyFont="true" applyBorder="true" applyAlignment="true" applyProtection="true">
      <alignment horizontal="center" vertical="center" textRotation="0" wrapText="true" indent="0" shrinkToFit="false"/>
      <protection locked="true" hidden="false"/>
    </xf>
    <xf numFmtId="164" fontId="24" fillId="26" borderId="47" xfId="49" applyFont="true" applyBorder="true" applyAlignment="true" applyProtection="true">
      <alignment horizontal="center" vertical="center" textRotation="0" wrapText="true" indent="0" shrinkToFit="false"/>
      <protection locked="true" hidden="false"/>
    </xf>
    <xf numFmtId="164" fontId="24" fillId="26" borderId="46" xfId="49" applyFont="true" applyBorder="true" applyAlignment="true" applyProtection="true">
      <alignment horizontal="left" vertical="center" textRotation="0" wrapText="false" indent="0" shrinkToFit="false"/>
      <protection locked="true" hidden="false"/>
    </xf>
    <xf numFmtId="164" fontId="0" fillId="26" borderId="6" xfId="49" applyFont="true" applyBorder="true" applyAlignment="true" applyProtection="true">
      <alignment horizontal="general" vertical="center" textRotation="0" wrapText="false" indent="0" shrinkToFit="false"/>
      <protection locked="true" hidden="false"/>
    </xf>
    <xf numFmtId="164" fontId="0" fillId="26" borderId="7" xfId="49" applyFont="true" applyBorder="true" applyAlignment="true" applyProtection="true">
      <alignment horizontal="general" vertical="center" textRotation="0" wrapText="false" indent="0" shrinkToFit="false"/>
      <protection locked="true" hidden="false"/>
    </xf>
    <xf numFmtId="164" fontId="0" fillId="25" borderId="46" xfId="46" applyFont="true" applyBorder="true" applyAlignment="true" applyProtection="true">
      <alignment horizontal="center" vertical="bottom" textRotation="0" wrapText="false" indent="0" shrinkToFit="false"/>
      <protection locked="false" hidden="false"/>
    </xf>
    <xf numFmtId="164" fontId="24" fillId="25" borderId="19" xfId="46" applyFont="true" applyBorder="true" applyAlignment="true" applyProtection="true">
      <alignment horizontal="general" vertical="center" textRotation="0" wrapText="true" indent="0" shrinkToFit="false"/>
      <protection locked="true" hidden="false"/>
    </xf>
    <xf numFmtId="170" fontId="0" fillId="25" borderId="47" xfId="46" applyFont="true" applyBorder="true" applyAlignment="true" applyProtection="true">
      <alignment horizontal="center" vertical="bottom" textRotation="0" wrapText="false" indent="0" shrinkToFit="false"/>
      <protection locked="false" hidden="false"/>
    </xf>
    <xf numFmtId="171" fontId="0" fillId="25" borderId="8" xfId="46" applyFont="true" applyBorder="true" applyAlignment="true" applyProtection="true">
      <alignment horizontal="center" vertical="bottom" textRotation="0" wrapText="false" indent="0" shrinkToFit="false"/>
      <protection locked="false" hidden="false"/>
    </xf>
    <xf numFmtId="171" fontId="0" fillId="25" borderId="6" xfId="46" applyFont="true" applyBorder="true" applyAlignment="true" applyProtection="true">
      <alignment horizontal="center" vertical="bottom" textRotation="0" wrapText="false" indent="0" shrinkToFit="false"/>
      <protection locked="false" hidden="false"/>
    </xf>
    <xf numFmtId="164" fontId="92" fillId="25" borderId="7" xfId="20" applyFont="true" applyBorder="true" applyAlignment="true" applyProtection="true">
      <alignment horizontal="center" vertical="center" textRotation="0" wrapText="true" indent="0" shrinkToFit="false"/>
      <protection locked="true" hidden="false"/>
    </xf>
    <xf numFmtId="168" fontId="24" fillId="3" borderId="44" xfId="44" applyFont="true" applyBorder="true" applyAlignment="true" applyProtection="true">
      <alignment horizontal="center" vertical="bottom" textRotation="0" wrapText="true" indent="0" shrinkToFit="false"/>
      <protection locked="true" hidden="false"/>
    </xf>
    <xf numFmtId="172" fontId="0" fillId="26" borderId="46" xfId="49" applyFont="true" applyBorder="true" applyAlignment="true" applyProtection="true">
      <alignment horizontal="center" vertical="center" textRotation="0" wrapText="false" indent="0" shrinkToFit="false"/>
      <protection locked="false" hidden="false"/>
    </xf>
    <xf numFmtId="164" fontId="31" fillId="0" borderId="7" xfId="0" applyFont="true" applyBorder="true" applyAlignment="true" applyProtection="false">
      <alignment horizontal="left" vertical="top" textRotation="0" wrapText="true" indent="0" shrinkToFit="false"/>
      <protection locked="true" hidden="false"/>
    </xf>
    <xf numFmtId="164" fontId="31" fillId="24" borderId="46" xfId="0" applyFont="true" applyBorder="true" applyAlignment="true" applyProtection="true">
      <alignment horizontal="center" vertical="bottom" textRotation="0" wrapText="false" indent="0" shrinkToFit="false"/>
      <protection locked="false" hidden="false"/>
    </xf>
    <xf numFmtId="164" fontId="31" fillId="24" borderId="6" xfId="0" applyFont="true" applyBorder="true" applyAlignment="true" applyProtection="true">
      <alignment horizontal="center" vertical="bottom" textRotation="0" wrapText="false" indent="0" shrinkToFit="false"/>
      <protection locked="false" hidden="false"/>
    </xf>
    <xf numFmtId="164" fontId="31" fillId="24" borderId="47" xfId="15" applyFont="true" applyBorder="true" applyAlignment="true" applyProtection="true">
      <alignment horizontal="center" vertical="bottom" textRotation="0" wrapText="false" indent="0" shrinkToFit="false"/>
      <protection locked="false" hidden="false"/>
    </xf>
    <xf numFmtId="164" fontId="31" fillId="24" borderId="8" xfId="19" applyFont="true" applyBorder="true" applyAlignment="true" applyProtection="true">
      <alignment horizontal="center" vertical="bottom" textRotation="0" wrapText="false" indent="0" shrinkToFit="false"/>
      <protection locked="false" hidden="false"/>
    </xf>
    <xf numFmtId="164" fontId="31" fillId="24" borderId="6" xfId="19" applyFont="true" applyBorder="true" applyAlignment="true" applyProtection="true">
      <alignment horizontal="center" vertical="bottom" textRotation="0" wrapText="false" indent="0" shrinkToFit="false"/>
      <protection locked="false" hidden="false"/>
    </xf>
    <xf numFmtId="164" fontId="0" fillId="18" borderId="6" xfId="37" applyFont="false" applyBorder="true" applyAlignment="true" applyProtection="true">
      <alignment horizontal="right" vertical="center" textRotation="0" wrapText="false" indent="0" shrinkToFit="false"/>
      <protection locked="false" hidden="false"/>
    </xf>
    <xf numFmtId="168" fontId="0" fillId="3" borderId="47" xfId="44" applyFont="false" applyBorder="true" applyAlignment="true" applyProtection="true">
      <alignment horizontal="center" vertical="bottom" textRotation="0" wrapText="true" indent="0" shrinkToFit="false"/>
      <protection locked="true" hidden="false"/>
    </xf>
    <xf numFmtId="174" fontId="0" fillId="23" borderId="46" xfId="43" applyFont="false" applyBorder="true" applyAlignment="true" applyProtection="true">
      <alignment horizontal="center" vertical="center" textRotation="0" wrapText="false" indent="0" shrinkToFit="false"/>
      <protection locked="false" hidden="false"/>
    </xf>
    <xf numFmtId="164" fontId="31" fillId="0" borderId="7" xfId="0" applyFont="true" applyBorder="true" applyAlignment="true" applyProtection="false">
      <alignment horizontal="left" vertical="top" textRotation="0" wrapText="false" indent="0" shrinkToFit="false"/>
      <protection locked="true" hidden="false"/>
    </xf>
    <xf numFmtId="164" fontId="0" fillId="26" borderId="46" xfId="49" applyFont="true" applyBorder="true" applyAlignment="true" applyProtection="true">
      <alignment horizontal="center" vertical="center" textRotation="0" wrapText="false" indent="0" shrinkToFit="false"/>
      <protection locked="false" hidden="false"/>
    </xf>
    <xf numFmtId="164" fontId="31" fillId="0" borderId="46" xfId="0" applyFont="true" applyBorder="true" applyAlignment="true" applyProtection="true">
      <alignment horizontal="center" vertical="bottom" textRotation="0" wrapText="false" indent="0" shrinkToFit="false"/>
      <protection locked="false" hidden="false"/>
    </xf>
    <xf numFmtId="164" fontId="31" fillId="0" borderId="6" xfId="0" applyFont="true" applyBorder="true" applyAlignment="true" applyProtection="true">
      <alignment horizontal="center" vertical="bottom" textRotation="0" wrapText="false" indent="0" shrinkToFit="false"/>
      <protection locked="false" hidden="false"/>
    </xf>
    <xf numFmtId="164" fontId="31" fillId="0" borderId="47" xfId="0" applyFont="true" applyBorder="true" applyAlignment="true" applyProtection="false">
      <alignment horizontal="left" vertical="top" textRotation="0" wrapText="false" indent="0" shrinkToFit="false"/>
      <protection locked="true" hidden="false"/>
    </xf>
    <xf numFmtId="164" fontId="0" fillId="18" borderId="6" xfId="37" applyFont="false" applyBorder="true" applyAlignment="true" applyProtection="true">
      <alignment horizontal="right" vertical="center" textRotation="0" wrapText="false" indent="0" shrinkToFit="false"/>
      <protection locked="true" hidden="false"/>
    </xf>
    <xf numFmtId="164" fontId="0" fillId="26" borderId="7" xfId="49" applyFont="true" applyBorder="true" applyAlignment="true" applyProtection="true">
      <alignment horizontal="center" vertical="center" textRotation="0" wrapText="false" indent="0" shrinkToFit="false"/>
      <protection locked="true" hidden="false"/>
    </xf>
    <xf numFmtId="164" fontId="0" fillId="26" borderId="46" xfId="49" applyFont="true" applyBorder="true" applyAlignment="true" applyProtection="true">
      <alignment horizontal="center" vertical="center" textRotation="0" wrapText="true" indent="0" shrinkToFit="false"/>
      <protection locked="true" hidden="false"/>
    </xf>
    <xf numFmtId="164" fontId="0" fillId="26" borderId="6" xfId="49" applyFont="true" applyBorder="true" applyAlignment="true" applyProtection="true">
      <alignment horizontal="center" vertical="center" textRotation="0" wrapText="true" indent="0" shrinkToFit="false"/>
      <protection locked="true" hidden="false"/>
    </xf>
    <xf numFmtId="164" fontId="0" fillId="26" borderId="47" xfId="49" applyFont="true" applyBorder="true" applyAlignment="true" applyProtection="true">
      <alignment horizontal="center" vertical="center" textRotation="0" wrapText="true" indent="0" shrinkToFit="false"/>
      <protection locked="true" hidden="false"/>
    </xf>
    <xf numFmtId="164" fontId="0" fillId="26" borderId="8" xfId="49" applyFont="true" applyBorder="true" applyAlignment="true" applyProtection="true">
      <alignment horizontal="center" vertical="center" textRotation="0" wrapText="true" indent="0" shrinkToFit="false"/>
      <protection locked="true" hidden="false"/>
    </xf>
    <xf numFmtId="168" fontId="24" fillId="3" borderId="47" xfId="44" applyFont="true" applyBorder="true" applyAlignment="true" applyProtection="true">
      <alignment horizontal="center" vertical="bottom" textRotation="0" wrapText="true" indent="0" shrinkToFit="false"/>
      <protection locked="true" hidden="false"/>
    </xf>
    <xf numFmtId="164" fontId="31" fillId="0" borderId="8" xfId="19" applyFont="true" applyBorder="true" applyAlignment="true" applyProtection="true">
      <alignment horizontal="center" vertical="bottom" textRotation="0" wrapText="false" indent="0" shrinkToFit="false"/>
      <protection locked="false" hidden="false"/>
    </xf>
    <xf numFmtId="164" fontId="0" fillId="26" borderId="7" xfId="49" applyFont="true" applyBorder="true" applyAlignment="true" applyProtection="true">
      <alignment horizontal="center" vertical="bottom" textRotation="0" wrapText="false" indent="0" shrinkToFit="false"/>
      <protection locked="true" hidden="false"/>
    </xf>
    <xf numFmtId="164" fontId="0" fillId="26" borderId="46" xfId="49" applyFont="true" applyBorder="true" applyAlignment="true" applyProtection="true">
      <alignment horizontal="center" vertical="bottom" textRotation="0" wrapText="false" indent="0" shrinkToFit="false"/>
      <protection locked="false" hidden="false"/>
    </xf>
    <xf numFmtId="164" fontId="0" fillId="26" borderId="6" xfId="49" applyFont="true" applyBorder="true" applyAlignment="true" applyProtection="true">
      <alignment horizontal="center" vertical="bottom" textRotation="0" wrapText="false" indent="0" shrinkToFit="false"/>
      <protection locked="false" hidden="false"/>
    </xf>
    <xf numFmtId="164" fontId="0" fillId="26" borderId="47" xfId="49" applyFont="true" applyBorder="true" applyAlignment="true" applyProtection="true">
      <alignment horizontal="center" vertical="bottom" textRotation="0" wrapText="false" indent="0" shrinkToFit="false"/>
      <protection locked="false" hidden="false"/>
    </xf>
    <xf numFmtId="164" fontId="0" fillId="26" borderId="8" xfId="49" applyFont="true" applyBorder="true" applyAlignment="true" applyProtection="true">
      <alignment horizontal="center" vertical="bottom" textRotation="0" wrapText="false" indent="0" shrinkToFit="false"/>
      <protection locked="false" hidden="false"/>
    </xf>
    <xf numFmtId="164" fontId="0" fillId="26" borderId="6" xfId="49" applyFont="true" applyBorder="true" applyAlignment="true" applyProtection="true">
      <alignment horizontal="center" vertical="center" textRotation="0" wrapText="false" indent="0" shrinkToFit="false"/>
      <protection locked="false" hidden="false"/>
    </xf>
    <xf numFmtId="164" fontId="87" fillId="0" borderId="0" xfId="0" applyFont="true" applyBorder="false" applyAlignment="false" applyProtection="false">
      <alignment horizontal="general" vertical="bottom" textRotation="0" wrapText="false" indent="0" shrinkToFit="false"/>
      <protection locked="true" hidden="false"/>
    </xf>
    <xf numFmtId="174" fontId="0" fillId="23" borderId="74" xfId="43" applyFont="false" applyBorder="true" applyAlignment="true" applyProtection="true">
      <alignment horizontal="general" vertical="center" textRotation="0" wrapText="false" indent="0" shrinkToFit="false"/>
      <protection locked="false" hidden="false"/>
    </xf>
    <xf numFmtId="164" fontId="31" fillId="0" borderId="34" xfId="0" applyFont="true" applyBorder="true" applyAlignment="true" applyProtection="false">
      <alignment horizontal="left" vertical="top" textRotation="0" wrapText="false" indent="0" shrinkToFit="false"/>
      <protection locked="true" hidden="false"/>
    </xf>
    <xf numFmtId="164" fontId="0" fillId="26" borderId="6" xfId="49" applyFont="true" applyBorder="true" applyAlignment="true" applyProtection="true">
      <alignment horizontal="left" vertical="bottom" textRotation="0" wrapText="false" indent="0" shrinkToFit="false"/>
      <protection locked="true" hidden="false"/>
    </xf>
    <xf numFmtId="164" fontId="0" fillId="26" borderId="7" xfId="49" applyFont="true" applyBorder="true" applyAlignment="true" applyProtection="true">
      <alignment horizontal="left" vertical="bottom" textRotation="0" wrapText="false" indent="0" shrinkToFit="false"/>
      <protection locked="true" hidden="false"/>
    </xf>
    <xf numFmtId="172" fontId="0" fillId="26" borderId="6" xfId="49" applyFont="true" applyBorder="true" applyAlignment="true" applyProtection="true">
      <alignment horizontal="center" vertical="center" textRotation="0" wrapText="false" indent="0" shrinkToFit="false"/>
      <protection locked="false" hidden="false"/>
    </xf>
    <xf numFmtId="164" fontId="0" fillId="23" borderId="46" xfId="43" applyFont="true" applyBorder="true" applyAlignment="true" applyProtection="true">
      <alignment horizontal="general" vertical="center" textRotation="0" wrapText="true" indent="0" shrinkToFit="false"/>
      <protection locked="false" hidden="false"/>
    </xf>
    <xf numFmtId="164" fontId="0" fillId="23" borderId="7" xfId="43" applyFont="true" applyBorder="true" applyAlignment="true" applyProtection="true">
      <alignment horizontal="left" vertical="bottom" textRotation="0" wrapText="false" indent="0" shrinkToFit="false"/>
      <protection locked="false" hidden="false"/>
    </xf>
    <xf numFmtId="168" fontId="0" fillId="3" borderId="64" xfId="44" applyFont="false" applyBorder="true" applyAlignment="true" applyProtection="true">
      <alignment horizontal="center" vertical="bottom" textRotation="0" wrapText="true" indent="0" shrinkToFit="false"/>
      <protection locked="true" hidden="false"/>
    </xf>
    <xf numFmtId="164" fontId="0" fillId="23" borderId="67" xfId="43" applyFont="true" applyBorder="true" applyAlignment="true" applyProtection="true">
      <alignment horizontal="general" vertical="center" textRotation="0" wrapText="true" indent="0" shrinkToFit="false"/>
      <protection locked="false" hidden="false"/>
    </xf>
    <xf numFmtId="164" fontId="0" fillId="23" borderId="69" xfId="43" applyFont="true" applyBorder="true" applyAlignment="true" applyProtection="true">
      <alignment horizontal="left" vertical="bottom" textRotation="0" wrapText="false" indent="0" shrinkToFit="false"/>
      <protection locked="false" hidden="false"/>
    </xf>
    <xf numFmtId="164" fontId="31" fillId="24" borderId="67" xfId="0" applyFont="true" applyBorder="true" applyAlignment="true" applyProtection="true">
      <alignment horizontal="center" vertical="bottom" textRotation="0" wrapText="false" indent="0" shrinkToFit="false"/>
      <protection locked="false" hidden="false"/>
    </xf>
    <xf numFmtId="164" fontId="31" fillId="24" borderId="68" xfId="0" applyFont="true" applyBorder="true" applyAlignment="true" applyProtection="true">
      <alignment horizontal="center" vertical="bottom" textRotation="0" wrapText="false" indent="0" shrinkToFit="false"/>
      <protection locked="false" hidden="false"/>
    </xf>
    <xf numFmtId="164" fontId="31" fillId="24" borderId="75" xfId="15" applyFont="true" applyBorder="true" applyAlignment="true" applyProtection="true">
      <alignment horizontal="center" vertical="bottom" textRotation="0" wrapText="false" indent="0" shrinkToFit="false"/>
      <protection locked="false" hidden="false"/>
    </xf>
    <xf numFmtId="164" fontId="31" fillId="24" borderId="76" xfId="19" applyFont="true" applyBorder="true" applyAlignment="true" applyProtection="true">
      <alignment horizontal="center" vertical="bottom" textRotation="0" wrapText="false" indent="0" shrinkToFit="false"/>
      <protection locked="false" hidden="false"/>
    </xf>
    <xf numFmtId="164" fontId="31" fillId="24" borderId="68" xfId="19" applyFont="true" applyBorder="true" applyAlignment="true" applyProtection="true">
      <alignment horizontal="center" vertical="bottom" textRotation="0" wrapText="false" indent="0" shrinkToFit="false"/>
      <protection locked="false" hidden="false"/>
    </xf>
    <xf numFmtId="168" fontId="0" fillId="3" borderId="75" xfId="44" applyFont="false" applyBorder="true" applyAlignment="true" applyProtection="true">
      <alignment horizontal="center" vertical="bottom" textRotation="0" wrapText="true" indent="0" shrinkToFit="false"/>
      <protection locked="true" hidden="false"/>
    </xf>
    <xf numFmtId="164" fontId="31" fillId="0" borderId="0" xfId="0" applyFont="true" applyBorder="true" applyAlignment="true" applyProtection="true">
      <alignment horizontal="general" vertical="center" textRotation="0" wrapText="true" indent="0" shrinkToFit="false"/>
      <protection locked="false" hidden="false"/>
    </xf>
    <xf numFmtId="164" fontId="31" fillId="0" borderId="0" xfId="0" applyFont="true" applyBorder="true" applyAlignment="true" applyProtection="true">
      <alignment horizontal="center" vertical="bottom" textRotation="0" wrapText="false" indent="0" shrinkToFit="false"/>
      <protection locked="false" hidden="false"/>
    </xf>
    <xf numFmtId="164" fontId="31" fillId="0" borderId="0" xfId="0" applyFont="true" applyBorder="true" applyAlignment="true" applyProtection="true">
      <alignment horizontal="center" vertical="bottom" textRotation="0" wrapText="false" indent="0" shrinkToFit="false"/>
      <protection locked="false" hidden="false"/>
    </xf>
    <xf numFmtId="164" fontId="31" fillId="0" borderId="0" xfId="15" applyFont="true" applyBorder="true" applyAlignment="true" applyProtection="true">
      <alignment horizontal="center" vertical="bottom" textRotation="0" wrapText="false" indent="0" shrinkToFit="false"/>
      <protection locked="false" hidden="false"/>
    </xf>
    <xf numFmtId="164" fontId="31" fillId="0" borderId="0" xfId="19" applyFont="true" applyBorder="true" applyAlignment="true" applyProtection="true">
      <alignment horizontal="center" vertical="bottom" textRotation="0" wrapText="false" indent="0" shrinkToFit="false"/>
      <protection locked="false" hidden="false"/>
    </xf>
    <xf numFmtId="171" fontId="31" fillId="0" borderId="0" xfId="19" applyFont="true" applyBorder="true" applyAlignment="true" applyProtection="true">
      <alignment horizontal="center" vertical="center" textRotation="0" wrapText="false" indent="0" shrinkToFit="false"/>
      <protection locked="false" hidden="false"/>
    </xf>
    <xf numFmtId="172" fontId="31" fillId="0" borderId="0" xfId="19" applyFont="true" applyBorder="true" applyAlignment="true" applyProtection="true">
      <alignment horizontal="right" vertical="center" textRotation="0" wrapText="false" indent="0" shrinkToFit="false"/>
      <protection locked="false" hidden="false"/>
    </xf>
    <xf numFmtId="168" fontId="31" fillId="0" borderId="0" xfId="0" applyFont="true" applyBorder="true" applyAlignment="true" applyProtection="false">
      <alignment horizontal="center" vertical="bottom" textRotation="0" wrapText="true" indent="0" shrinkToFit="false"/>
      <protection locked="true" hidden="false"/>
    </xf>
    <xf numFmtId="164" fontId="73" fillId="0" borderId="0" xfId="0" applyFont="true" applyBorder="true" applyAlignment="true" applyProtection="true">
      <alignment horizontal="left" vertical="bottom" textRotation="0" wrapText="false" indent="0" shrinkToFit="false"/>
      <protection locked="false" hidden="false"/>
    </xf>
    <xf numFmtId="164" fontId="31" fillId="0" borderId="0" xfId="0" applyFont="true" applyBorder="true" applyAlignment="true" applyProtection="true">
      <alignment horizontal="left" vertical="bottom" textRotation="0" wrapText="false" indent="0" shrinkToFit="false"/>
      <protection locked="false" hidden="false"/>
    </xf>
    <xf numFmtId="170" fontId="19" fillId="0" borderId="0" xfId="15" applyFont="true" applyBorder="true" applyAlignment="true" applyProtection="true">
      <alignment horizontal="center" vertical="bottom" textRotation="0" wrapText="false" indent="0" shrinkToFit="false"/>
      <protection locked="false" hidden="false"/>
    </xf>
    <xf numFmtId="171" fontId="19" fillId="0" borderId="0" xfId="19" applyFont="true" applyBorder="true" applyAlignment="true" applyProtection="true">
      <alignment horizontal="center" vertical="bottom" textRotation="0" wrapText="false" indent="0" shrinkToFit="false"/>
      <protection locked="false" hidden="false"/>
    </xf>
    <xf numFmtId="168" fontId="19" fillId="0" borderId="0" xfId="0" applyFont="true" applyBorder="true" applyAlignment="true" applyProtection="false">
      <alignment horizontal="right" vertical="bottom" textRotation="0" wrapText="false" indent="0" shrinkToFit="false"/>
      <protection locked="true" hidden="false"/>
    </xf>
    <xf numFmtId="168" fontId="0" fillId="3" borderId="6" xfId="44" applyFont="false" applyBorder="true" applyAlignment="true" applyProtection="true">
      <alignment horizontal="center" vertical="bottom" textRotation="0" wrapText="true" indent="0" shrinkToFit="false"/>
      <protection locked="true" hidden="false"/>
    </xf>
    <xf numFmtId="164" fontId="94" fillId="0" borderId="0" xfId="0" applyFont="true" applyBorder="true" applyAlignment="true" applyProtection="false">
      <alignment horizontal="center" vertical="bottom" textRotation="0" wrapText="true" indent="0" shrinkToFit="false"/>
      <protection locked="true" hidden="false"/>
    </xf>
    <xf numFmtId="164" fontId="94" fillId="0" borderId="0" xfId="0" applyFont="true" applyBorder="false" applyAlignment="false" applyProtection="false">
      <alignment horizontal="general" vertical="bottom" textRotation="0" wrapText="false" indent="0" shrinkToFit="false"/>
      <protection locked="true" hidden="false"/>
    </xf>
    <xf numFmtId="164" fontId="73" fillId="0" borderId="0" xfId="0" applyFont="true" applyBorder="false" applyAlignment="true" applyProtection="false">
      <alignment horizontal="left" vertical="top" textRotation="0" wrapText="true" indent="0" shrinkToFit="false"/>
      <protection locked="true" hidden="false"/>
    </xf>
    <xf numFmtId="164" fontId="73" fillId="0" borderId="0" xfId="0" applyFont="true" applyBorder="false" applyAlignment="true" applyProtection="false">
      <alignment horizontal="center" vertical="top" textRotation="0" wrapText="true" indent="0" shrinkToFit="false"/>
      <protection locked="true" hidden="false"/>
    </xf>
    <xf numFmtId="164" fontId="19" fillId="0" borderId="0" xfId="0" applyFont="true" applyBorder="false" applyAlignment="true" applyProtection="false">
      <alignment horizontal="right" vertical="top" textRotation="0" wrapText="false" indent="0" shrinkToFit="false"/>
      <protection locked="true" hidden="false"/>
    </xf>
    <xf numFmtId="164" fontId="73" fillId="0" borderId="0" xfId="0" applyFont="true" applyBorder="false" applyAlignment="false" applyProtection="false">
      <alignment horizontal="general" vertical="bottom" textRotation="0" wrapText="false" indent="0" shrinkToFit="false"/>
      <protection locked="true" hidden="false"/>
    </xf>
    <xf numFmtId="164" fontId="73" fillId="0" borderId="0" xfId="0" applyFont="true" applyBorder="false" applyAlignment="true" applyProtection="false">
      <alignment horizontal="general" vertical="bottom" textRotation="0" wrapText="true" indent="0" shrinkToFit="false"/>
      <protection locked="true" hidden="false"/>
    </xf>
    <xf numFmtId="164" fontId="73" fillId="0" borderId="0" xfId="0" applyFont="true" applyBorder="true" applyAlignment="true" applyProtection="true">
      <alignment horizontal="center" vertical="bottom" textRotation="0" wrapText="false" indent="0" shrinkToFit="false"/>
      <protection locked="true" hidden="false"/>
    </xf>
    <xf numFmtId="164" fontId="95" fillId="0" borderId="0" xfId="0" applyFont="true" applyBorder="true" applyAlignment="true" applyProtection="false">
      <alignment horizontal="left" vertical="bottom" textRotation="0" wrapText="true" indent="0" shrinkToFit="false"/>
      <protection locked="true" hidden="false"/>
    </xf>
    <xf numFmtId="164" fontId="26" fillId="26" borderId="41" xfId="49" applyFont="true" applyBorder="true" applyAlignment="true" applyProtection="true">
      <alignment horizontal="general" vertical="bottom" textRotation="0" wrapText="false" indent="0" shrinkToFit="false"/>
      <protection locked="true" hidden="false"/>
    </xf>
    <xf numFmtId="164" fontId="26" fillId="26" borderId="65" xfId="49" applyFont="true" applyBorder="true" applyAlignment="true" applyProtection="true">
      <alignment horizontal="general" vertical="bottom" textRotation="0" wrapText="false" indent="0" shrinkToFit="false"/>
      <protection locked="true" hidden="false"/>
    </xf>
    <xf numFmtId="164" fontId="96" fillId="26" borderId="65" xfId="49" applyFont="true" applyBorder="true" applyAlignment="true" applyProtection="true">
      <alignment horizontal="left" vertical="bottom" textRotation="0" wrapText="false" indent="0" shrinkToFit="false"/>
      <protection locked="true" hidden="false"/>
    </xf>
    <xf numFmtId="164" fontId="73" fillId="26" borderId="65" xfId="49" applyFont="true" applyBorder="true" applyAlignment="true" applyProtection="true">
      <alignment horizontal="general" vertical="bottom" textRotation="0" wrapText="false" indent="0" shrinkToFit="false"/>
      <protection locked="true" hidden="false"/>
    </xf>
    <xf numFmtId="164" fontId="73" fillId="26" borderId="43" xfId="49" applyFont="true" applyBorder="true" applyAlignment="true" applyProtection="true">
      <alignment horizontal="center" vertical="bottom" textRotation="0" wrapText="false" indent="0" shrinkToFit="false"/>
      <protection locked="true" hidden="false"/>
    </xf>
    <xf numFmtId="164" fontId="26" fillId="0" borderId="0" xfId="0" applyFont="true" applyBorder="true" applyAlignment="true" applyProtection="false">
      <alignment horizontal="center" vertical="bottom" textRotation="0" wrapText="false" indent="0" shrinkToFit="false"/>
      <protection locked="true" hidden="false"/>
    </xf>
    <xf numFmtId="164" fontId="31" fillId="0" borderId="67" xfId="0" applyFont="true" applyBorder="true" applyAlignment="true" applyProtection="false">
      <alignment horizontal="center" vertical="center" textRotation="0" wrapText="false" indent="0" shrinkToFit="false"/>
      <protection locked="true" hidden="false"/>
    </xf>
    <xf numFmtId="164" fontId="31" fillId="0" borderId="6" xfId="0" applyFont="true" applyBorder="true" applyAlignment="false" applyProtection="false">
      <alignment horizontal="general" vertical="bottom" textRotation="0" wrapText="false" indent="0" shrinkToFit="false"/>
      <protection locked="true" hidden="false"/>
    </xf>
    <xf numFmtId="164" fontId="73" fillId="24" borderId="6" xfId="0" applyFont="true" applyBorder="true" applyAlignment="true" applyProtection="true">
      <alignment horizontal="center" vertical="bottom" textRotation="0" wrapText="false" indent="0" shrinkToFit="false"/>
      <protection locked="false" hidden="false"/>
    </xf>
    <xf numFmtId="164" fontId="31" fillId="25" borderId="6" xfId="0" applyFont="true" applyBorder="true" applyAlignment="true" applyProtection="false">
      <alignment horizontal="center" vertical="center" textRotation="0" wrapText="true" indent="0" shrinkToFit="false"/>
      <protection locked="true" hidden="false"/>
    </xf>
    <xf numFmtId="164" fontId="31" fillId="0" borderId="6" xfId="0" applyFont="true" applyBorder="true" applyAlignment="true" applyProtection="true">
      <alignment horizontal="right" vertical="bottom" textRotation="0" wrapText="false" indent="0" shrinkToFit="false"/>
      <protection locked="true" hidden="false"/>
    </xf>
    <xf numFmtId="164" fontId="31" fillId="24" borderId="6" xfId="0" applyFont="true" applyBorder="true" applyAlignment="false" applyProtection="true">
      <alignment horizontal="general" vertical="bottom" textRotation="0" wrapText="false" indent="0" shrinkToFit="false"/>
      <protection locked="false" hidden="false"/>
    </xf>
    <xf numFmtId="164" fontId="31" fillId="25" borderId="47" xfId="0" applyFont="true" applyBorder="true" applyAlignment="true" applyProtection="false">
      <alignment horizontal="center" vertical="center" textRotation="0" wrapText="true" indent="0" shrinkToFit="false"/>
      <protection locked="true" hidden="false"/>
    </xf>
    <xf numFmtId="164" fontId="97" fillId="0" borderId="0" xfId="0" applyFont="true" applyBorder="true" applyAlignment="true" applyProtection="true">
      <alignment horizontal="left" vertical="bottom" textRotation="0" wrapText="false" indent="0" shrinkToFit="false"/>
      <protection locked="true" hidden="false"/>
    </xf>
    <xf numFmtId="164" fontId="95" fillId="0" borderId="0" xfId="0" applyFont="true" applyBorder="true" applyAlignment="true" applyProtection="false">
      <alignment horizontal="right" vertical="bottom" textRotation="0" wrapText="true" indent="0" shrinkToFit="false"/>
      <protection locked="true" hidden="false"/>
    </xf>
    <xf numFmtId="164" fontId="73" fillId="0" borderId="0" xfId="0" applyFont="true" applyBorder="false" applyAlignment="true" applyProtection="false">
      <alignment horizontal="center" vertical="bottom" textRotation="0" wrapText="false" indent="0" shrinkToFit="false"/>
      <protection locked="true" hidden="false"/>
    </xf>
    <xf numFmtId="164" fontId="91" fillId="0" borderId="0" xfId="0" applyFont="true" applyBorder="true" applyAlignment="false" applyProtection="false">
      <alignment horizontal="general" vertical="bottom" textRotation="0" wrapText="false" indent="0" shrinkToFit="false"/>
      <protection locked="true" hidden="false"/>
    </xf>
    <xf numFmtId="164" fontId="26" fillId="0" borderId="68" xfId="0" applyFont="true" applyBorder="true" applyAlignment="false" applyProtection="false">
      <alignment horizontal="general" vertical="bottom" textRotation="0" wrapText="false" indent="0" shrinkToFit="false"/>
      <protection locked="true" hidden="false"/>
    </xf>
    <xf numFmtId="164" fontId="73" fillId="24" borderId="68" xfId="0" applyFont="true" applyBorder="true" applyAlignment="true" applyProtection="true">
      <alignment horizontal="center" vertical="bottom" textRotation="0" wrapText="false" indent="0" shrinkToFit="false"/>
      <protection locked="false" hidden="false"/>
    </xf>
    <xf numFmtId="164" fontId="31" fillId="25" borderId="68" xfId="0" applyFont="true" applyBorder="true" applyAlignment="true" applyProtection="false">
      <alignment horizontal="center" vertical="center" textRotation="0" wrapText="true" indent="0" shrinkToFit="false"/>
      <protection locked="true" hidden="false"/>
    </xf>
    <xf numFmtId="164" fontId="31" fillId="0" borderId="68" xfId="0" applyFont="true" applyBorder="true" applyAlignment="true" applyProtection="true">
      <alignment horizontal="right" vertical="bottom" textRotation="0" wrapText="false" indent="0" shrinkToFit="false"/>
      <protection locked="true" hidden="false"/>
    </xf>
    <xf numFmtId="164" fontId="31" fillId="24" borderId="68" xfId="0" applyFont="true" applyBorder="true" applyAlignment="false" applyProtection="true">
      <alignment horizontal="general" vertical="bottom" textRotation="0" wrapText="false" indent="0" shrinkToFit="false"/>
      <protection locked="false" hidden="false"/>
    </xf>
    <xf numFmtId="164" fontId="31" fillId="25" borderId="75" xfId="0" applyFont="true" applyBorder="true" applyAlignment="true" applyProtection="false">
      <alignment horizontal="center" vertical="center" textRotation="0" wrapText="true" indent="0" shrinkToFit="false"/>
      <protection locked="true" hidden="false"/>
    </xf>
    <xf numFmtId="164" fontId="73" fillId="0" borderId="0" xfId="0" applyFont="true" applyBorder="false" applyAlignment="true" applyProtection="false">
      <alignment horizontal="center" vertical="bottom" textRotation="0" wrapText="true" indent="0" shrinkToFit="false"/>
      <protection locked="true" hidden="false"/>
    </xf>
    <xf numFmtId="164" fontId="73" fillId="0" borderId="25" xfId="0" applyFont="true" applyBorder="true" applyAlignment="false" applyProtection="false">
      <alignment horizontal="general" vertical="bottom" textRotation="0" wrapText="false" indent="0" shrinkToFit="false"/>
      <protection locked="true" hidden="false"/>
    </xf>
    <xf numFmtId="164" fontId="73" fillId="0" borderId="0" xfId="0" applyFont="true" applyBorder="true" applyAlignment="false" applyProtection="false">
      <alignment horizontal="general" vertical="bottom" textRotation="0" wrapText="false" indent="0" shrinkToFit="false"/>
      <protection locked="true" hidden="false"/>
    </xf>
    <xf numFmtId="164" fontId="94" fillId="0" borderId="0" xfId="0" applyFont="true" applyBorder="true" applyAlignment="false" applyProtection="false">
      <alignment horizontal="general" vertical="bottom" textRotation="0" wrapText="false" indent="0" shrinkToFit="false"/>
      <protection locked="true" hidden="false"/>
    </xf>
    <xf numFmtId="174" fontId="73" fillId="0" borderId="0" xfId="0" applyFont="true" applyBorder="true" applyAlignment="false" applyProtection="false">
      <alignment horizontal="general" vertical="bottom" textRotation="0" wrapText="false" indent="0" shrinkToFit="false"/>
      <protection locked="true" hidden="false"/>
    </xf>
    <xf numFmtId="164" fontId="19" fillId="26" borderId="41" xfId="49" applyFont="true" applyBorder="true" applyAlignment="true" applyProtection="true">
      <alignment horizontal="general" vertical="center" textRotation="0" wrapText="true" indent="0" shrinkToFit="false"/>
      <protection locked="true" hidden="false"/>
    </xf>
    <xf numFmtId="164" fontId="19" fillId="26" borderId="65" xfId="49" applyFont="true" applyBorder="true" applyAlignment="true" applyProtection="true">
      <alignment horizontal="center" vertical="center" textRotation="0" wrapText="false" indent="0" shrinkToFit="false"/>
      <protection locked="true" hidden="false"/>
    </xf>
    <xf numFmtId="164" fontId="5" fillId="26" borderId="65" xfId="49" applyFont="true" applyBorder="true" applyAlignment="true" applyProtection="true">
      <alignment horizontal="center" vertical="center" textRotation="0" wrapText="true" indent="0" shrinkToFit="false"/>
      <protection locked="true" hidden="false"/>
    </xf>
    <xf numFmtId="164" fontId="19" fillId="26" borderId="43" xfId="49" applyFont="true" applyBorder="true" applyAlignment="true" applyProtection="true">
      <alignment horizontal="center" vertical="center" textRotation="0" wrapText="false" indent="0" shrinkToFit="false"/>
      <protection locked="true" hidden="false"/>
    </xf>
    <xf numFmtId="164" fontId="73" fillId="0" borderId="0" xfId="0" applyFont="true" applyBorder="true" applyAlignment="true" applyProtection="false">
      <alignment horizontal="center" vertical="bottom" textRotation="0" wrapText="false" indent="0" shrinkToFit="false"/>
      <protection locked="true" hidden="false"/>
    </xf>
    <xf numFmtId="164" fontId="19" fillId="0" borderId="46" xfId="0" applyFont="true" applyBorder="true" applyAlignment="true" applyProtection="false">
      <alignment horizontal="center" vertical="center" textRotation="0" wrapText="true" indent="0" shrinkToFit="false"/>
      <protection locked="true" hidden="false"/>
    </xf>
    <xf numFmtId="164" fontId="19" fillId="25" borderId="6" xfId="0" applyFont="true" applyBorder="true" applyAlignment="true" applyProtection="false">
      <alignment horizontal="center" vertical="center" textRotation="0" wrapText="true" indent="0" shrinkToFit="false"/>
      <protection locked="true" hidden="false"/>
    </xf>
    <xf numFmtId="164" fontId="0" fillId="26" borderId="6" xfId="49" applyFont="true" applyBorder="true" applyAlignment="true" applyProtection="true">
      <alignment horizontal="left" vertical="center" textRotation="0" wrapText="false" indent="0" shrinkToFit="false"/>
      <protection locked="true" hidden="false"/>
    </xf>
    <xf numFmtId="172" fontId="0" fillId="26" borderId="6" xfId="49" applyFont="true" applyBorder="true" applyAlignment="true" applyProtection="true">
      <alignment horizontal="center" vertical="center" textRotation="0" wrapText="false" indent="0" shrinkToFit="false"/>
      <protection locked="true" hidden="false"/>
    </xf>
    <xf numFmtId="164" fontId="0" fillId="26" borderId="47" xfId="49" applyFont="true" applyBorder="true" applyAlignment="true" applyProtection="true">
      <alignment horizontal="left" vertical="center" textRotation="0" wrapText="false" indent="0" shrinkToFit="false"/>
      <protection locked="true" hidden="false"/>
    </xf>
    <xf numFmtId="164" fontId="0" fillId="26" borderId="47" xfId="49" applyFont="true" applyBorder="true" applyAlignment="true" applyProtection="true">
      <alignment horizontal="center" vertical="center" textRotation="0" wrapText="false" indent="0" shrinkToFit="false"/>
      <protection locked="true" hidden="false"/>
    </xf>
    <xf numFmtId="164" fontId="31" fillId="0" borderId="46" xfId="0" applyFont="true" applyBorder="true" applyAlignment="false" applyProtection="false">
      <alignment horizontal="general" vertical="bottom" textRotation="0" wrapText="false" indent="0" shrinkToFit="false"/>
      <protection locked="true" hidden="false"/>
    </xf>
    <xf numFmtId="172" fontId="0" fillId="3" borderId="6" xfId="44" applyFont="false" applyBorder="true" applyAlignment="true" applyProtection="true">
      <alignment horizontal="center" vertical="bottom" textRotation="0" wrapText="false" indent="0" shrinkToFit="false"/>
      <protection locked="true" hidden="false"/>
    </xf>
    <xf numFmtId="164" fontId="31" fillId="24" borderId="47" xfId="0" applyFont="true" applyBorder="true" applyAlignment="true" applyProtection="true">
      <alignment horizontal="center" vertical="bottom" textRotation="0" wrapText="false" indent="0" shrinkToFit="false"/>
      <protection locked="false" hidden="false"/>
    </xf>
    <xf numFmtId="164" fontId="31" fillId="23" borderId="47" xfId="0" applyFont="true" applyBorder="true" applyAlignment="true" applyProtection="true">
      <alignment horizontal="center" vertical="bottom" textRotation="0" wrapText="false" indent="0" shrinkToFit="false"/>
      <protection locked="false" hidden="false"/>
    </xf>
    <xf numFmtId="164" fontId="85" fillId="24" borderId="6" xfId="0" applyFont="true" applyBorder="true" applyAlignment="true" applyProtection="true">
      <alignment horizontal="center" vertical="bottom" textRotation="0" wrapText="false" indent="0" shrinkToFit="false"/>
      <protection locked="false" hidden="false"/>
    </xf>
    <xf numFmtId="164" fontId="73" fillId="0" borderId="0" xfId="0" applyFont="true" applyBorder="true" applyAlignment="false" applyProtection="true">
      <alignment horizontal="general" vertical="bottom" textRotation="0" wrapText="false" indent="0" shrinkToFit="false"/>
      <protection locked="true" hidden="false"/>
    </xf>
    <xf numFmtId="164" fontId="0" fillId="26" borderId="6" xfId="49" applyFont="true" applyBorder="true" applyAlignment="true" applyProtection="true">
      <alignment horizontal="center" vertical="center" textRotation="0" wrapText="false" indent="0" shrinkToFit="false"/>
      <protection locked="true" hidden="false"/>
    </xf>
    <xf numFmtId="164" fontId="31" fillId="0" borderId="46" xfId="0" applyFont="true" applyBorder="true" applyAlignment="true" applyProtection="false">
      <alignment horizontal="general" vertical="bottom" textRotation="0" wrapText="false" indent="0" shrinkToFit="false"/>
      <protection locked="true" hidden="false"/>
    </xf>
    <xf numFmtId="164" fontId="31" fillId="24" borderId="6" xfId="0" applyFont="true" applyBorder="true" applyAlignment="true" applyProtection="true">
      <alignment horizontal="general" vertical="bottom" textRotation="0" wrapText="false" indent="0" shrinkToFit="false"/>
      <protection locked="false" hidden="false"/>
    </xf>
    <xf numFmtId="164" fontId="31" fillId="0" borderId="46" xfId="0" applyFont="true" applyBorder="true" applyAlignment="true" applyProtection="false">
      <alignment horizontal="general" vertical="bottom" textRotation="0" wrapText="false" indent="0" shrinkToFit="false"/>
      <protection locked="true" hidden="false"/>
    </xf>
    <xf numFmtId="164" fontId="24" fillId="26" borderId="63" xfId="49" applyFont="true" applyBorder="true" applyAlignment="true" applyProtection="true">
      <alignment horizontal="left" vertical="center" textRotation="0" wrapText="false" indent="0" shrinkToFit="false"/>
      <protection locked="true" hidden="false"/>
    </xf>
    <xf numFmtId="164" fontId="0" fillId="26" borderId="16" xfId="49" applyFont="true" applyBorder="true" applyAlignment="true" applyProtection="true">
      <alignment horizontal="left" vertical="center" textRotation="0" wrapText="false" indent="0" shrinkToFit="false"/>
      <protection locked="true" hidden="false"/>
    </xf>
    <xf numFmtId="164" fontId="0" fillId="26" borderId="16" xfId="49" applyFont="true" applyBorder="true" applyAlignment="true" applyProtection="true">
      <alignment horizontal="center" vertical="center" textRotation="0" wrapText="false" indent="0" shrinkToFit="false"/>
      <protection locked="true" hidden="false"/>
    </xf>
    <xf numFmtId="164" fontId="0" fillId="26" borderId="64" xfId="49" applyFont="true" applyBorder="true" applyAlignment="true" applyProtection="true">
      <alignment horizontal="center" vertical="center" textRotation="0" wrapText="false" indent="0" shrinkToFit="false"/>
      <protection locked="true" hidden="false"/>
    </xf>
    <xf numFmtId="164" fontId="38" fillId="0" borderId="77" xfId="0" applyFont="true" applyBorder="true" applyAlignment="true" applyProtection="false">
      <alignment horizontal="left" vertical="top" textRotation="0" wrapText="false" indent="0" shrinkToFit="false"/>
      <protection locked="true" hidden="false"/>
    </xf>
    <xf numFmtId="164" fontId="31" fillId="24" borderId="65" xfId="0" applyFont="true" applyBorder="true" applyAlignment="true" applyProtection="true">
      <alignment horizontal="center" vertical="bottom" textRotation="0" wrapText="false" indent="0" shrinkToFit="false"/>
      <protection locked="false" hidden="false"/>
    </xf>
    <xf numFmtId="172" fontId="0" fillId="3" borderId="65" xfId="44" applyFont="false" applyBorder="true" applyAlignment="true" applyProtection="true">
      <alignment horizontal="center" vertical="bottom" textRotation="0" wrapText="false" indent="0" shrinkToFit="false"/>
      <protection locked="true" hidden="false"/>
    </xf>
    <xf numFmtId="164" fontId="31" fillId="23" borderId="43" xfId="0" applyFont="true" applyBorder="true" applyAlignment="true" applyProtection="true">
      <alignment horizontal="center" vertical="bottom" textRotation="0" wrapText="false" indent="0" shrinkToFit="false"/>
      <protection locked="false" hidden="false"/>
    </xf>
    <xf numFmtId="164" fontId="31" fillId="24" borderId="16" xfId="0" applyFont="true" applyBorder="true" applyAlignment="true" applyProtection="true">
      <alignment horizontal="general" vertical="bottom" textRotation="0" wrapText="false" indent="0" shrinkToFit="false"/>
      <protection locked="false" hidden="false"/>
    </xf>
    <xf numFmtId="164" fontId="31" fillId="24" borderId="16" xfId="0" applyFont="true" applyBorder="true" applyAlignment="false" applyProtection="true">
      <alignment horizontal="general" vertical="bottom" textRotation="0" wrapText="false" indent="0" shrinkToFit="false"/>
      <protection locked="false" hidden="false"/>
    </xf>
    <xf numFmtId="164" fontId="31" fillId="24" borderId="64" xfId="0" applyFont="true" applyBorder="true" applyAlignment="true" applyProtection="true">
      <alignment horizontal="center" vertical="bottom" textRotation="0" wrapText="false" indent="0" shrinkToFit="false"/>
      <protection locked="false" hidden="false"/>
    </xf>
    <xf numFmtId="164" fontId="38" fillId="0" borderId="49" xfId="0" applyFont="true" applyBorder="true" applyAlignment="true" applyProtection="false">
      <alignment horizontal="left" vertical="top" textRotation="0" wrapText="false" indent="0" shrinkToFit="false"/>
      <protection locked="true" hidden="false"/>
    </xf>
    <xf numFmtId="164" fontId="31" fillId="24" borderId="16" xfId="0" applyFont="true" applyBorder="true" applyAlignment="true" applyProtection="true">
      <alignment horizontal="center" vertical="bottom" textRotation="0" wrapText="false" indent="0" shrinkToFit="false"/>
      <protection locked="false" hidden="false"/>
    </xf>
    <xf numFmtId="164" fontId="31" fillId="0" borderId="63" xfId="0" applyFont="true" applyBorder="true" applyAlignment="true" applyProtection="false">
      <alignment horizontal="general" vertical="bottom" textRotation="0" wrapText="false" indent="0" shrinkToFit="false"/>
      <protection locked="true" hidden="false"/>
    </xf>
    <xf numFmtId="164" fontId="31" fillId="0" borderId="67" xfId="0" applyFont="true" applyBorder="true" applyAlignment="false" applyProtection="false">
      <alignment horizontal="general" vertical="bottom" textRotation="0" wrapText="false" indent="0" shrinkToFit="false"/>
      <protection locked="true" hidden="false"/>
    </xf>
    <xf numFmtId="172" fontId="0" fillId="3" borderId="68" xfId="44" applyFont="false" applyBorder="true" applyAlignment="true" applyProtection="true">
      <alignment horizontal="center" vertical="bottom" textRotation="0" wrapText="false" indent="0" shrinkToFit="false"/>
      <protection locked="true" hidden="false"/>
    </xf>
    <xf numFmtId="164" fontId="31" fillId="24" borderId="75" xfId="0" applyFont="true" applyBorder="true" applyAlignment="true" applyProtection="true">
      <alignment horizontal="center" vertical="bottom" textRotation="0" wrapText="false" indent="0" shrinkToFit="false"/>
      <protection locked="false" hidden="false"/>
    </xf>
    <xf numFmtId="164" fontId="31" fillId="23" borderId="75" xfId="0" applyFont="true" applyBorder="true" applyAlignment="true" applyProtection="true">
      <alignment horizontal="center" vertical="bottom" textRotation="0" wrapText="false" indent="0" shrinkToFit="false"/>
      <protection locked="false" hidden="false"/>
    </xf>
    <xf numFmtId="164" fontId="31" fillId="0" borderId="25"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true">
      <alignment horizontal="center" vertical="bottom" textRotation="0" wrapText="false" indent="0" shrinkToFit="false"/>
      <protection locked="false" hidden="false"/>
    </xf>
    <xf numFmtId="174" fontId="19" fillId="0" borderId="0" xfId="0" applyFont="true" applyBorder="true" applyAlignment="true" applyProtection="true">
      <alignment horizontal="center" vertical="bottom" textRotation="0" wrapText="false" indent="0" shrinkToFit="false"/>
      <protection locked="false" hidden="false"/>
    </xf>
    <xf numFmtId="170" fontId="31" fillId="0" borderId="0" xfId="0" applyFont="true" applyBorder="true" applyAlignment="false" applyProtection="false">
      <alignment horizontal="general" vertical="bottom" textRotation="0" wrapText="false" indent="0" shrinkToFit="false"/>
      <protection locked="true" hidden="false"/>
    </xf>
    <xf numFmtId="175" fontId="31" fillId="0" borderId="0" xfId="0" applyFont="true" applyBorder="true" applyAlignment="false" applyProtection="false">
      <alignment horizontal="general" vertical="bottom" textRotation="0" wrapText="false" indent="0" shrinkToFit="false"/>
      <protection locked="true" hidden="false"/>
    </xf>
    <xf numFmtId="164" fontId="98" fillId="0" borderId="0" xfId="0" applyFont="true" applyBorder="false" applyAlignment="true" applyProtection="false">
      <alignment horizontal="right" vertical="bottom" textRotation="0" wrapText="false" indent="0" shrinkToFit="false"/>
      <protection locked="true" hidden="false"/>
    </xf>
    <xf numFmtId="169" fontId="0" fillId="3" borderId="6" xfId="44" applyFont="fals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70" fontId="31" fillId="0" borderId="0" xfId="0" applyFont="true" applyBorder="true" applyAlignment="true" applyProtection="false">
      <alignment horizontal="left" vertical="center" textRotation="0" wrapText="false" indent="0" shrinkToFit="false"/>
      <protection locked="true" hidden="false"/>
    </xf>
    <xf numFmtId="164" fontId="99" fillId="0" borderId="0" xfId="0" applyFont="true" applyBorder="true" applyAlignment="true" applyProtection="false">
      <alignment horizontal="center" vertical="top"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general" vertical="bottom" textRotation="0" wrapText="true" indent="0" shrinkToFit="false"/>
      <protection locked="true" hidden="false"/>
    </xf>
    <xf numFmtId="164" fontId="31" fillId="0" borderId="0" xfId="0" applyFont="true" applyBorder="true" applyAlignment="true" applyProtection="false">
      <alignment horizontal="general" vertical="bottom" textRotation="0" wrapText="true" indent="0" shrinkToFit="false"/>
      <protection locked="true" hidden="false"/>
    </xf>
    <xf numFmtId="164" fontId="31"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true">
      <alignment horizontal="center" vertical="bottom" textRotation="0" wrapText="false" indent="0" shrinkToFit="false"/>
      <protection locked="false" hidden="false"/>
    </xf>
    <xf numFmtId="170" fontId="31" fillId="0" borderId="0" xfId="0" applyFont="true" applyBorder="true" applyAlignment="false" applyProtection="false">
      <alignment horizontal="general" vertical="bottom" textRotation="0" wrapText="false" indent="0" shrinkToFit="false"/>
      <protection locked="true" hidden="false"/>
    </xf>
    <xf numFmtId="175" fontId="31" fillId="0" borderId="0" xfId="0" applyFont="true" applyBorder="true" applyAlignment="false" applyProtection="false">
      <alignment horizontal="general" vertical="bottom" textRotation="0" wrapText="false" indent="0" shrinkToFit="false"/>
      <protection locked="true" hidden="false"/>
    </xf>
    <xf numFmtId="170" fontId="31" fillId="0" borderId="0" xfId="0" applyFont="true" applyBorder="true" applyAlignment="true" applyProtection="false">
      <alignment horizontal="general" vertical="bottom" textRotation="0" wrapText="true" indent="0" shrinkToFit="false"/>
      <protection locked="true" hidden="false"/>
    </xf>
    <xf numFmtId="164" fontId="100" fillId="0" borderId="0" xfId="0" applyFont="true" applyBorder="false" applyAlignment="true" applyProtection="false">
      <alignment horizontal="center" vertical="bottom" textRotation="0" wrapText="false" indent="0" shrinkToFit="false"/>
      <protection locked="true" hidden="false"/>
    </xf>
    <xf numFmtId="164" fontId="100" fillId="0" borderId="0" xfId="0" applyFont="true" applyBorder="false" applyAlignment="false" applyProtection="false">
      <alignment horizontal="general" vertical="bottom" textRotation="0" wrapText="false" indent="0" shrinkToFit="false"/>
      <protection locked="true" hidden="false"/>
    </xf>
    <xf numFmtId="176" fontId="31" fillId="0" borderId="0" xfId="0" applyFont="true" applyBorder="true" applyAlignment="false" applyProtection="false">
      <alignment horizontal="general" vertical="bottom" textRotation="0" wrapText="false" indent="0" shrinkToFit="false"/>
      <protection locked="true" hidden="false"/>
    </xf>
    <xf numFmtId="164" fontId="19" fillId="26" borderId="41" xfId="49" applyFont="true" applyBorder="true" applyAlignment="true" applyProtection="true">
      <alignment horizontal="center" vertical="center" textRotation="0" wrapText="false" indent="0" shrinkToFit="false"/>
      <protection locked="true" hidden="false"/>
    </xf>
    <xf numFmtId="174" fontId="5" fillId="26" borderId="65" xfId="49" applyFont="true" applyBorder="true" applyAlignment="true" applyProtection="true">
      <alignment horizontal="center" vertical="center" textRotation="0" wrapText="true" indent="0" shrinkToFit="false"/>
      <protection locked="false" hidden="false"/>
    </xf>
    <xf numFmtId="164" fontId="19" fillId="26" borderId="41" xfId="49" applyFont="true" applyBorder="true" applyAlignment="true" applyProtection="true">
      <alignment horizontal="center" vertical="bottom" textRotation="0" wrapText="true" indent="0" shrinkToFit="false"/>
      <protection locked="true" hidden="false"/>
    </xf>
    <xf numFmtId="164" fontId="19" fillId="25" borderId="46" xfId="0" applyFont="true" applyBorder="true" applyAlignment="true" applyProtection="false">
      <alignment horizontal="center" vertical="center" textRotation="0" wrapText="true" indent="0" shrinkToFit="false"/>
      <protection locked="true" hidden="false"/>
    </xf>
    <xf numFmtId="164" fontId="31" fillId="25" borderId="6" xfId="0" applyFont="true" applyBorder="true" applyAlignment="true" applyProtection="false">
      <alignment horizontal="center" vertical="center" textRotation="0" wrapText="true" indent="0" shrinkToFit="false"/>
      <protection locked="true" hidden="false"/>
    </xf>
    <xf numFmtId="164" fontId="31" fillId="0" borderId="46" xfId="0" applyFont="true" applyBorder="true" applyAlignment="true" applyProtection="false">
      <alignment horizontal="left" vertical="bottom" textRotation="0" wrapText="false" indent="0" shrinkToFit="false"/>
      <protection locked="true" hidden="false"/>
    </xf>
    <xf numFmtId="174" fontId="0" fillId="3" borderId="6" xfId="44" applyFont="false" applyBorder="true" applyAlignment="true" applyProtection="true">
      <alignment horizontal="right" vertical="bottom" textRotation="0" wrapText="false" indent="0" shrinkToFit="false"/>
      <protection locked="true" hidden="false"/>
    </xf>
    <xf numFmtId="174" fontId="31" fillId="0" borderId="6" xfId="0" applyFont="true" applyBorder="true" applyAlignment="true" applyProtection="true">
      <alignment horizontal="right" vertical="bottom" textRotation="0" wrapText="false" indent="0" shrinkToFit="false"/>
      <protection locked="true" hidden="false"/>
    </xf>
    <xf numFmtId="164" fontId="0" fillId="25" borderId="47" xfId="46" applyFont="true" applyBorder="true" applyAlignment="true" applyProtection="true">
      <alignment horizontal="left" vertical="center" textRotation="0" wrapText="false" indent="0" shrinkToFit="false"/>
      <protection locked="true" hidden="false"/>
    </xf>
    <xf numFmtId="174" fontId="73" fillId="24" borderId="6" xfId="0" applyFont="true" applyBorder="true" applyAlignment="true" applyProtection="true">
      <alignment horizontal="center" vertical="bottom" textRotation="0" wrapText="false" indent="0" shrinkToFit="false"/>
      <protection locked="false" hidden="false"/>
    </xf>
    <xf numFmtId="164" fontId="31" fillId="0" borderId="46" xfId="0" applyFont="true" applyBorder="true" applyAlignment="true" applyProtection="false">
      <alignment horizontal="right" vertical="bottom" textRotation="0" wrapText="false" indent="0" shrinkToFit="false"/>
      <protection locked="true" hidden="false"/>
    </xf>
    <xf numFmtId="164" fontId="31" fillId="0" borderId="6" xfId="0" applyFont="true" applyBorder="true" applyAlignment="true" applyProtection="false">
      <alignment horizontal="left" vertical="bottom" textRotation="0" wrapText="false" indent="0" shrinkToFit="false"/>
      <protection locked="true" hidden="false"/>
    </xf>
    <xf numFmtId="174" fontId="31" fillId="24" borderId="6" xfId="0" applyFont="true" applyBorder="true" applyAlignment="true" applyProtection="true">
      <alignment horizontal="center" vertical="center" textRotation="0" wrapText="false" indent="0" shrinkToFit="false"/>
      <protection locked="false" hidden="false"/>
    </xf>
    <xf numFmtId="174" fontId="31" fillId="24" borderId="6" xfId="0" applyFont="true" applyBorder="true" applyAlignment="true" applyProtection="true">
      <alignment horizontal="center" vertical="bottom" textRotation="0" wrapText="false" indent="0" shrinkToFit="false"/>
      <protection locked="false" hidden="false"/>
    </xf>
    <xf numFmtId="164" fontId="31" fillId="0" borderId="6" xfId="0" applyFont="true" applyBorder="true" applyAlignment="false" applyProtection="false">
      <alignment horizontal="general" vertical="bottom" textRotation="0" wrapText="false" indent="0" shrinkToFit="false"/>
      <protection locked="true" hidden="false"/>
    </xf>
    <xf numFmtId="164" fontId="31" fillId="0" borderId="67" xfId="0" applyFont="true" applyBorder="true" applyAlignment="true" applyProtection="false">
      <alignment horizontal="general" vertical="bottom" textRotation="0" wrapText="false" indent="0" shrinkToFit="false"/>
      <protection locked="true" hidden="false"/>
    </xf>
    <xf numFmtId="174" fontId="73" fillId="24" borderId="68" xfId="0" applyFont="true" applyBorder="true" applyAlignment="true" applyProtection="true">
      <alignment horizontal="center" vertical="bottom" textRotation="0" wrapText="false" indent="0" shrinkToFit="false"/>
      <protection locked="false" hidden="false"/>
    </xf>
    <xf numFmtId="164" fontId="31" fillId="0" borderId="6" xfId="0" applyFont="true" applyBorder="true" applyAlignment="false" applyProtection="false">
      <alignment horizontal="general" vertical="bottom" textRotation="0" wrapText="false" indent="0" shrinkToFit="false"/>
      <protection locked="true" hidden="false"/>
    </xf>
    <xf numFmtId="164" fontId="19" fillId="0" borderId="6" xfId="0" applyFont="true" applyBorder="true" applyAlignment="true" applyProtection="false">
      <alignment horizontal="right" vertical="bottom" textRotation="0" wrapText="false" indent="0" shrinkToFit="false"/>
      <protection locked="true" hidden="false"/>
    </xf>
    <xf numFmtId="164" fontId="19" fillId="0" borderId="6" xfId="0" applyFont="true" applyBorder="true" applyAlignment="true" applyProtection="false">
      <alignment horizontal="center" vertical="bottom" textRotation="0" wrapText="false" indent="0" shrinkToFit="false"/>
      <protection locked="true" hidden="false"/>
    </xf>
    <xf numFmtId="164" fontId="19" fillId="25" borderId="6" xfId="0" applyFont="true" applyBorder="true" applyAlignment="true" applyProtection="false">
      <alignment horizontal="center" vertical="center" textRotation="0" wrapText="true" indent="0" shrinkToFit="false"/>
      <protection locked="true" hidden="false"/>
    </xf>
    <xf numFmtId="174" fontId="0" fillId="3" borderId="6" xfId="44" applyFont="false" applyBorder="true" applyAlignment="true" applyProtection="true">
      <alignment horizontal="center" vertical="bottom" textRotation="0" wrapText="false" indent="0" shrinkToFit="false"/>
      <protection locked="false" hidden="false"/>
    </xf>
    <xf numFmtId="164" fontId="9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15" fillId="24" borderId="0" xfId="0" applyFont="true" applyBorder="true" applyAlignment="true" applyProtection="false">
      <alignment horizontal="center" vertical="center" textRotation="0" wrapText="true" indent="0" shrinkToFit="false"/>
      <protection locked="true" hidden="false"/>
    </xf>
    <xf numFmtId="170" fontId="31" fillId="0" borderId="0" xfId="0" applyFont="true" applyBorder="true" applyAlignment="true" applyProtection="false">
      <alignment horizontal="left" vertical="bottom" textRotation="0" wrapText="false" indent="0" shrinkToFit="false"/>
      <protection locked="true" hidden="false"/>
    </xf>
    <xf numFmtId="174" fontId="31" fillId="24" borderId="6" xfId="0" applyFont="true" applyBorder="true" applyAlignment="true" applyProtection="true">
      <alignment horizontal="right" vertical="bottom" textRotation="0" wrapText="false" indent="0" shrinkToFit="false"/>
      <protection locked="false" hidden="false"/>
    </xf>
    <xf numFmtId="164" fontId="73" fillId="0" borderId="0" xfId="0" applyFont="true" applyBorder="true" applyAlignment="true" applyProtection="false">
      <alignment horizontal="left" vertical="bottom" textRotation="0" wrapText="false" indent="0" shrinkToFit="false"/>
      <protection locked="true" hidden="false"/>
    </xf>
    <xf numFmtId="164" fontId="31" fillId="0" borderId="6" xfId="0" applyFont="true" applyBorder="true" applyAlignment="true" applyProtection="false">
      <alignment horizontal="left" vertical="bottom" textRotation="0" wrapText="false" indent="0" shrinkToFit="false"/>
      <protection locked="true" hidden="false"/>
    </xf>
    <xf numFmtId="174" fontId="31" fillId="0" borderId="6" xfId="0" applyFont="true" applyBorder="true" applyAlignment="true" applyProtection="true">
      <alignment horizontal="center" vertical="bottom" textRotation="0" wrapText="false" indent="0" shrinkToFit="false"/>
      <protection locked="false" hidden="false"/>
    </xf>
    <xf numFmtId="164" fontId="31" fillId="0" borderId="67" xfId="0" applyFont="true" applyBorder="true" applyAlignment="true" applyProtection="false">
      <alignment horizontal="left" vertical="bottom" textRotation="0" wrapText="false" indent="0" shrinkToFit="false"/>
      <protection locked="true" hidden="false"/>
    </xf>
    <xf numFmtId="164" fontId="31" fillId="0" borderId="68" xfId="0" applyFont="true" applyBorder="true" applyAlignment="true" applyProtection="false">
      <alignment horizontal="left" vertical="bottom" textRotation="0" wrapText="false" indent="0" shrinkToFit="false"/>
      <protection locked="true" hidden="false"/>
    </xf>
    <xf numFmtId="174" fontId="31" fillId="24" borderId="68" xfId="0" applyFont="true" applyBorder="true" applyAlignment="true" applyProtection="true">
      <alignment horizontal="center" vertical="bottom" textRotation="0" wrapText="false" indent="0" shrinkToFit="false"/>
      <protection locked="false" hidden="false"/>
    </xf>
    <xf numFmtId="164" fontId="32" fillId="0" borderId="0" xfId="0" applyFont="true" applyBorder="true" applyAlignment="true" applyProtection="false">
      <alignment horizontal="left" vertical="bottom" textRotation="0" wrapText="false" indent="0" shrinkToFit="false"/>
      <protection locked="true" hidden="false"/>
    </xf>
    <xf numFmtId="164" fontId="31" fillId="0" borderId="0" xfId="0" applyFont="true" applyBorder="true" applyAlignment="true" applyProtection="false">
      <alignment horizontal="left" vertical="bottom" textRotation="0" wrapText="false" indent="0" shrinkToFit="false"/>
      <protection locked="true" hidden="false"/>
    </xf>
    <xf numFmtId="174" fontId="31" fillId="0" borderId="0" xfId="0" applyFont="true" applyBorder="true" applyAlignment="true" applyProtection="true">
      <alignment horizontal="center" vertical="bottom" textRotation="0" wrapText="false" indent="0" shrinkToFit="false"/>
      <protection locked="false" hidden="false"/>
    </xf>
    <xf numFmtId="164" fontId="19" fillId="0" borderId="6" xfId="0" applyFont="true" applyBorder="true" applyAlignment="true" applyProtection="false">
      <alignment horizontal="left" vertical="bottom" textRotation="0" wrapText="false" indent="0" shrinkToFit="false"/>
      <protection locked="true" hidden="false"/>
    </xf>
    <xf numFmtId="174" fontId="19" fillId="0" borderId="6" xfId="0" applyFont="true" applyBorder="true" applyAlignment="true" applyProtection="false">
      <alignment horizontal="center" vertical="bottom" textRotation="0" wrapText="false" indent="0" shrinkToFit="false"/>
      <protection locked="true" hidden="false"/>
    </xf>
    <xf numFmtId="164" fontId="94" fillId="0" borderId="0" xfId="0" applyFont="true" applyBorder="true" applyAlignment="true" applyProtection="false">
      <alignment horizontal="center" vertical="bottom" textRotation="0" wrapText="false" indent="0" shrinkToFit="false"/>
      <protection locked="true" hidden="false"/>
    </xf>
    <xf numFmtId="164" fontId="94" fillId="0" borderId="0" xfId="0" applyFont="true" applyBorder="true" applyAlignment="true" applyProtection="false">
      <alignment horizontal="left" vertical="bottom" textRotation="0" wrapText="false" indent="0" shrinkToFit="false"/>
      <protection locked="true" hidden="false"/>
    </xf>
    <xf numFmtId="168" fontId="73" fillId="0" borderId="0" xfId="0" applyFont="true" applyBorder="true" applyAlignment="false" applyProtection="false">
      <alignment horizontal="general" vertical="bottom" textRotation="0" wrapText="false" indent="0" shrinkToFit="false"/>
      <protection locked="true" hidden="false"/>
    </xf>
    <xf numFmtId="170" fontId="19"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8" fontId="82" fillId="0" borderId="0" xfId="0" applyFont="true" applyBorder="true" applyAlignment="true" applyProtection="false">
      <alignment horizontal="general" vertical="bottom" textRotation="0" wrapText="true" indent="0" shrinkToFit="false"/>
      <protection locked="true" hidden="false"/>
    </xf>
    <xf numFmtId="177" fontId="73" fillId="0" borderId="0" xfId="0" applyFont="true" applyBorder="true" applyAlignment="false" applyProtection="false">
      <alignment horizontal="general" vertical="bottom" textRotation="0" wrapText="false" indent="0" shrinkToFit="false"/>
      <protection locked="true" hidden="false"/>
    </xf>
    <xf numFmtId="164" fontId="95" fillId="0" borderId="0" xfId="0" applyFont="true" applyBorder="true" applyAlignment="true" applyProtection="false">
      <alignment horizontal="left" vertical="bottom" textRotation="0" wrapText="false" indent="0" shrinkToFit="false"/>
      <protection locked="true" hidden="false"/>
    </xf>
    <xf numFmtId="164" fontId="73" fillId="0" borderId="0" xfId="0" applyFont="true" applyBorder="true" applyAlignment="false" applyProtection="false">
      <alignment horizontal="general" vertical="bottom" textRotation="0" wrapText="false" indent="0" shrinkToFit="false"/>
      <protection locked="true" hidden="false"/>
    </xf>
    <xf numFmtId="164" fontId="8" fillId="26" borderId="40" xfId="49" applyFont="true" applyBorder="true" applyAlignment="true" applyProtection="true">
      <alignment horizontal="center" vertical="bottom" textRotation="0" wrapText="false" indent="0" shrinkToFit="false"/>
      <protection locked="true" hidden="false"/>
    </xf>
    <xf numFmtId="164" fontId="94" fillId="0" borderId="25" xfId="0" applyFont="true" applyBorder="true" applyAlignment="true" applyProtection="false">
      <alignment horizontal="general" vertical="bottom" textRotation="0" wrapText="true" indent="0" shrinkToFit="false"/>
      <protection locked="true" hidden="false"/>
    </xf>
    <xf numFmtId="164" fontId="5" fillId="26" borderId="49" xfId="49" applyFont="true" applyBorder="true" applyAlignment="true" applyProtection="true">
      <alignment horizontal="center" vertical="center" textRotation="0" wrapText="true" indent="0" shrinkToFit="false"/>
      <protection locked="true" hidden="false"/>
    </xf>
    <xf numFmtId="164" fontId="5" fillId="26" borderId="7" xfId="49" applyFont="true" applyBorder="true" applyAlignment="true" applyProtection="true">
      <alignment horizontal="center" vertical="center" textRotation="0" wrapText="true" indent="0" shrinkToFit="false"/>
      <protection locked="true" hidden="false"/>
    </xf>
    <xf numFmtId="164" fontId="5" fillId="26" borderId="6" xfId="49" applyFont="true" applyBorder="true" applyAlignment="true" applyProtection="true">
      <alignment horizontal="center" vertical="center" textRotation="0" wrapText="true" indent="0" shrinkToFit="false"/>
      <protection locked="false" hidden="false"/>
    </xf>
    <xf numFmtId="164" fontId="5" fillId="26" borderId="46" xfId="49" applyFont="true" applyBorder="true" applyAlignment="true" applyProtection="true">
      <alignment horizontal="center" vertical="center" textRotation="0" wrapText="true" indent="0" shrinkToFit="false"/>
      <protection locked="false" hidden="false"/>
    </xf>
    <xf numFmtId="164" fontId="5" fillId="26" borderId="47" xfId="49" applyFont="true" applyBorder="true" applyAlignment="true" applyProtection="true">
      <alignment horizontal="center" vertical="center" textRotation="0" wrapText="true" indent="0" shrinkToFit="false"/>
      <protection locked="true" hidden="false"/>
    </xf>
    <xf numFmtId="164" fontId="94" fillId="0" borderId="51" xfId="0" applyFont="true" applyBorder="true" applyAlignment="true" applyProtection="false">
      <alignment horizontal="general" vertical="bottom" textRotation="0" wrapText="true" indent="0" shrinkToFit="false"/>
      <protection locked="true" hidden="false"/>
    </xf>
    <xf numFmtId="164" fontId="31" fillId="25" borderId="8" xfId="0" applyFont="true" applyBorder="true" applyAlignment="true" applyProtection="false">
      <alignment horizontal="center" vertical="center" textRotation="0" wrapText="true" indent="0" shrinkToFit="false"/>
      <protection locked="true" hidden="false"/>
    </xf>
    <xf numFmtId="171" fontId="31" fillId="25" borderId="6" xfId="19" applyFont="true" applyBorder="true" applyAlignment="true" applyProtection="true">
      <alignment horizontal="center" vertical="center" textRotation="0" wrapText="true" indent="0" shrinkToFit="false"/>
      <protection locked="true" hidden="false"/>
    </xf>
    <xf numFmtId="171" fontId="31" fillId="25" borderId="7" xfId="19" applyFont="true" applyBorder="true" applyAlignment="true" applyProtection="true">
      <alignment horizontal="center" vertical="center" textRotation="0" wrapText="true" indent="0" shrinkToFit="false"/>
      <protection locked="true" hidden="false"/>
    </xf>
    <xf numFmtId="164" fontId="31" fillId="25" borderId="46" xfId="0" applyFont="true" applyBorder="true" applyAlignment="true" applyProtection="false">
      <alignment horizontal="center" vertical="center" textRotation="0" wrapText="true" indent="0" shrinkToFit="false"/>
      <protection locked="true" hidden="false"/>
    </xf>
    <xf numFmtId="164" fontId="24" fillId="26" borderId="45" xfId="49" applyFont="true" applyBorder="true" applyAlignment="true" applyProtection="true">
      <alignment horizontal="left" vertical="center" textRotation="0" wrapText="true" indent="0" shrinkToFit="false"/>
      <protection locked="true" hidden="false"/>
    </xf>
    <xf numFmtId="164" fontId="0" fillId="25" borderId="8" xfId="46" applyFont="true" applyBorder="true" applyAlignment="true" applyProtection="true">
      <alignment horizontal="left" vertical="center" textRotation="0" wrapText="false" indent="0" shrinkToFit="false"/>
      <protection locked="true" hidden="false"/>
    </xf>
    <xf numFmtId="164" fontId="0" fillId="25" borderId="6" xfId="46" applyFont="true" applyBorder="true" applyAlignment="true" applyProtection="true">
      <alignment horizontal="left" vertical="center" textRotation="0" wrapText="false" indent="0" shrinkToFit="false"/>
      <protection locked="true" hidden="false"/>
    </xf>
    <xf numFmtId="164" fontId="0" fillId="25" borderId="7" xfId="46" applyFont="true" applyBorder="true" applyAlignment="true" applyProtection="true">
      <alignment horizontal="left" vertical="center" textRotation="0" wrapText="false" indent="0" shrinkToFit="false"/>
      <protection locked="true" hidden="false"/>
    </xf>
    <xf numFmtId="164" fontId="0" fillId="25" borderId="46" xfId="46" applyFont="true" applyBorder="true" applyAlignment="true" applyProtection="true">
      <alignment horizontal="left" vertical="center" textRotation="0" wrapText="false" indent="0" shrinkToFit="false"/>
      <protection locked="true" hidden="false"/>
    </xf>
    <xf numFmtId="164" fontId="0" fillId="25" borderId="47" xfId="46" applyFont="true" applyBorder="true" applyAlignment="true" applyProtection="true">
      <alignment horizontal="center" vertical="center" textRotation="0" wrapText="false" indent="0" shrinkToFit="false"/>
      <protection locked="true" hidden="false"/>
    </xf>
    <xf numFmtId="164" fontId="31" fillId="0" borderId="59" xfId="0" applyFont="true" applyBorder="true" applyAlignment="false" applyProtection="false">
      <alignment horizontal="general" vertical="bottom" textRotation="0" wrapText="false" indent="0" shrinkToFit="false"/>
      <protection locked="true" hidden="false"/>
    </xf>
    <xf numFmtId="164" fontId="31" fillId="24" borderId="8" xfId="0" applyFont="true" applyBorder="true" applyAlignment="false" applyProtection="true">
      <alignment horizontal="general" vertical="bottom" textRotation="0" wrapText="false" indent="0" shrinkToFit="false"/>
      <protection locked="false" hidden="false"/>
    </xf>
    <xf numFmtId="171" fontId="0" fillId="22" borderId="6" xfId="41" applyFont="true" applyBorder="true" applyAlignment="true" applyProtection="true">
      <alignment horizontal="center" vertical="bottom" textRotation="0" wrapText="false" indent="0" shrinkToFit="false"/>
      <protection locked="false" hidden="false"/>
    </xf>
    <xf numFmtId="169" fontId="0" fillId="3" borderId="7" xfId="44" applyFont="false" applyBorder="true" applyAlignment="true" applyProtection="true">
      <alignment horizontal="center" vertical="bottom" textRotation="0" wrapText="false" indent="0" shrinkToFit="false"/>
      <protection locked="false" hidden="false"/>
    </xf>
    <xf numFmtId="169" fontId="0" fillId="3" borderId="49" xfId="44" applyFont="false" applyBorder="true" applyAlignment="true" applyProtection="true">
      <alignment horizontal="center" vertical="bottom" textRotation="0" wrapText="false" indent="0" shrinkToFit="false"/>
      <protection locked="false" hidden="false"/>
    </xf>
    <xf numFmtId="164" fontId="0" fillId="23" borderId="47" xfId="43" applyFont="false" applyBorder="true" applyAlignment="true" applyProtection="true">
      <alignment horizontal="center" vertical="bottom" textRotation="0" wrapText="false" indent="0" shrinkToFit="false"/>
      <protection locked="false" hidden="false"/>
    </xf>
    <xf numFmtId="171" fontId="0" fillId="22" borderId="6" xfId="41" applyFont="false" applyBorder="true" applyAlignment="true" applyProtection="true">
      <alignment horizontal="center" vertical="bottom" textRotation="0" wrapText="false" indent="0" shrinkToFit="false"/>
      <protection locked="false" hidden="false"/>
    </xf>
    <xf numFmtId="164" fontId="31" fillId="24" borderId="6" xfId="0" applyFont="true" applyBorder="true" applyAlignment="true" applyProtection="true">
      <alignment horizontal="center" vertical="bottom" textRotation="0" wrapText="false" indent="0" shrinkToFit="false"/>
      <protection locked="false" hidden="false"/>
    </xf>
    <xf numFmtId="174" fontId="0" fillId="3" borderId="49" xfId="44" applyFont="false" applyBorder="true" applyAlignment="true" applyProtection="true">
      <alignment horizontal="center" vertical="bottom" textRotation="0" wrapText="false" indent="0" shrinkToFit="false"/>
      <protection locked="false" hidden="false"/>
    </xf>
    <xf numFmtId="164" fontId="0" fillId="22" borderId="63" xfId="41" applyFont="false" applyBorder="true" applyAlignment="true" applyProtection="true">
      <alignment horizontal="general" vertical="bottom" textRotation="0" wrapText="false" indent="0" shrinkToFit="false"/>
      <protection locked="false" hidden="false"/>
    </xf>
    <xf numFmtId="164" fontId="31" fillId="30" borderId="59" xfId="0" applyFont="true" applyBorder="true" applyAlignment="false" applyProtection="true">
      <alignment horizontal="general" vertical="bottom" textRotation="0" wrapText="false" indent="0" shrinkToFit="false"/>
      <protection locked="false" hidden="false"/>
    </xf>
    <xf numFmtId="171" fontId="31" fillId="24" borderId="6" xfId="19" applyFont="true" applyBorder="true" applyAlignment="true" applyProtection="true">
      <alignment horizontal="center" vertical="bottom" textRotation="0" wrapText="false" indent="0" shrinkToFit="false"/>
      <protection locked="false" hidden="false"/>
    </xf>
    <xf numFmtId="164" fontId="0" fillId="22" borderId="74" xfId="41" applyFont="false" applyBorder="true" applyAlignment="true" applyProtection="true">
      <alignment horizontal="general" vertical="bottom" textRotation="0" wrapText="false" indent="0" shrinkToFit="false"/>
      <protection locked="false" hidden="false"/>
    </xf>
    <xf numFmtId="164" fontId="24" fillId="26" borderId="45" xfId="49" applyFont="true" applyBorder="true" applyAlignment="true" applyProtection="true">
      <alignment horizontal="left" vertical="center" textRotation="0" wrapText="false" indent="0" shrinkToFit="false"/>
      <protection locked="true" hidden="false"/>
    </xf>
    <xf numFmtId="164" fontId="0" fillId="25" borderId="15" xfId="46" applyFont="true" applyBorder="true" applyAlignment="true" applyProtection="true">
      <alignment horizontal="left" vertical="center" textRotation="0" wrapText="false" indent="0" shrinkToFit="false"/>
      <protection locked="true" hidden="false"/>
    </xf>
    <xf numFmtId="164" fontId="31" fillId="30" borderId="78" xfId="0" applyFont="true" applyBorder="true" applyAlignment="false" applyProtection="true">
      <alignment horizontal="general" vertical="bottom" textRotation="0" wrapText="false" indent="0" shrinkToFit="false"/>
      <protection locked="false" hidden="false"/>
    </xf>
    <xf numFmtId="164" fontId="0" fillId="22" borderId="8" xfId="41" applyFont="false" applyBorder="true" applyAlignment="true" applyProtection="true">
      <alignment horizontal="general" vertical="bottom" textRotation="0" wrapText="false" indent="0" shrinkToFit="false"/>
      <protection locked="false" hidden="false"/>
    </xf>
    <xf numFmtId="164" fontId="31" fillId="24" borderId="8" xfId="0" applyFont="true" applyBorder="true" applyAlignment="true" applyProtection="true">
      <alignment horizontal="center" vertical="bottom" textRotation="0" wrapText="false" indent="0" shrinkToFit="false"/>
      <protection locked="false" hidden="false"/>
    </xf>
    <xf numFmtId="164" fontId="0" fillId="25" borderId="33" xfId="46" applyFont="true" applyBorder="true" applyAlignment="true" applyProtection="true">
      <alignment horizontal="left" vertical="center" textRotation="0" wrapText="false" indent="0" shrinkToFit="false"/>
      <protection locked="true" hidden="false"/>
    </xf>
    <xf numFmtId="164" fontId="101" fillId="25" borderId="6" xfId="46" applyFont="true" applyBorder="true" applyAlignment="true" applyProtection="true">
      <alignment horizontal="left" vertical="center" textRotation="0" wrapText="false" indent="0" shrinkToFit="false"/>
      <protection locked="true" hidden="false"/>
    </xf>
    <xf numFmtId="164" fontId="31" fillId="0" borderId="78" xfId="0" applyFont="true" applyBorder="true" applyAlignment="false" applyProtection="false">
      <alignment horizontal="general" vertical="bottom" textRotation="0" wrapText="false" indent="0" shrinkToFit="false"/>
      <protection locked="true" hidden="false"/>
    </xf>
    <xf numFmtId="171" fontId="0" fillId="0" borderId="6" xfId="41" applyFont="false" applyBorder="true" applyAlignment="true" applyProtection="true">
      <alignment horizontal="center" vertical="bottom" textRotation="0" wrapText="false" indent="0" shrinkToFit="false"/>
      <protection locked="false" hidden="false"/>
    </xf>
    <xf numFmtId="164" fontId="0" fillId="22" borderId="49" xfId="41" applyFont="false" applyBorder="true" applyAlignment="true" applyProtection="true">
      <alignment horizontal="center" vertical="bottom" textRotation="0" wrapText="false" indent="0" shrinkToFit="false"/>
      <protection locked="false" hidden="false"/>
    </xf>
    <xf numFmtId="164" fontId="31" fillId="0" borderId="59" xfId="0" applyFont="true" applyBorder="true" applyAlignment="false" applyProtection="true">
      <alignment horizontal="general" vertical="bottom" textRotation="0" wrapText="false" indent="0" shrinkToFit="false"/>
      <protection locked="false" hidden="false"/>
    </xf>
    <xf numFmtId="164" fontId="31" fillId="30" borderId="59" xfId="0" applyFont="true" applyBorder="true" applyAlignment="false" applyProtection="false">
      <alignment horizontal="general" vertical="bottom" textRotation="0" wrapText="false" indent="0" shrinkToFit="false"/>
      <protection locked="true" hidden="false"/>
    </xf>
    <xf numFmtId="171" fontId="0" fillId="18" borderId="6" xfId="37" applyFont="false" applyBorder="true" applyAlignment="true" applyProtection="true">
      <alignment horizontal="center" vertical="bottom" textRotation="0" wrapText="false" indent="0" shrinkToFit="false"/>
      <protection locked="false" hidden="false"/>
    </xf>
    <xf numFmtId="174" fontId="0" fillId="3" borderId="46" xfId="44" applyFont="false" applyBorder="true" applyAlignment="true" applyProtection="true">
      <alignment horizontal="center" vertical="bottom" textRotation="0" wrapText="false" indent="0" shrinkToFit="false"/>
      <protection locked="false" hidden="false"/>
    </xf>
    <xf numFmtId="178" fontId="73" fillId="0" borderId="0" xfId="0" applyFont="true" applyBorder="true" applyAlignment="true" applyProtection="false">
      <alignment horizontal="center" vertical="bottom" textRotation="0" wrapText="false" indent="0" shrinkToFit="false"/>
      <protection locked="true" hidden="false"/>
    </xf>
    <xf numFmtId="164" fontId="0" fillId="22" borderId="74" xfId="41" applyFont="false" applyBorder="true" applyAlignment="true" applyProtection="true">
      <alignment horizontal="general" vertical="top" textRotation="0" wrapText="false" indent="0" shrinkToFit="false"/>
      <protection locked="false" hidden="false"/>
    </xf>
    <xf numFmtId="164" fontId="0" fillId="22" borderId="48" xfId="41" applyFont="false" applyBorder="true" applyAlignment="true" applyProtection="true">
      <alignment horizontal="general" vertical="bottom" textRotation="0" wrapText="false" indent="0" shrinkToFit="false"/>
      <protection locked="false" hidden="false"/>
    </xf>
    <xf numFmtId="164" fontId="0" fillId="22" borderId="8" xfId="41" applyFont="true" applyBorder="true" applyAlignment="true" applyProtection="true">
      <alignment horizontal="general" vertical="bottom" textRotation="0" wrapText="false" indent="0" shrinkToFit="false"/>
      <protection locked="false" hidden="false"/>
    </xf>
    <xf numFmtId="164" fontId="96" fillId="24" borderId="8" xfId="0" applyFont="true" applyBorder="true" applyAlignment="true" applyProtection="false">
      <alignment horizontal="left" vertical="center" textRotation="0" wrapText="false" indent="0" shrinkToFit="false"/>
      <protection locked="true" hidden="false"/>
    </xf>
    <xf numFmtId="164" fontId="96" fillId="24" borderId="6" xfId="0" applyFont="true" applyBorder="true" applyAlignment="true" applyProtection="false">
      <alignment horizontal="left" vertical="center" textRotation="0" wrapText="false" indent="0" shrinkToFit="false"/>
      <protection locked="true" hidden="false"/>
    </xf>
    <xf numFmtId="164" fontId="96" fillId="24" borderId="46" xfId="0" applyFont="true" applyBorder="true" applyAlignment="true" applyProtection="false">
      <alignment horizontal="center" vertical="center" textRotation="0" wrapText="false" indent="0" shrinkToFit="false"/>
      <protection locked="true" hidden="false"/>
    </xf>
    <xf numFmtId="164" fontId="24" fillId="26" borderId="58" xfId="49" applyFont="true" applyBorder="true" applyAlignment="true" applyProtection="true">
      <alignment horizontal="left" vertical="center" textRotation="0" wrapText="false" indent="0" shrinkToFit="false"/>
      <protection locked="true" hidden="false"/>
    </xf>
    <xf numFmtId="164" fontId="96" fillId="24" borderId="76" xfId="0" applyFont="true" applyBorder="true" applyAlignment="true" applyProtection="false">
      <alignment horizontal="left" vertical="center" textRotation="0" wrapText="false" indent="0" shrinkToFit="false"/>
      <protection locked="true" hidden="false"/>
    </xf>
    <xf numFmtId="164" fontId="96" fillId="24" borderId="68" xfId="0" applyFont="true" applyBorder="true" applyAlignment="true" applyProtection="false">
      <alignment horizontal="left" vertical="center" textRotation="0" wrapText="false" indent="0" shrinkToFit="false"/>
      <protection locked="true" hidden="false"/>
    </xf>
    <xf numFmtId="169" fontId="0" fillId="3" borderId="69" xfId="44" applyFont="false" applyBorder="true" applyAlignment="true" applyProtection="true">
      <alignment horizontal="center" vertical="bottom" textRotation="0" wrapText="false" indent="0" shrinkToFit="false"/>
      <protection locked="false" hidden="false"/>
    </xf>
    <xf numFmtId="164" fontId="0" fillId="22" borderId="79" xfId="41" applyFont="false" applyBorder="true" applyAlignment="true" applyProtection="true">
      <alignment horizontal="general" vertical="bottom" textRotation="0" wrapText="false" indent="0" shrinkToFit="false"/>
      <protection locked="false" hidden="false"/>
    </xf>
    <xf numFmtId="164" fontId="0" fillId="23" borderId="75" xfId="43" applyFont="false" applyBorder="true" applyAlignment="true" applyProtection="true">
      <alignment horizontal="center" vertical="bottom" textRotation="0" wrapText="false" indent="0" shrinkToFit="false"/>
      <protection locked="false" hidden="false"/>
    </xf>
    <xf numFmtId="164" fontId="96" fillId="24" borderId="67" xfId="0" applyFont="true" applyBorder="true" applyAlignment="true" applyProtection="false">
      <alignment horizontal="center" vertical="center" textRotation="0" wrapText="false" indent="0" shrinkToFit="false"/>
      <protection locked="true" hidden="false"/>
    </xf>
    <xf numFmtId="164" fontId="32" fillId="0" borderId="25" xfId="0" applyFont="true" applyBorder="true" applyAlignment="false" applyProtection="true">
      <alignment horizontal="general" vertical="bottom" textRotation="0" wrapText="false" indent="0" shrinkToFit="false"/>
      <protection locked="false" hidden="false"/>
    </xf>
    <xf numFmtId="164" fontId="32" fillId="0" borderId="0" xfId="0" applyFont="true" applyBorder="true" applyAlignment="false" applyProtection="true">
      <alignment horizontal="general" vertical="bottom" textRotation="0" wrapText="false" indent="0" shrinkToFit="false"/>
      <protection locked="false" hidden="false"/>
    </xf>
    <xf numFmtId="164" fontId="32" fillId="0" borderId="0" xfId="19" applyFont="true" applyBorder="true" applyAlignment="true" applyProtection="true">
      <alignment horizontal="center" vertical="bottom" textRotation="0" wrapText="false" indent="0" shrinkToFit="false"/>
      <protection locked="false" hidden="false"/>
    </xf>
    <xf numFmtId="164" fontId="32" fillId="0" borderId="0" xfId="0" applyFont="true" applyBorder="true" applyAlignment="true" applyProtection="true">
      <alignment horizontal="center" vertical="bottom" textRotation="0" wrapText="false" indent="0" shrinkToFit="false"/>
      <protection locked="false" hidden="false"/>
    </xf>
    <xf numFmtId="171" fontId="32" fillId="0" borderId="0" xfId="19" applyFont="true" applyBorder="true" applyAlignment="true" applyProtection="true">
      <alignment horizontal="center" vertical="bottom" textRotation="0" wrapText="false" indent="0" shrinkToFit="false"/>
      <protection locked="fals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9" fillId="0" borderId="6" xfId="0" applyFont="true" applyBorder="true" applyAlignment="true" applyProtection="false">
      <alignment horizontal="center" vertical="bottom" textRotation="0" wrapText="false" indent="0" shrinkToFit="false"/>
      <protection locked="true" hidden="false"/>
    </xf>
    <xf numFmtId="164" fontId="102" fillId="0" borderId="0" xfId="0" applyFont="true" applyBorder="true" applyAlignment="false" applyProtection="false">
      <alignment horizontal="general" vertical="bottom" textRotation="0" wrapText="false" indent="0" shrinkToFit="false"/>
      <protection locked="true" hidden="false"/>
    </xf>
    <xf numFmtId="174" fontId="102" fillId="0" borderId="0" xfId="0" applyFont="true" applyBorder="true" applyAlignment="false" applyProtection="false">
      <alignment horizontal="general" vertical="bottom" textRotation="0" wrapText="false" indent="0" shrinkToFit="false"/>
      <protection locked="true" hidden="false"/>
    </xf>
    <xf numFmtId="179" fontId="94" fillId="0" borderId="0" xfId="0" applyFont="true" applyBorder="true" applyAlignment="false" applyProtection="false">
      <alignment horizontal="general" vertical="bottom" textRotation="0" wrapText="false" indent="0" shrinkToFit="false"/>
      <protection locked="true" hidden="false"/>
    </xf>
    <xf numFmtId="164" fontId="19" fillId="0" borderId="6" xfId="0" applyFont="true" applyBorder="true" applyAlignment="true" applyProtection="true">
      <alignment horizontal="center" vertical="center" textRotation="0" wrapText="true" indent="0" shrinkToFit="false"/>
      <protection locked="false" hidden="false"/>
    </xf>
    <xf numFmtId="168" fontId="102" fillId="0" borderId="0" xfId="0" applyFont="true" applyBorder="true" applyAlignment="false" applyProtection="false">
      <alignment horizontal="general" vertical="bottom" textRotation="0" wrapText="false" indent="0" shrinkToFit="false"/>
      <protection locked="true" hidden="false"/>
    </xf>
    <xf numFmtId="174" fontId="0" fillId="3" borderId="6" xfId="44" applyFont="false" applyBorder="true" applyAlignment="true" applyProtection="true">
      <alignment horizontal="center" vertical="center" textRotation="0" wrapText="false" indent="0" shrinkToFit="false"/>
      <protection locked="true" hidden="false"/>
    </xf>
    <xf numFmtId="168" fontId="94" fillId="0" borderId="0" xfId="0" applyFont="true" applyBorder="true" applyAlignment="true" applyProtection="false">
      <alignment horizontal="right" vertical="bottom" textRotation="0" wrapText="false" indent="0" shrinkToFit="false"/>
      <protection locked="true" hidden="false"/>
    </xf>
    <xf numFmtId="174" fontId="31" fillId="0" borderId="0" xfId="0" applyFont="true" applyBorder="true" applyAlignment="true" applyProtection="false">
      <alignment horizontal="center" vertical="bottom" textRotation="0" wrapText="false" indent="0" shrinkToFit="false"/>
      <protection locked="true" hidden="false"/>
    </xf>
    <xf numFmtId="178" fontId="95" fillId="0" borderId="0" xfId="0" applyFont="true" applyBorder="true" applyAlignment="true" applyProtection="false">
      <alignment horizontal="center" vertical="bottom" textRotation="0" wrapText="false" indent="0" shrinkToFit="false"/>
      <protection locked="true" hidden="false"/>
    </xf>
    <xf numFmtId="164" fontId="31" fillId="0" borderId="0" xfId="0" applyFont="true" applyBorder="true" applyAlignment="true" applyProtection="false">
      <alignment horizontal="general" vertical="top" textRotation="0" wrapText="true" indent="0" shrinkToFit="false"/>
      <protection locked="true" hidden="false"/>
    </xf>
    <xf numFmtId="164" fontId="31" fillId="0" borderId="62" xfId="0" applyFont="true" applyBorder="true" applyAlignment="false" applyProtection="false">
      <alignment horizontal="general" vertical="bottom" textRotation="0" wrapText="false" indent="0" shrinkToFit="false"/>
      <protection locked="true" hidden="false"/>
    </xf>
    <xf numFmtId="164" fontId="8" fillId="26" borderId="1" xfId="49" applyFont="true" applyBorder="true" applyAlignment="true" applyProtection="true">
      <alignment horizontal="center" vertical="bottom" textRotation="0" wrapText="false" indent="0" shrinkToFit="false"/>
      <protection locked="true" hidden="false"/>
    </xf>
    <xf numFmtId="164" fontId="8" fillId="26" borderId="51" xfId="49" applyFont="true" applyBorder="true" applyAlignment="true" applyProtection="true">
      <alignment horizontal="center" vertical="bottom" textRotation="0" wrapText="false" indent="0" shrinkToFit="false"/>
      <protection locked="true" hidden="false"/>
    </xf>
    <xf numFmtId="164" fontId="31" fillId="0" borderId="25" xfId="0" applyFont="true" applyBorder="true" applyAlignment="true" applyProtection="false">
      <alignment horizontal="general" vertical="bottom" textRotation="0" wrapText="true" indent="0" shrinkToFit="false"/>
      <protection locked="true" hidden="false"/>
    </xf>
    <xf numFmtId="164" fontId="5" fillId="26" borderId="41" xfId="49" applyFont="true" applyBorder="true" applyAlignment="true" applyProtection="true">
      <alignment horizontal="center" vertical="center" textRotation="0" wrapText="true" indent="0" shrinkToFit="false"/>
      <protection locked="true" hidden="false"/>
    </xf>
    <xf numFmtId="164" fontId="5" fillId="26" borderId="72" xfId="49" applyFont="true" applyBorder="true" applyAlignment="true" applyProtection="true">
      <alignment horizontal="center" vertical="center" textRotation="0" wrapText="true" indent="0" shrinkToFit="false"/>
      <protection locked="true" hidden="false"/>
    </xf>
    <xf numFmtId="164" fontId="5" fillId="26" borderId="41" xfId="49" applyFont="true" applyBorder="true" applyAlignment="true" applyProtection="true">
      <alignment horizontal="center" vertical="center" textRotation="0" wrapText="true" indent="0" shrinkToFit="false"/>
      <protection locked="false" hidden="false"/>
    </xf>
    <xf numFmtId="164" fontId="5" fillId="26" borderId="43" xfId="49" applyFont="true" applyBorder="true" applyAlignment="true" applyProtection="true">
      <alignment horizontal="center" vertical="center" textRotation="0" wrapText="true" indent="0" shrinkToFit="false"/>
      <protection locked="true" hidden="false"/>
    </xf>
    <xf numFmtId="164" fontId="5" fillId="26" borderId="73" xfId="49" applyFont="true" applyBorder="true" applyAlignment="true" applyProtection="true">
      <alignment horizontal="center" vertical="center" textRotation="0" wrapText="true" indent="0" shrinkToFit="false"/>
      <protection locked="true" hidden="false"/>
    </xf>
    <xf numFmtId="164" fontId="15" fillId="25" borderId="46" xfId="0" applyFont="true" applyBorder="true" applyAlignment="true" applyProtection="false">
      <alignment horizontal="center" vertical="center" textRotation="0" wrapText="true" indent="0" shrinkToFit="false"/>
      <protection locked="true" hidden="false"/>
    </xf>
    <xf numFmtId="164" fontId="31" fillId="25" borderId="7" xfId="0" applyFont="true" applyBorder="true" applyAlignment="true" applyProtection="false">
      <alignment horizontal="center" vertical="center" textRotation="0" wrapText="true" indent="0" shrinkToFit="false"/>
      <protection locked="true" hidden="false"/>
    </xf>
    <xf numFmtId="164" fontId="24" fillId="26" borderId="7" xfId="49" applyFont="true" applyBorder="true" applyAlignment="true" applyProtection="true">
      <alignment horizontal="left" vertical="center" textRotation="0" wrapText="false" indent="0" shrinkToFit="false"/>
      <protection locked="true" hidden="false"/>
    </xf>
    <xf numFmtId="169" fontId="24" fillId="3" borderId="7" xfId="44" applyFont="true" applyBorder="true" applyAlignment="true" applyProtection="true">
      <alignment horizontal="right" vertical="center" textRotation="0" wrapText="false" indent="0" shrinkToFit="false"/>
      <protection locked="true" hidden="false"/>
    </xf>
    <xf numFmtId="169" fontId="24" fillId="3" borderId="46" xfId="44" applyFont="true" applyBorder="true" applyAlignment="true" applyProtection="true">
      <alignment horizontal="right" vertical="center" textRotation="0" wrapText="false" indent="0" shrinkToFit="false"/>
      <protection locked="true" hidden="false"/>
    </xf>
    <xf numFmtId="169" fontId="0" fillId="25" borderId="8" xfId="50" applyFont="false" applyBorder="true" applyAlignment="true" applyProtection="true">
      <alignment horizontal="right" vertical="center" textRotation="0" wrapText="false" indent="0" shrinkToFit="false"/>
      <protection locked="true" hidden="false"/>
    </xf>
    <xf numFmtId="164" fontId="31" fillId="30" borderId="80" xfId="0" applyFont="true" applyBorder="true" applyAlignment="false" applyProtection="true">
      <alignment horizontal="general" vertical="bottom" textRotation="0" wrapText="false" indent="0" shrinkToFit="false"/>
      <protection locked="false" hidden="false"/>
    </xf>
    <xf numFmtId="164" fontId="31" fillId="24" borderId="46" xfId="0" applyFont="true" applyBorder="true" applyAlignment="false" applyProtection="true">
      <alignment horizontal="general" vertical="bottom" textRotation="0" wrapText="false" indent="0" shrinkToFit="false"/>
      <protection locked="false" hidden="false"/>
    </xf>
    <xf numFmtId="164" fontId="31" fillId="24" borderId="46" xfId="0" applyFont="true" applyBorder="true" applyAlignment="true" applyProtection="true">
      <alignment horizontal="center" vertical="bottom" textRotation="0" wrapText="false" indent="0" shrinkToFit="false"/>
      <protection locked="false" hidden="false"/>
    </xf>
    <xf numFmtId="164" fontId="31" fillId="24" borderId="8" xfId="0" applyFont="true" applyBorder="true" applyAlignment="true" applyProtection="true">
      <alignment horizontal="center" vertical="bottom" textRotation="0" wrapText="false" indent="0" shrinkToFit="false"/>
      <protection locked="false" hidden="false"/>
    </xf>
    <xf numFmtId="164" fontId="31" fillId="0" borderId="80" xfId="0" applyFont="true" applyBorder="true" applyAlignment="false" applyProtection="false">
      <alignment horizontal="general" vertical="bottom" textRotation="0" wrapText="false" indent="0" shrinkToFit="false"/>
      <protection locked="true" hidden="false"/>
    </xf>
    <xf numFmtId="164" fontId="31" fillId="0" borderId="6" xfId="19" applyFont="true" applyBorder="true" applyAlignment="true" applyProtection="true">
      <alignment horizontal="center" vertical="bottom" textRotation="0" wrapText="false" indent="0" shrinkToFit="false"/>
      <protection locked="false" hidden="false"/>
    </xf>
    <xf numFmtId="172" fontId="31" fillId="24" borderId="46" xfId="0" applyFont="true" applyBorder="true" applyAlignment="true" applyProtection="true">
      <alignment horizontal="center" vertical="bottom" textRotation="0" wrapText="false" indent="0" shrinkToFit="false"/>
      <protection locked="false" hidden="false"/>
    </xf>
    <xf numFmtId="164" fontId="0" fillId="23" borderId="47" xfId="43" applyFont="true" applyBorder="true" applyAlignment="true" applyProtection="true">
      <alignment horizontal="center" vertical="bottom" textRotation="0" wrapText="false" indent="0" shrinkToFit="false"/>
      <protection locked="false" hidden="false"/>
    </xf>
    <xf numFmtId="172" fontId="31" fillId="24" borderId="8" xfId="0" applyFont="true" applyBorder="true" applyAlignment="true" applyProtection="true">
      <alignment horizontal="center" vertical="bottom" textRotation="0" wrapText="false" indent="0" shrinkToFit="false"/>
      <protection locked="false" hidden="false"/>
    </xf>
    <xf numFmtId="164" fontId="24" fillId="26" borderId="49" xfId="49" applyFont="true" applyBorder="true" applyAlignment="true" applyProtection="true">
      <alignment horizontal="general" vertical="bottom" textRotation="0" wrapText="false" indent="0" shrinkToFit="false"/>
      <protection locked="true" hidden="false"/>
    </xf>
    <xf numFmtId="164" fontId="0" fillId="25" borderId="46" xfId="50" applyFont="false" applyBorder="true" applyAlignment="true" applyProtection="true">
      <alignment horizontal="general" vertical="bottom" textRotation="0" wrapText="false" indent="0" shrinkToFit="false"/>
      <protection locked="false" hidden="false"/>
    </xf>
    <xf numFmtId="171" fontId="0" fillId="25" borderId="6" xfId="50" applyFont="false" applyBorder="true" applyAlignment="true" applyProtection="true">
      <alignment horizontal="center" vertical="bottom" textRotation="0" wrapText="false" indent="0" shrinkToFit="false"/>
      <protection locked="false" hidden="false"/>
    </xf>
    <xf numFmtId="164" fontId="0" fillId="25" borderId="6" xfId="50" applyFont="false" applyBorder="true" applyAlignment="true" applyProtection="true">
      <alignment horizontal="center" vertical="bottom" textRotation="0" wrapText="false" indent="0" shrinkToFit="false"/>
      <protection locked="false" hidden="false"/>
    </xf>
    <xf numFmtId="169" fontId="24" fillId="3" borderId="7" xfId="44" applyFont="true" applyBorder="true" applyAlignment="true" applyProtection="true">
      <alignment horizontal="right" vertical="bottom" textRotation="0" wrapText="false" indent="0" shrinkToFit="false"/>
      <protection locked="false" hidden="false"/>
    </xf>
    <xf numFmtId="164" fontId="0" fillId="25" borderId="46" xfId="50" applyFont="false" applyBorder="true" applyAlignment="true" applyProtection="true">
      <alignment horizontal="right" vertical="bottom" textRotation="0" wrapText="false" indent="0" shrinkToFit="false"/>
      <protection locked="false" hidden="false"/>
    </xf>
    <xf numFmtId="164" fontId="0" fillId="25" borderId="47" xfId="50" applyFont="false" applyBorder="true" applyAlignment="true" applyProtection="true">
      <alignment horizontal="center" vertical="center" textRotation="0" wrapText="false" indent="0" shrinkToFit="false"/>
      <protection locked="true" hidden="false"/>
    </xf>
    <xf numFmtId="164" fontId="0" fillId="25" borderId="8" xfId="50" applyFont="false" applyBorder="true" applyAlignment="true" applyProtection="true">
      <alignment horizontal="right" vertical="bottom" textRotation="0" wrapText="false" indent="0" shrinkToFit="false"/>
      <protection locked="false" hidden="false"/>
    </xf>
    <xf numFmtId="164" fontId="31" fillId="0" borderId="80" xfId="0" applyFont="true" applyBorder="true" applyAlignment="false" applyProtection="true">
      <alignment horizontal="general" vertical="bottom" textRotation="0" wrapText="false" indent="0" shrinkToFit="false"/>
      <protection locked="false" hidden="false"/>
    </xf>
    <xf numFmtId="169" fontId="0" fillId="3" borderId="34" xfId="44" applyFont="false" applyBorder="true" applyAlignment="true" applyProtection="true">
      <alignment horizontal="center" vertical="bottom" textRotation="0" wrapText="false" indent="0" shrinkToFit="false"/>
      <protection locked="false" hidden="false"/>
    </xf>
    <xf numFmtId="164" fontId="31" fillId="0" borderId="80" xfId="0" applyFont="true" applyBorder="true" applyAlignment="false" applyProtection="false">
      <alignment horizontal="general" vertical="bottom" textRotation="0" wrapText="false" indent="0" shrinkToFit="false"/>
      <protection locked="true" hidden="false"/>
    </xf>
    <xf numFmtId="164" fontId="24" fillId="26" borderId="49" xfId="49" applyFont="true" applyBorder="true" applyAlignment="true" applyProtection="true">
      <alignment horizontal="general" vertical="center" textRotation="0" wrapText="false" indent="0" shrinkToFit="false"/>
      <protection locked="true" hidden="false"/>
    </xf>
    <xf numFmtId="164" fontId="0" fillId="25" borderId="49" xfId="50" applyFont="false" applyBorder="true" applyAlignment="true" applyProtection="true">
      <alignment horizontal="center" vertical="bottom" textRotation="0" wrapText="false" indent="0" shrinkToFit="false"/>
      <protection locked="false" hidden="false"/>
    </xf>
    <xf numFmtId="164" fontId="0" fillId="25" borderId="34" xfId="50" applyFont="false" applyBorder="true" applyAlignment="true" applyProtection="true">
      <alignment horizontal="center" vertical="bottom" textRotation="0" wrapText="false" indent="0" shrinkToFit="false"/>
      <protection locked="false" hidden="false"/>
    </xf>
    <xf numFmtId="164" fontId="0" fillId="25" borderId="46" xfId="50" applyFont="true" applyBorder="true" applyAlignment="true" applyProtection="true">
      <alignment horizontal="center" vertical="bottom" textRotation="0" wrapText="false" indent="0" shrinkToFit="false"/>
      <protection locked="false" hidden="false"/>
    </xf>
    <xf numFmtId="164" fontId="0" fillId="25" borderId="50" xfId="50" applyFont="false" applyBorder="true" applyAlignment="true" applyProtection="true">
      <alignment horizontal="center" vertical="bottom" textRotation="0" wrapText="false" indent="0" shrinkToFit="false"/>
      <protection locked="false" hidden="false"/>
    </xf>
    <xf numFmtId="164" fontId="0" fillId="25" borderId="8" xfId="50" applyFont="true" applyBorder="true" applyAlignment="true" applyProtection="true">
      <alignment horizontal="center" vertical="bottom" textRotation="0" wrapText="false" indent="0" shrinkToFit="false"/>
      <protection locked="false" hidden="false"/>
    </xf>
    <xf numFmtId="164" fontId="0" fillId="25" borderId="49" xfId="50" applyFont="false" applyBorder="true" applyAlignment="true" applyProtection="true">
      <alignment horizontal="general" vertical="bottom" textRotation="0" wrapText="false" indent="0" shrinkToFit="false"/>
      <protection locked="false" hidden="false"/>
    </xf>
    <xf numFmtId="164" fontId="0" fillId="25" borderId="49" xfId="50" applyFont="true" applyBorder="true" applyAlignment="true" applyProtection="true">
      <alignment horizontal="center" vertical="bottom" textRotation="0" wrapText="true" indent="0" shrinkToFit="false"/>
      <protection locked="false" hidden="false"/>
    </xf>
    <xf numFmtId="164" fontId="31" fillId="24" borderId="49" xfId="0" applyFont="true" applyBorder="true" applyAlignment="false" applyProtection="true">
      <alignment horizontal="general" vertical="bottom" textRotation="0" wrapText="false" indent="0" shrinkToFit="false"/>
      <protection locked="false" hidden="false"/>
    </xf>
    <xf numFmtId="164" fontId="0" fillId="22" borderId="74" xfId="41" applyFont="false" applyBorder="true" applyAlignment="true" applyProtection="true">
      <alignment horizontal="left" vertical="bottom" textRotation="0" wrapText="true" indent="0" shrinkToFit="false"/>
      <protection locked="true" hidden="false"/>
    </xf>
    <xf numFmtId="164" fontId="0" fillId="25" borderId="7" xfId="50" applyFont="false" applyBorder="true" applyAlignment="true" applyProtection="true">
      <alignment horizontal="center" vertical="bottom" textRotation="0" wrapText="false" indent="0" shrinkToFit="false"/>
      <protection locked="false" hidden="false"/>
    </xf>
    <xf numFmtId="164" fontId="31" fillId="24" borderId="46" xfId="0" applyFont="true" applyBorder="true" applyAlignment="true" applyProtection="false">
      <alignment horizontal="center" vertical="bottom" textRotation="0" wrapText="false" indent="0" shrinkToFit="false"/>
      <protection locked="true" hidden="false"/>
    </xf>
    <xf numFmtId="164" fontId="31" fillId="24" borderId="6" xfId="0" applyFont="true" applyBorder="true" applyAlignment="true" applyProtection="false">
      <alignment horizontal="center" vertical="bottom" textRotation="0" wrapText="false" indent="0" shrinkToFit="false"/>
      <protection locked="true" hidden="false"/>
    </xf>
    <xf numFmtId="169" fontId="0" fillId="3" borderId="7" xfId="44" applyFont="false" applyBorder="true" applyAlignment="true" applyProtection="true">
      <alignment horizontal="center" vertical="bottom" textRotation="0" wrapText="false" indent="0" shrinkToFit="false"/>
      <protection locked="true" hidden="false"/>
    </xf>
    <xf numFmtId="164" fontId="31" fillId="24" borderId="8" xfId="0" applyFont="true" applyBorder="true" applyAlignment="true" applyProtection="false">
      <alignment horizontal="center" vertical="bottom" textRotation="0" wrapText="false" indent="0" shrinkToFit="false"/>
      <protection locked="true" hidden="false"/>
    </xf>
    <xf numFmtId="164" fontId="31" fillId="0" borderId="49" xfId="0" applyFont="true" applyBorder="true" applyAlignment="true" applyProtection="false">
      <alignment horizontal="left" vertical="bottom" textRotation="0" wrapText="false" indent="0" shrinkToFit="false"/>
      <protection locked="true" hidden="false"/>
    </xf>
    <xf numFmtId="164" fontId="31" fillId="0" borderId="49" xfId="0" applyFont="true" applyBorder="true" applyAlignment="true" applyProtection="false">
      <alignment horizontal="center" vertical="bottom" textRotation="0" wrapText="false" indent="0" shrinkToFit="false"/>
      <protection locked="true" hidden="false"/>
    </xf>
    <xf numFmtId="172" fontId="31" fillId="24" borderId="6" xfId="0" applyFont="true" applyBorder="true" applyAlignment="true" applyProtection="true">
      <alignment horizontal="center" vertical="bottom" textRotation="0" wrapText="false" indent="0" shrinkToFit="false"/>
      <protection locked="false" hidden="false"/>
    </xf>
    <xf numFmtId="180" fontId="31" fillId="24" borderId="8" xfId="0" applyFont="true" applyBorder="true" applyAlignment="true" applyProtection="true">
      <alignment horizontal="center" vertical="bottom" textRotation="0" wrapText="false" indent="0" shrinkToFit="false"/>
      <protection locked="false" hidden="false"/>
    </xf>
    <xf numFmtId="164" fontId="19" fillId="26" borderId="81" xfId="49" applyFont="true" applyBorder="true" applyAlignment="true" applyProtection="true">
      <alignment horizontal="general" vertical="bottom" textRotation="0" wrapText="false" indent="0" shrinkToFit="false"/>
      <protection locked="true" hidden="false"/>
    </xf>
    <xf numFmtId="164" fontId="31" fillId="24" borderId="67" xfId="0" applyFont="true" applyBorder="true" applyAlignment="false" applyProtection="true">
      <alignment horizontal="general" vertical="bottom" textRotation="0" wrapText="false" indent="0" shrinkToFit="false"/>
      <protection locked="false" hidden="false"/>
    </xf>
    <xf numFmtId="164" fontId="0" fillId="22" borderId="68" xfId="41" applyFont="false" applyBorder="true" applyAlignment="true" applyProtection="true">
      <alignment horizontal="center" vertical="bottom" textRotation="0" wrapText="false" indent="0" shrinkToFit="false"/>
      <protection locked="false" hidden="false"/>
    </xf>
    <xf numFmtId="164" fontId="31" fillId="24" borderId="68" xfId="0" applyFont="true" applyBorder="true" applyAlignment="true" applyProtection="true">
      <alignment horizontal="center" vertical="bottom" textRotation="0" wrapText="false" indent="0" shrinkToFit="false"/>
      <protection locked="false" hidden="false"/>
    </xf>
    <xf numFmtId="164" fontId="0" fillId="22" borderId="69" xfId="41" applyFont="false" applyBorder="true" applyAlignment="true" applyProtection="true">
      <alignment horizontal="center" vertical="bottom" textRotation="0" wrapText="false" indent="0" shrinkToFit="false"/>
      <protection locked="false" hidden="false"/>
    </xf>
    <xf numFmtId="164" fontId="0" fillId="22" borderId="67" xfId="41" applyFont="false" applyBorder="true" applyAlignment="true" applyProtection="true">
      <alignment horizontal="center" vertical="bottom" textRotation="0" wrapText="false" indent="0" shrinkToFit="false"/>
      <protection locked="false" hidden="false"/>
    </xf>
    <xf numFmtId="164" fontId="0" fillId="22" borderId="70" xfId="41" applyFont="false" applyBorder="true" applyAlignment="true" applyProtection="true">
      <alignment horizontal="center" vertical="bottom" textRotation="0" wrapText="false" indent="0" shrinkToFit="false"/>
      <protection locked="false" hidden="false"/>
    </xf>
    <xf numFmtId="164" fontId="0" fillId="22" borderId="76" xfId="41" applyFont="false" applyBorder="true" applyAlignment="true" applyProtection="true">
      <alignment horizontal="center" vertical="bottom" textRotation="0" wrapText="false" indent="0" shrinkToFit="false"/>
      <protection locked="false" hidden="false"/>
    </xf>
    <xf numFmtId="168" fontId="19" fillId="0" borderId="0" xfId="0" applyFont="true" applyBorder="true" applyAlignment="false" applyProtection="false">
      <alignment horizontal="general" vertical="bottom" textRotation="0" wrapText="false" indent="0" shrinkToFit="false"/>
      <protection locked="true" hidden="false"/>
    </xf>
    <xf numFmtId="164" fontId="0" fillId="3" borderId="0" xfId="44" applyFont="false" applyBorder="true" applyAlignment="true" applyProtection="true">
      <alignment horizontal="general" vertical="bottom" textRotation="0" wrapText="false" indent="0" shrinkToFit="false"/>
      <protection locked="true" hidden="false"/>
    </xf>
    <xf numFmtId="168" fontId="103" fillId="0" borderId="0"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74" fontId="19"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true">
      <alignment horizontal="center" vertical="center" textRotation="0" wrapText="true" indent="0" shrinkToFit="false"/>
      <protection locked="false" hidden="false"/>
    </xf>
    <xf numFmtId="164" fontId="73" fillId="0" borderId="0" xfId="0" applyFont="true" applyBorder="true" applyAlignment="true" applyProtection="false">
      <alignment horizontal="general" vertical="bottom" textRotation="0" wrapText="true" indent="0" shrinkToFit="false"/>
      <protection locked="true" hidden="false"/>
    </xf>
    <xf numFmtId="164" fontId="24" fillId="26" borderId="51" xfId="49" applyFont="true" applyBorder="true" applyAlignment="true" applyProtection="true">
      <alignment horizontal="center" vertical="center" textRotation="0" wrapText="false" indent="0" shrinkToFit="false"/>
      <protection locked="false" hidden="false"/>
    </xf>
    <xf numFmtId="164" fontId="24" fillId="26" borderId="41" xfId="49" applyFont="true" applyBorder="true" applyAlignment="true" applyProtection="true">
      <alignment horizontal="center" vertical="center" textRotation="0" wrapText="false" indent="0" shrinkToFit="false"/>
      <protection locked="false" hidden="false"/>
    </xf>
    <xf numFmtId="164" fontId="24" fillId="26" borderId="72" xfId="49" applyFont="true" applyBorder="true" applyAlignment="true" applyProtection="true">
      <alignment horizontal="left" vertical="center" textRotation="0" wrapText="true" indent="0" shrinkToFit="false"/>
      <protection locked="false" hidden="false"/>
    </xf>
    <xf numFmtId="164" fontId="24" fillId="26" borderId="65" xfId="49" applyFont="true" applyBorder="true" applyAlignment="true" applyProtection="true">
      <alignment horizontal="left" vertical="center" textRotation="0" wrapText="true" indent="0" shrinkToFit="false"/>
      <protection locked="false" hidden="false"/>
    </xf>
    <xf numFmtId="164" fontId="24" fillId="26" borderId="65" xfId="49" applyFont="true" applyBorder="true" applyAlignment="true" applyProtection="true">
      <alignment horizontal="center" vertical="center" textRotation="0" wrapText="true" indent="0" shrinkToFit="false"/>
      <protection locked="false" hidden="false"/>
    </xf>
    <xf numFmtId="164" fontId="24" fillId="26" borderId="43" xfId="49" applyFont="true" applyBorder="true" applyAlignment="true" applyProtection="true">
      <alignment horizontal="center" vertical="center" textRotation="0" wrapText="true" indent="0" shrinkToFit="false"/>
      <protection locked="false" hidden="false"/>
    </xf>
    <xf numFmtId="164" fontId="18" fillId="0" borderId="8" xfId="0" applyFont="true" applyBorder="true" applyAlignment="true" applyProtection="false">
      <alignment horizontal="right" vertical="center" textRotation="0" wrapText="true" indent="0" shrinkToFit="false"/>
      <protection locked="true" hidden="false"/>
    </xf>
    <xf numFmtId="169" fontId="0" fillId="3" borderId="6" xfId="44" applyFont="false" applyBorder="true" applyAlignment="true" applyProtection="true">
      <alignment horizontal="center" vertical="center" textRotation="0" wrapText="true" indent="0" shrinkToFit="false"/>
      <protection locked="true" hidden="false"/>
    </xf>
    <xf numFmtId="164" fontId="31" fillId="30" borderId="46" xfId="0" applyFont="true" applyBorder="true" applyAlignment="true" applyProtection="true">
      <alignment horizontal="center" vertical="bottom" textRotation="0" wrapText="false" indent="0" shrinkToFit="false"/>
      <protection locked="false" hidden="false"/>
    </xf>
    <xf numFmtId="164" fontId="18" fillId="24" borderId="6" xfId="0" applyFont="true" applyBorder="true" applyAlignment="true" applyProtection="false">
      <alignment horizontal="center" vertical="center" textRotation="0" wrapText="true" indent="0" shrinkToFit="false"/>
      <protection locked="true" hidden="false"/>
    </xf>
    <xf numFmtId="169" fontId="18" fillId="24" borderId="6" xfId="0" applyFont="true" applyBorder="true" applyAlignment="true" applyProtection="false">
      <alignment horizontal="general" vertical="center" textRotation="0" wrapText="true" indent="0" shrinkToFit="false"/>
      <protection locked="true" hidden="false"/>
    </xf>
    <xf numFmtId="164" fontId="0" fillId="23" borderId="47" xfId="43" applyFont="true" applyBorder="true" applyAlignment="true" applyProtection="true">
      <alignment horizontal="center" vertical="bottom" textRotation="0" wrapText="true" indent="0" shrinkToFit="false"/>
      <protection locked="true" hidden="false"/>
    </xf>
    <xf numFmtId="169" fontId="104" fillId="0" borderId="0" xfId="0" applyFont="true" applyBorder="false" applyAlignment="true" applyProtection="false">
      <alignment horizontal="right" vertical="bottom" textRotation="0" wrapText="false" indent="0" shrinkToFit="false"/>
      <protection locked="true" hidden="false"/>
    </xf>
    <xf numFmtId="164" fontId="0" fillId="23" borderId="47" xfId="43" applyFont="false" applyBorder="true" applyAlignment="true" applyProtection="true">
      <alignment horizontal="center" vertical="bottom" textRotation="0" wrapText="true" indent="0" shrinkToFit="false"/>
      <protection locked="true" hidden="false"/>
    </xf>
    <xf numFmtId="164" fontId="31" fillId="30" borderId="67" xfId="0" applyFont="true" applyBorder="true" applyAlignment="true" applyProtection="true">
      <alignment horizontal="center" vertical="bottom" textRotation="0" wrapText="false" indent="0" shrinkToFit="false"/>
      <protection locked="false" hidden="false"/>
    </xf>
    <xf numFmtId="164" fontId="18" fillId="24" borderId="68" xfId="0" applyFont="true" applyBorder="true" applyAlignment="true" applyProtection="false">
      <alignment horizontal="center" vertical="center" textRotation="0" wrapText="true" indent="0" shrinkToFit="false"/>
      <protection locked="true" hidden="false"/>
    </xf>
    <xf numFmtId="164" fontId="18" fillId="24" borderId="68" xfId="0" applyFont="true" applyBorder="true" applyAlignment="true" applyProtection="false">
      <alignment horizontal="general" vertical="center" textRotation="0" wrapText="true" indent="0" shrinkToFit="false"/>
      <protection locked="true" hidden="false"/>
    </xf>
    <xf numFmtId="164" fontId="0" fillId="23" borderId="75" xfId="43" applyFont="false" applyBorder="true" applyAlignment="true" applyProtection="true">
      <alignment horizontal="center" vertical="bottom" textRotation="0" wrapText="true" indent="0" shrinkToFit="false"/>
      <protection locked="true" hidden="false"/>
    </xf>
    <xf numFmtId="164" fontId="105" fillId="0" borderId="0" xfId="0" applyFont="true" applyBorder="true" applyAlignment="false" applyProtection="true">
      <alignment horizontal="general" vertical="bottom" textRotation="0" wrapText="false" indent="0" shrinkToFit="false"/>
      <protection locked="false" hidden="false"/>
    </xf>
    <xf numFmtId="164" fontId="73" fillId="0" borderId="0"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4" fontId="23" fillId="0" borderId="0" xfId="0" applyFont="true" applyBorder="true" applyAlignment="true" applyProtection="false">
      <alignment horizontal="center" vertical="center"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92" fillId="0" borderId="0" xfId="20" applyFont="true" applyBorder="true" applyAlignment="true" applyProtection="true">
      <alignment horizontal="general" vertical="bottom" textRotation="0" wrapText="false" indent="0" shrinkToFit="false"/>
      <protection locked="true" hidden="false"/>
    </xf>
    <xf numFmtId="164" fontId="103" fillId="0" borderId="0" xfId="0" applyFont="true" applyBorder="true" applyAlignment="false" applyProtection="false">
      <alignment horizontal="general" vertical="bottom" textRotation="0" wrapText="false" indent="0" shrinkToFit="false"/>
      <protection locked="true" hidden="false"/>
    </xf>
    <xf numFmtId="164" fontId="19" fillId="0" borderId="82" xfId="0" applyFont="true" applyBorder="true" applyAlignment="true" applyProtection="false">
      <alignment horizontal="left" vertical="center" textRotation="0" wrapText="true" indent="0" shrinkToFit="false"/>
      <protection locked="true" hidden="false"/>
    </xf>
    <xf numFmtId="164" fontId="5" fillId="26" borderId="83" xfId="49" applyFont="true" applyBorder="true" applyAlignment="true" applyProtection="true">
      <alignment horizontal="center" vertical="center" textRotation="0" wrapText="true" indent="0" shrinkToFit="false"/>
      <protection locked="false" hidden="false"/>
    </xf>
    <xf numFmtId="164" fontId="5" fillId="26" borderId="53" xfId="49" applyFont="true" applyBorder="true" applyAlignment="true" applyProtection="true">
      <alignment horizontal="center" vertical="center" textRotation="0" wrapText="true" indent="0" shrinkToFit="false"/>
      <protection locked="true" hidden="false"/>
    </xf>
    <xf numFmtId="164" fontId="31" fillId="0" borderId="46" xfId="0" applyFont="true" applyBorder="true" applyAlignment="true" applyProtection="false">
      <alignment horizontal="left" vertical="center" textRotation="0" wrapText="true" indent="0" shrinkToFit="false"/>
      <protection locked="true" hidden="false"/>
    </xf>
    <xf numFmtId="164" fontId="93" fillId="25" borderId="8" xfId="20" applyFont="true" applyBorder="true" applyAlignment="true" applyProtection="true">
      <alignment horizontal="center" vertical="center" textRotation="0" wrapText="true" indent="0" shrinkToFit="false"/>
      <protection locked="true" hidden="false"/>
    </xf>
    <xf numFmtId="164" fontId="31" fillId="25" borderId="50" xfId="0" applyFont="true" applyBorder="true" applyAlignment="true" applyProtection="false">
      <alignment horizontal="center" vertical="center" textRotation="0" wrapText="true" indent="0" shrinkToFit="false"/>
      <protection locked="true" hidden="false"/>
    </xf>
    <xf numFmtId="164" fontId="73" fillId="0" borderId="80" xfId="0" applyFont="true" applyBorder="true" applyAlignment="true" applyProtection="false">
      <alignment horizontal="general" vertical="bottom" textRotation="0" wrapText="true" indent="0" shrinkToFit="false"/>
      <protection locked="true" hidden="false"/>
    </xf>
    <xf numFmtId="164" fontId="31" fillId="24" borderId="14" xfId="19" applyFont="true" applyBorder="true" applyAlignment="true" applyProtection="true">
      <alignment horizontal="center" vertical="bottom" textRotation="0" wrapText="false" indent="0" shrinkToFit="false"/>
      <protection locked="false" hidden="false"/>
    </xf>
    <xf numFmtId="169" fontId="0" fillId="3" borderId="47" xfId="44" applyFont="false" applyBorder="true" applyAlignment="true" applyProtection="true">
      <alignment horizontal="center" vertical="center" textRotation="0" wrapText="true" indent="0" shrinkToFit="false"/>
      <protection locked="true" hidden="false"/>
    </xf>
    <xf numFmtId="164" fontId="73" fillId="0" borderId="80" xfId="0" applyFont="true" applyBorder="true" applyAlignment="false" applyProtection="false">
      <alignment horizontal="general" vertical="bottom" textRotation="0" wrapText="false" indent="0" shrinkToFit="false"/>
      <protection locked="true" hidden="false"/>
    </xf>
    <xf numFmtId="164" fontId="73" fillId="0" borderId="67" xfId="0" applyFont="true" applyBorder="true" applyAlignment="true" applyProtection="false">
      <alignment horizontal="general" vertical="bottom" textRotation="0" wrapText="true" indent="0" shrinkToFit="false"/>
      <protection locked="true" hidden="false"/>
    </xf>
    <xf numFmtId="169" fontId="0" fillId="3" borderId="68" xfId="44" applyFont="false" applyBorder="true" applyAlignment="true" applyProtection="true">
      <alignment horizontal="center" vertical="center" textRotation="0" wrapText="true" indent="0" shrinkToFit="false"/>
      <protection locked="true" hidden="false"/>
    </xf>
    <xf numFmtId="168" fontId="0" fillId="18" borderId="68" xfId="37" applyFont="false" applyBorder="true" applyAlignment="true" applyProtection="true">
      <alignment horizontal="right" vertical="center" textRotation="0" wrapText="false" indent="0" shrinkToFit="false"/>
      <protection locked="true" hidden="false"/>
    </xf>
    <xf numFmtId="164" fontId="31" fillId="24" borderId="69" xfId="19" applyFont="true" applyBorder="true" applyAlignment="true" applyProtection="true">
      <alignment horizontal="center" vertical="bottom" textRotation="0" wrapText="false" indent="0" shrinkToFit="false"/>
      <protection locked="false" hidden="false"/>
    </xf>
    <xf numFmtId="169" fontId="0" fillId="3" borderId="75" xfId="44" applyFont="false" applyBorder="true" applyAlignment="true" applyProtection="true">
      <alignment horizontal="center"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64" fontId="19" fillId="0" borderId="6"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true" applyAlignment="true" applyProtection="false">
      <alignment horizontal="center" vertical="center" textRotation="0" wrapText="false" indent="0" shrinkToFit="false"/>
      <protection locked="true" hidden="false"/>
    </xf>
    <xf numFmtId="164" fontId="19" fillId="0" borderId="6" xfId="0" applyFont="true" applyBorder="true" applyAlignment="true" applyProtection="false">
      <alignment horizontal="center" vertical="center" textRotation="0" wrapText="false" indent="0" shrinkToFit="false"/>
      <protection locked="true" hidden="false"/>
    </xf>
    <xf numFmtId="164" fontId="31" fillId="25" borderId="6"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18" fillId="24" borderId="16" xfId="0" applyFont="true" applyBorder="true" applyAlignment="true" applyProtection="false">
      <alignment horizontal="center" vertical="center" textRotation="0" wrapText="true" indent="0" shrinkToFit="false"/>
      <protection locked="true" hidden="false"/>
    </xf>
    <xf numFmtId="164" fontId="16" fillId="27" borderId="0" xfId="51" applyFont="true" applyBorder="true" applyAlignment="true" applyProtection="true">
      <alignment horizontal="center" vertical="center" textRotation="0" wrapText="false" indent="0" shrinkToFit="false"/>
      <protection locked="true" hidden="false"/>
    </xf>
    <xf numFmtId="164" fontId="73" fillId="0" borderId="0" xfId="0" applyFont="true" applyBorder="true" applyAlignment="true" applyProtection="false">
      <alignment horizontal="right" vertical="center" textRotation="0" wrapText="true" indent="0" shrinkToFit="false"/>
      <protection locked="true" hidden="false"/>
    </xf>
    <xf numFmtId="164" fontId="23" fillId="0" borderId="0" xfId="0" applyFont="true" applyBorder="true" applyAlignment="true" applyProtection="false">
      <alignment horizontal="left" vertical="center" textRotation="0" wrapText="true" indent="0" shrinkToFit="false"/>
      <protection locked="true" hidden="false"/>
    </xf>
    <xf numFmtId="164" fontId="73" fillId="0" borderId="0" xfId="0" applyFont="true" applyBorder="true" applyAlignment="true" applyProtection="false">
      <alignment horizontal="left" vertical="center" textRotation="0" wrapText="true" indent="0" shrinkToFit="false"/>
      <protection locked="true" hidden="false"/>
    </xf>
    <xf numFmtId="164" fontId="76" fillId="39" borderId="0" xfId="0" applyFont="true" applyBorder="true" applyAlignment="true" applyProtection="false">
      <alignment horizontal="left" vertical="bottom" textRotation="0" wrapText="false" indent="0" shrinkToFit="false"/>
      <protection locked="true" hidden="false"/>
    </xf>
    <xf numFmtId="164" fontId="0" fillId="39" borderId="0" xfId="0" applyFont="false" applyBorder="false" applyAlignment="false" applyProtection="false">
      <alignment horizontal="general" vertical="bottom" textRotation="0" wrapText="false" indent="0" shrinkToFit="false"/>
      <protection locked="true" hidden="false"/>
    </xf>
    <xf numFmtId="164" fontId="73" fillId="39" borderId="0" xfId="0" applyFont="true" applyBorder="false" applyAlignment="true" applyProtection="false">
      <alignment horizontal="right" vertical="bottom" textRotation="0" wrapText="false" indent="0" shrinkToFit="false"/>
      <protection locked="true" hidden="false"/>
    </xf>
    <xf numFmtId="164" fontId="73" fillId="39"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24" fillId="26" borderId="1" xfId="49" applyFont="true" applyBorder="true" applyAlignment="true" applyProtection="true">
      <alignment horizontal="center" vertical="center" textRotation="0" wrapText="true" indent="0" shrinkToFit="false"/>
      <protection locked="true" hidden="false"/>
    </xf>
    <xf numFmtId="164" fontId="15" fillId="0" borderId="84"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71" fontId="0" fillId="3" borderId="0" xfId="19" applyFont="false" applyBorder="true" applyAlignment="false" applyProtection="true">
      <alignment horizontal="general" vertical="bottom" textRotation="0" wrapText="false" indent="0" shrinkToFit="false"/>
      <protection locked="true" hidden="false"/>
    </xf>
    <xf numFmtId="164" fontId="73" fillId="0" borderId="0" xfId="0" applyFont="true" applyBorder="true" applyAlignment="true" applyProtection="false">
      <alignment horizontal="right" vertical="bottom" textRotation="0" wrapText="false" indent="0" shrinkToFit="false"/>
      <protection locked="true" hidden="false"/>
    </xf>
    <xf numFmtId="164" fontId="73"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right" vertical="bottom" textRotation="0" wrapText="false" indent="0" shrinkToFit="false"/>
      <protection locked="true" hidden="false"/>
    </xf>
    <xf numFmtId="171" fontId="0" fillId="3" borderId="0" xfId="44" applyFont="fals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24" fillId="26" borderId="40" xfId="49" applyFont="true" applyBorder="true" applyAlignment="true" applyProtection="true">
      <alignment horizontal="center" vertical="center" textRotation="0" wrapText="true" indent="0" shrinkToFit="false"/>
      <protection locked="false" hidden="false"/>
    </xf>
    <xf numFmtId="164" fontId="108" fillId="0" borderId="0" xfId="0" applyFont="true" applyBorder="true" applyAlignment="false" applyProtection="false">
      <alignment horizontal="general" vertical="bottom" textRotation="0" wrapText="false" indent="0" shrinkToFit="false"/>
      <protection locked="true" hidden="false"/>
    </xf>
    <xf numFmtId="164" fontId="19" fillId="0" borderId="84" xfId="0" applyFont="true" applyBorder="true" applyAlignment="false" applyProtection="false">
      <alignment horizontal="general" vertical="bottom" textRotation="0" wrapText="false" indent="0" shrinkToFit="false"/>
      <protection locked="true" hidden="false"/>
    </xf>
    <xf numFmtId="164" fontId="0" fillId="25" borderId="63" xfId="50" applyFont="true" applyBorder="true" applyAlignment="true" applyProtection="true">
      <alignment horizontal="center" vertical="center" textRotation="0" wrapText="true" indent="0" shrinkToFit="false"/>
      <protection locked="true" hidden="false"/>
    </xf>
    <xf numFmtId="164" fontId="0" fillId="25" borderId="16" xfId="50" applyFont="true" applyBorder="true" applyAlignment="true" applyProtection="true">
      <alignment horizontal="center" vertical="center" textRotation="0" wrapText="true" indent="0" shrinkToFit="false"/>
      <protection locked="true" hidden="false"/>
    </xf>
    <xf numFmtId="181" fontId="0" fillId="25" borderId="64" xfId="50" applyFont="true" applyBorder="true" applyAlignment="true" applyProtection="true">
      <alignment horizontal="center" vertical="center" textRotation="0" wrapText="true" indent="0" shrinkToFit="false"/>
      <protection locked="true" hidden="false"/>
    </xf>
    <xf numFmtId="164" fontId="24" fillId="26" borderId="1" xfId="49" applyFont="true" applyBorder="true" applyAlignment="true" applyProtection="true">
      <alignment horizontal="center" vertical="center" textRotation="0" wrapText="true" indent="0" shrinkToFit="false"/>
      <protection locked="false" hidden="false"/>
    </xf>
    <xf numFmtId="164" fontId="0" fillId="25" borderId="40" xfId="50" applyFont="true" applyBorder="true" applyAlignment="true" applyProtection="true">
      <alignment horizontal="center" vertical="center" textRotation="0" wrapText="false" indent="0" shrinkToFit="false"/>
      <protection locked="true" hidden="false"/>
    </xf>
    <xf numFmtId="164" fontId="15" fillId="0" borderId="85" xfId="0" applyFont="true" applyBorder="true" applyAlignment="true" applyProtection="false">
      <alignment horizontal="center" vertical="center" textRotation="0" wrapText="false" indent="0" shrinkToFit="false"/>
      <protection locked="true" hidden="false"/>
    </xf>
    <xf numFmtId="164" fontId="15" fillId="0" borderId="65" xfId="0" applyFont="true" applyBorder="true" applyAlignment="true" applyProtection="false">
      <alignment horizontal="center" vertical="center" textRotation="0" wrapText="true" indent="0" shrinkToFit="false"/>
      <protection locked="true" hidden="false"/>
    </xf>
    <xf numFmtId="164" fontId="0" fillId="22" borderId="43" xfId="41" applyFont="false" applyBorder="true" applyAlignment="true" applyProtection="true">
      <alignment horizontal="general" vertical="center"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0" fillId="24" borderId="62" xfId="45" applyFont="false" applyBorder="true" applyAlignment="true" applyProtection="true">
      <alignment horizontal="general" vertical="center" textRotation="0" wrapText="false" indent="0" shrinkToFit="false"/>
      <protection locked="true" hidden="false"/>
    </xf>
    <xf numFmtId="164" fontId="0" fillId="25" borderId="59" xfId="50" applyFont="true" applyBorder="true" applyAlignment="true" applyProtection="true">
      <alignment horizontal="center" vertical="center" textRotation="0" wrapText="true" indent="0" shrinkToFit="false"/>
      <protection locked="true" hidden="false"/>
    </xf>
    <xf numFmtId="164" fontId="15" fillId="0" borderId="47" xfId="0" applyFont="true" applyBorder="true" applyAlignment="true" applyProtection="false">
      <alignment horizontal="center" vertical="center" textRotation="0" wrapText="true" indent="0" shrinkToFit="false"/>
      <protection locked="true" hidden="false"/>
    </xf>
    <xf numFmtId="164" fontId="73" fillId="0" borderId="0" xfId="0" applyFont="true" applyBorder="true" applyAlignment="true" applyProtection="false">
      <alignment horizontal="right" vertical="bottom"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9" fontId="0" fillId="3" borderId="7" xfId="44" applyFont="false" applyBorder="true" applyAlignment="true" applyProtection="true">
      <alignment horizontal="center" vertical="center" textRotation="0" wrapText="false" indent="0" shrinkToFit="false"/>
      <protection locked="true" hidden="false"/>
    </xf>
    <xf numFmtId="164" fontId="0" fillId="25" borderId="58" xfId="50" applyFont="true" applyBorder="true" applyAlignment="true" applyProtection="true">
      <alignment horizontal="center" vertical="center" textRotation="0" wrapText="true" indent="0" shrinkToFit="false"/>
      <protection locked="true" hidden="false"/>
    </xf>
    <xf numFmtId="164" fontId="15" fillId="0" borderId="68" xfId="0" applyFont="true" applyBorder="true" applyAlignment="true" applyProtection="false">
      <alignment horizontal="center" vertical="center" textRotation="0" wrapText="true" indent="0" shrinkToFit="false"/>
      <protection locked="true" hidden="false"/>
    </xf>
    <xf numFmtId="164" fontId="15" fillId="0" borderId="75" xfId="0" applyFont="true" applyBorder="true" applyAlignment="true" applyProtection="false">
      <alignment horizontal="center" vertical="center" textRotation="0" wrapText="true" indent="0" shrinkToFit="false"/>
      <protection locked="true" hidden="false"/>
    </xf>
    <xf numFmtId="164" fontId="18" fillId="24" borderId="86" xfId="0" applyFont="true" applyBorder="true" applyAlignment="true" applyProtection="false">
      <alignment horizontal="center" vertical="center" textRotation="0" wrapText="true" indent="0" shrinkToFit="false"/>
      <protection locked="true" hidden="false"/>
    </xf>
    <xf numFmtId="164" fontId="18" fillId="24" borderId="71" xfId="0" applyFont="true" applyBorder="true" applyAlignment="true" applyProtection="false">
      <alignment horizontal="center" vertical="center" textRotation="0" wrapText="true" indent="0" shrinkToFit="false"/>
      <protection locked="true" hidden="false"/>
    </xf>
    <xf numFmtId="164" fontId="73" fillId="0" borderId="0" xfId="0" applyFont="true" applyBorder="false" applyAlignment="true" applyProtection="false">
      <alignment horizontal="right" vertical="bottom" textRotation="0" wrapText="false" indent="0" shrinkToFit="false"/>
      <protection locked="true" hidden="false"/>
    </xf>
    <xf numFmtId="164" fontId="24" fillId="26" borderId="1" xfId="49" applyFont="true" applyBorder="true" applyAlignment="true" applyProtection="true">
      <alignment horizontal="center" vertical="center" textRotation="0" wrapText="false" indent="0" shrinkToFit="false"/>
      <protection locked="true" hidden="false"/>
    </xf>
    <xf numFmtId="164" fontId="18" fillId="0" borderId="87" xfId="0" applyFont="true" applyBorder="true" applyAlignment="true" applyProtection="false">
      <alignment horizontal="right" vertical="bottom" textRotation="0" wrapText="false" indent="0" shrinkToFit="false"/>
      <protection locked="true" hidden="false"/>
    </xf>
    <xf numFmtId="164" fontId="18" fillId="24" borderId="71" xfId="0" applyFont="true" applyBorder="true" applyAlignment="true" applyProtection="false">
      <alignment horizontal="center" vertical="bottom" textRotation="0" wrapText="false" indent="0" shrinkToFit="false"/>
      <protection locked="true" hidden="false"/>
    </xf>
    <xf numFmtId="164" fontId="93" fillId="0" borderId="0" xfId="20" applyFont="true" applyBorder="true" applyAlignment="false" applyProtection="true">
      <alignment horizontal="general" vertical="bottom" textRotation="0" wrapText="false" indent="0" shrinkToFit="false"/>
      <protection locked="true" hidden="false"/>
    </xf>
    <xf numFmtId="164" fontId="109"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true" applyAlignment="true" applyProtection="false">
      <alignment horizontal="right" vertical="bottom" textRotation="0" wrapText="false" indent="0" shrinkToFit="false"/>
      <protection locked="true" hidden="false"/>
    </xf>
    <xf numFmtId="164" fontId="11" fillId="0" borderId="0" xfId="0" applyFont="true" applyBorder="true" applyAlignment="true" applyProtection="false">
      <alignment horizontal="right" vertical="center" textRotation="0" wrapText="false" indent="0" shrinkToFit="false"/>
      <protection locked="true" hidden="false"/>
    </xf>
    <xf numFmtId="164" fontId="24" fillId="3" borderId="88" xfId="44" applyFont="true" applyBorder="true" applyAlignment="true" applyProtection="true">
      <alignment horizontal="center" vertical="center" textRotation="0" wrapText="true" indent="0" shrinkToFit="false"/>
      <protection locked="true" hidden="false"/>
    </xf>
    <xf numFmtId="171" fontId="24" fillId="3" borderId="86" xfId="44" applyFont="true" applyBorder="true" applyAlignment="true" applyProtection="true">
      <alignment horizontal="center" vertical="center" textRotation="0" wrapText="true" indent="0" shrinkToFit="false"/>
      <protection locked="true" hidden="false"/>
    </xf>
    <xf numFmtId="164" fontId="76"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9" fillId="0" borderId="87" xfId="0" applyFont="true" applyBorder="true" applyAlignment="true" applyProtection="false">
      <alignment horizontal="left" vertical="center" textRotation="0" wrapText="true" indent="0" shrinkToFit="false"/>
      <protection locked="true" hidden="false"/>
    </xf>
    <xf numFmtId="164" fontId="15" fillId="24" borderId="71" xfId="0" applyFont="true" applyBorder="true" applyAlignment="true" applyProtection="false">
      <alignment horizontal="center" vertical="center" textRotation="0" wrapText="true" indent="0" shrinkToFit="false"/>
      <protection locked="true" hidden="false"/>
    </xf>
    <xf numFmtId="164" fontId="89"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9" fillId="0" borderId="87" xfId="0" applyFont="true" applyBorder="true" applyAlignment="true" applyProtection="false">
      <alignment horizontal="right" vertical="bottom" textRotation="0" wrapText="tru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31" fillId="0" borderId="0" xfId="0" applyFont="true" applyBorder="false" applyAlignment="true" applyProtection="false">
      <alignment horizontal="right" vertical="bottom" textRotation="0" wrapText="false" indent="0" shrinkToFit="false"/>
      <protection locked="true" hidden="false"/>
    </xf>
    <xf numFmtId="164" fontId="0" fillId="23" borderId="0" xfId="43" applyFont="true" applyBorder="true" applyAlignment="true" applyProtection="true">
      <alignment horizontal="left" vertical="bottom" textRotation="0" wrapText="true" indent="0" shrinkToFit="false"/>
      <protection locked="true" hidden="false"/>
    </xf>
    <xf numFmtId="164" fontId="0" fillId="23" borderId="0" xfId="43" applyFont="false" applyBorder="true" applyAlignment="true" applyProtection="true">
      <alignment horizontal="general" vertical="bottom" textRotation="0" wrapText="false" indent="0" shrinkToFit="false"/>
      <protection locked="true" hidden="false"/>
    </xf>
    <xf numFmtId="164" fontId="0" fillId="23" borderId="0" xfId="43" applyFont="false" applyBorder="true" applyAlignment="true" applyProtection="tru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4" fillId="26" borderId="39" xfId="49" applyFont="true" applyBorder="true" applyAlignment="true" applyProtection="true">
      <alignment horizontal="center" vertical="center" textRotation="0" wrapText="true" indent="0" shrinkToFit="false"/>
      <protection locked="true" hidden="false"/>
    </xf>
    <xf numFmtId="164" fontId="15" fillId="0" borderId="6" xfId="0" applyFont="true" applyBorder="true" applyAlignment="true" applyProtection="false">
      <alignment horizontal="center" vertical="bottom" textRotation="0" wrapText="false" indent="0" shrinkToFit="false"/>
      <protection locked="true" hidden="false"/>
    </xf>
    <xf numFmtId="164" fontId="0" fillId="0" borderId="6" xfId="44" applyFont="false" applyBorder="true" applyAlignment="true" applyProtection="true">
      <alignment horizontal="center" vertical="center" textRotation="0" wrapText="false" indent="0" shrinkToFit="false"/>
      <protection locked="true" hidden="false"/>
    </xf>
    <xf numFmtId="164" fontId="15" fillId="0" borderId="6"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bottom" textRotation="0" wrapText="false" indent="0" shrinkToFit="false"/>
      <protection locked="true" hidden="false"/>
    </xf>
    <xf numFmtId="164" fontId="15" fillId="24" borderId="6" xfId="0" applyFont="true" applyBorder="true" applyAlignment="true" applyProtection="false">
      <alignment horizontal="center" vertical="bottom" textRotation="0" wrapText="false" indent="0" shrinkToFit="false"/>
      <protection locked="true" hidden="false"/>
    </xf>
    <xf numFmtId="164" fontId="15" fillId="24" borderId="6"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8" fillId="24" borderId="6"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8" fillId="0" borderId="31" xfId="0" applyFont="true" applyBorder="true" applyAlignment="true" applyProtection="false">
      <alignment horizontal="right" vertical="center" textRotation="0" wrapText="true" indent="0" shrinkToFit="false"/>
      <protection locked="true" hidden="false"/>
    </xf>
    <xf numFmtId="164" fontId="18" fillId="24" borderId="19"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right" vertical="center" textRotation="0" wrapText="true" indent="0" shrinkToFit="false"/>
      <protection locked="true" hidden="false"/>
    </xf>
    <xf numFmtId="171" fontId="0" fillId="3" borderId="0" xfId="44" applyFont="fals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9" fillId="26" borderId="1" xfId="49" applyFont="true" applyBorder="true" applyAlignment="true" applyProtection="true">
      <alignment horizontal="center" vertical="center" textRotation="0" wrapText="true" indent="0" shrinkToFit="false"/>
      <protection locked="true" hidden="false"/>
    </xf>
    <xf numFmtId="164" fontId="111" fillId="26" borderId="1" xfId="49" applyFont="true" applyBorder="true" applyAlignment="true" applyProtection="true">
      <alignment horizontal="center" vertical="center" textRotation="0" wrapText="true" indent="0" shrinkToFit="false"/>
      <protection locked="true" hidden="false"/>
    </xf>
    <xf numFmtId="164" fontId="18" fillId="0" borderId="30" xfId="0" applyFont="true" applyBorder="true" applyAlignment="true" applyProtection="false">
      <alignment horizontal="general" vertical="bottom" textRotation="0" wrapText="true" indent="0" shrinkToFit="false"/>
      <protection locked="true" hidden="false"/>
    </xf>
    <xf numFmtId="164" fontId="0" fillId="25" borderId="5" xfId="50" applyFont="false" applyBorder="true" applyAlignment="true" applyProtection="true">
      <alignment horizontal="general" vertical="center" textRotation="0" wrapText="true" indent="0" shrinkToFit="false"/>
      <protection locked="true" hidden="false"/>
    </xf>
    <xf numFmtId="164" fontId="0" fillId="25" borderId="1" xfId="50" applyFont="true" applyBorder="true" applyAlignment="true" applyProtection="true">
      <alignment horizontal="center" vertical="center" textRotation="0" wrapText="true" indent="0" shrinkToFit="false"/>
      <protection locked="true" hidden="false"/>
    </xf>
    <xf numFmtId="164" fontId="0" fillId="25" borderId="5" xfId="50" applyFont="true" applyBorder="true" applyAlignment="true" applyProtection="true">
      <alignment horizontal="center" vertical="center" textRotation="0" wrapText="true" indent="0" shrinkToFit="false"/>
      <protection locked="true" hidden="false"/>
    </xf>
    <xf numFmtId="174" fontId="0" fillId="3" borderId="0" xfId="44" applyFont="fals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18" fillId="24" borderId="7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4" fillId="26" borderId="0" xfId="49" applyFont="true" applyBorder="true" applyAlignment="true" applyProtection="tru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74" fontId="0" fillId="3" borderId="0" xfId="44" applyFont="false" applyBorder="true" applyAlignment="true" applyProtection="true">
      <alignment horizontal="center" vertical="center" textRotation="0" wrapText="false" indent="0" shrinkToFit="false"/>
      <protection locked="true" hidden="false"/>
    </xf>
    <xf numFmtId="164" fontId="18" fillId="0" borderId="31" xfId="0" applyFont="true" applyBorder="true" applyAlignment="true" applyProtection="false">
      <alignment horizontal="general" vertical="center" textRotation="0" wrapText="false" indent="0" shrinkToFit="false"/>
      <protection locked="true" hidden="false"/>
    </xf>
    <xf numFmtId="164" fontId="18" fillId="24" borderId="6" xfId="0" applyFont="true" applyBorder="true" applyAlignment="true" applyProtection="false">
      <alignment horizontal="center" vertical="center" textRotation="0" wrapText="false" indent="0" shrinkToFit="false"/>
      <protection locked="true" hidden="false"/>
    </xf>
    <xf numFmtId="164" fontId="18" fillId="0" borderId="30" xfId="0" applyFont="true" applyBorder="true" applyAlignment="true" applyProtection="false">
      <alignment horizontal="left" vertical="center" textRotation="0" wrapText="true" indent="0" shrinkToFit="false"/>
      <protection locked="true" hidden="false"/>
    </xf>
    <xf numFmtId="169" fontId="18" fillId="0" borderId="0" xfId="0" applyFont="true" applyBorder="true" applyAlignment="true" applyProtection="false">
      <alignment horizontal="righ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71" fontId="0" fillId="3" borderId="0" xfId="44"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8" fillId="24" borderId="71" xfId="0" applyFont="true" applyBorder="true" applyAlignment="true" applyProtection="false">
      <alignment horizontal="center" vertical="bottom" textRotation="0" wrapText="true" indent="0" shrinkToFit="false"/>
      <protection locked="true" hidden="false"/>
    </xf>
    <xf numFmtId="164" fontId="18" fillId="24" borderId="86"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8" fillId="0" borderId="87" xfId="0" applyFont="true" applyBorder="tru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18" fillId="0" borderId="87" xfId="0" applyFont="true" applyBorder="true" applyAlignment="true" applyProtection="false">
      <alignment horizontal="right" vertical="bottom" textRotation="0" wrapText="true" indent="0" shrinkToFit="false"/>
      <protection locked="true" hidden="false"/>
    </xf>
    <xf numFmtId="169" fontId="24" fillId="3" borderId="71" xfId="44" applyFont="true" applyBorder="true" applyAlignment="true" applyProtection="tru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12"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74" fontId="0" fillId="3" borderId="0" xfId="44" applyFont="false" applyBorder="true" applyAlignment="true" applyProtection="true">
      <alignment horizontal="center" vertical="center" textRotation="0" wrapText="true" indent="0" shrinkToFit="false"/>
      <protection locked="true" hidden="false"/>
    </xf>
    <xf numFmtId="171" fontId="24" fillId="3" borderId="71" xfId="44" applyFont="true" applyBorder="true" applyAlignment="true" applyProtection="true">
      <alignment horizontal="center" vertical="bottom" textRotation="0" wrapText="true" indent="0" shrinkToFit="false"/>
      <protection locked="true" hidden="false"/>
    </xf>
    <xf numFmtId="164" fontId="73" fillId="0" borderId="89" xfId="0" applyFont="true" applyBorder="true" applyAlignment="false" applyProtection="false">
      <alignment horizontal="general" vertical="bottom" textRotation="0" wrapText="false" indent="0" shrinkToFit="false"/>
      <protection locked="true" hidden="false"/>
    </xf>
    <xf numFmtId="164" fontId="73" fillId="0" borderId="8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24" fillId="26" borderId="0" xfId="49" applyFont="true" applyBorder="true" applyAlignment="true" applyProtection="true">
      <alignment horizontal="center" vertical="center" textRotation="0" wrapText="true" indent="0" shrinkToFit="false"/>
      <protection locked="true" hidden="false"/>
    </xf>
    <xf numFmtId="171" fontId="24" fillId="3" borderId="71" xfId="44"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true" applyProtection="false">
      <alignment horizontal="right" vertical="center" textRotation="0" wrapText="true" indent="0" shrinkToFit="false"/>
      <protection locked="true" hidden="false"/>
    </xf>
    <xf numFmtId="164" fontId="29" fillId="0" borderId="0" xfId="0" applyFont="true" applyBorder="false" applyAlignment="true" applyProtection="false">
      <alignment horizontal="right" vertical="bottom" textRotation="0" wrapText="false" indent="0" shrinkToFit="false"/>
      <protection locked="true" hidden="false"/>
    </xf>
    <xf numFmtId="164" fontId="82" fillId="0" borderId="0" xfId="0" applyFont="true" applyBorder="true" applyAlignment="true" applyProtection="false">
      <alignment horizontal="right" vertical="bottom" textRotation="0" wrapText="false" indent="0" shrinkToFit="false"/>
      <protection locked="true" hidden="false"/>
    </xf>
    <xf numFmtId="164" fontId="26" fillId="0" borderId="0" xfId="0" applyFont="true" applyBorder="true" applyAlignment="true" applyProtection="false">
      <alignment horizontal="right" vertical="bottom" textRotation="0" wrapText="false" indent="0" shrinkToFit="false"/>
      <protection locked="true" hidden="false"/>
    </xf>
    <xf numFmtId="164" fontId="31" fillId="0" borderId="0" xfId="0" applyFont="true" applyBorder="true" applyAlignment="true" applyProtection="false">
      <alignment horizontal="right" vertical="bottom" textRotation="0" wrapText="false" indent="0" shrinkToFit="false"/>
      <protection locked="true" hidden="false"/>
    </xf>
    <xf numFmtId="164" fontId="113" fillId="0" borderId="0" xfId="0" applyFont="true" applyBorder="true" applyAlignment="false" applyProtection="false">
      <alignment horizontal="general" vertical="bottom" textRotation="0" wrapText="false" indent="0" shrinkToFit="false"/>
      <protection locked="true" hidden="false"/>
    </xf>
    <xf numFmtId="164" fontId="82" fillId="0" borderId="0" xfId="0" applyFont="true" applyBorder="true" applyAlignment="true" applyProtection="false">
      <alignment horizontal="center" vertical="bottom" textRotation="0" wrapText="false" indent="0" shrinkToFit="false"/>
      <protection locked="true" hidden="false"/>
    </xf>
    <xf numFmtId="164" fontId="114" fillId="0" borderId="0" xfId="0" applyFont="true" applyBorder="true" applyAlignment="true" applyProtection="false">
      <alignment horizontal="general" vertical="bottom" textRotation="0" wrapText="false" indent="0" shrinkToFit="false"/>
      <protection locked="true" hidden="false"/>
    </xf>
    <xf numFmtId="164" fontId="93"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18" fillId="26" borderId="6" xfId="49" applyFont="true" applyBorder="true" applyAlignment="true" applyProtection="true">
      <alignment horizontal="center" vertical="center" textRotation="0" wrapText="true" indent="0" shrinkToFit="false"/>
      <protection locked="true" hidden="false"/>
    </xf>
    <xf numFmtId="164" fontId="24" fillId="26" borderId="6" xfId="49"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25" borderId="6" xfId="0" applyFont="true" applyBorder="true" applyAlignment="true" applyProtection="false">
      <alignment horizontal="center" vertical="center" textRotation="0" wrapText="true" indent="0" shrinkToFit="false"/>
      <protection locked="true" hidden="false"/>
    </xf>
    <xf numFmtId="164" fontId="15" fillId="26" borderId="6" xfId="49" applyFont="true" applyBorder="true" applyAlignment="true" applyProtection="true">
      <alignment horizontal="center" vertical="center" textRotation="0" wrapText="true" indent="0" shrinkToFit="false"/>
      <protection locked="true" hidden="false"/>
    </xf>
    <xf numFmtId="164" fontId="15" fillId="30" borderId="6" xfId="0" applyFont="true" applyBorder="tru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71" fontId="0" fillId="3" borderId="71" xfId="19" applyFont="fals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general" vertical="bottom" textRotation="0" wrapText="true" indent="0" shrinkToFit="false"/>
      <protection locked="true" hidden="false"/>
    </xf>
    <xf numFmtId="164" fontId="15" fillId="24" borderId="6"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right" vertical="bottom" textRotation="0" wrapText="true" indent="0" shrinkToFit="false"/>
      <protection locked="true" hidden="false"/>
    </xf>
    <xf numFmtId="164" fontId="32" fillId="0" borderId="0" xfId="0" applyFont="true" applyBorder="true" applyAlignment="true" applyProtection="false">
      <alignment horizontal="center" vertical="center" textRotation="0" wrapText="true" indent="0" shrinkToFit="false"/>
      <protection locked="true" hidden="false"/>
    </xf>
    <xf numFmtId="164" fontId="76" fillId="0" borderId="0" xfId="0" applyFont="true" applyBorder="true" applyAlignment="true" applyProtection="false">
      <alignment horizontal="left" vertical="bottom" textRotation="0" wrapText="false" indent="0" shrinkToFit="false"/>
      <protection locked="true" hidden="false"/>
    </xf>
    <xf numFmtId="164" fontId="73" fillId="0" borderId="0" xfId="0" applyFont="true" applyBorder="true" applyAlignment="true" applyProtection="false">
      <alignment horizontal="left" vertical="bottom" textRotation="0" wrapText="false" indent="0" shrinkToFit="false"/>
      <protection locked="true" hidden="false"/>
    </xf>
    <xf numFmtId="164" fontId="19" fillId="0" borderId="87" xfId="0" applyFont="true" applyBorder="tru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true" applyAlignment="true" applyProtection="false">
      <alignment horizontal="right" vertical="bottom" textRotation="0" wrapText="false" indent="0" shrinkToFit="false"/>
      <protection locked="true" hidden="false"/>
    </xf>
    <xf numFmtId="169" fontId="15" fillId="24" borderId="0" xfId="0" applyFont="true" applyBorder="true" applyAlignment="true" applyProtection="false">
      <alignment horizontal="center" vertical="center" textRotation="0" wrapText="false" indent="0" shrinkToFit="false"/>
      <protection locked="true" hidden="false"/>
    </xf>
    <xf numFmtId="164" fontId="7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87" xfId="0" applyFont="true" applyBorder="true" applyAlignment="true" applyProtection="false">
      <alignment horizontal="right" vertical="center" textRotation="0" wrapText="true" indent="0" shrinkToFit="false"/>
      <protection locked="true" hidden="false"/>
    </xf>
    <xf numFmtId="164" fontId="115" fillId="0" borderId="0" xfId="0" applyFont="true" applyBorder="false" applyAlignment="false" applyProtection="false">
      <alignment horizontal="general" vertical="bottom" textRotation="0" wrapText="false" indent="0" shrinkToFit="false"/>
      <protection locked="true" hidden="false"/>
    </xf>
    <xf numFmtId="164" fontId="26" fillId="24" borderId="71"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true" applyAlignment="true" applyProtection="false">
      <alignment horizontal="right" vertical="bottom" textRotation="0" wrapText="false" indent="0" shrinkToFit="false"/>
      <protection locked="true" hidden="false"/>
    </xf>
    <xf numFmtId="164" fontId="73" fillId="24" borderId="0" xfId="0" applyFont="true" applyBorder="true" applyAlignment="true" applyProtection="false">
      <alignment horizontal="center" vertical="bottom" textRotation="0" wrapText="false" indent="0" shrinkToFit="false"/>
      <protection locked="true" hidden="false"/>
    </xf>
    <xf numFmtId="169" fontId="72" fillId="0" borderId="0"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74" fontId="24" fillId="3" borderId="71" xfId="44" applyFont="true" applyBorder="true" applyAlignment="true" applyProtection="true">
      <alignment horizontal="center" vertical="center" textRotation="0" wrapText="tru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4" fontId="19" fillId="0" borderId="87" xfId="0" applyFont="true" applyBorder="true" applyAlignment="true" applyProtection="false">
      <alignment horizontal="right" vertical="center" textRotation="0" wrapText="false" indent="0" shrinkToFit="false"/>
      <protection locked="true" hidden="false"/>
    </xf>
    <xf numFmtId="171" fontId="26" fillId="24" borderId="71" xfId="19" applyFont="true" applyBorder="true" applyAlignment="true" applyProtection="true">
      <alignment horizontal="center" vertical="bottom" textRotation="0" wrapText="false" indent="0" shrinkToFit="false"/>
      <protection locked="true" hidden="false"/>
    </xf>
    <xf numFmtId="164" fontId="18" fillId="0" borderId="0"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73" fillId="0" borderId="0" xfId="0" applyFont="true" applyBorder="true" applyAlignment="true" applyProtection="false">
      <alignment horizontal="right" vertical="center" textRotation="0" wrapText="true" indent="0" shrinkToFit="false"/>
      <protection locked="true" hidden="false"/>
    </xf>
    <xf numFmtId="164" fontId="73" fillId="0" borderId="0" xfId="0" applyFont="true" applyBorder="false" applyAlignment="true" applyProtection="false">
      <alignment horizontal="left" vertical="center" textRotation="0" wrapText="false" indent="0" shrinkToFit="false"/>
      <protection locked="true" hidden="false"/>
    </xf>
    <xf numFmtId="164" fontId="76" fillId="0" borderId="0" xfId="0" applyFont="true" applyBorder="false" applyAlignment="true" applyProtection="false">
      <alignment horizontal="left" vertical="bottom" textRotation="0" wrapText="false" indent="0" shrinkToFit="false"/>
      <protection locked="true" hidden="false"/>
    </xf>
    <xf numFmtId="164" fontId="116" fillId="26" borderId="0" xfId="49" applyFont="true" applyBorder="true" applyAlignment="true" applyProtection="true">
      <alignment horizontal="center" vertical="bottom" textRotation="0" wrapText="true" indent="0" shrinkToFit="false"/>
      <protection locked="true" hidden="false"/>
    </xf>
    <xf numFmtId="164" fontId="81"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72" fontId="0" fillId="3" borderId="0" xfId="44" applyFont="false" applyBorder="true" applyAlignment="true" applyProtection="true">
      <alignment horizontal="center"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true" indent="0" shrinkToFit="false"/>
      <protection locked="true" hidden="false"/>
    </xf>
    <xf numFmtId="164" fontId="24" fillId="3" borderId="71" xfId="44" applyFont="true" applyBorder="true" applyAlignment="true" applyProtection="true">
      <alignment horizontal="center" vertical="center" textRotation="0" wrapText="true" indent="0" shrinkToFit="false"/>
      <protection locked="true" hidden="false"/>
    </xf>
    <xf numFmtId="164" fontId="73" fillId="0" borderId="0" xfId="0" applyFont="true" applyBorder="true" applyAlignment="true" applyProtection="false">
      <alignment horizontal="general" vertical="bottom" textRotation="0" wrapText="false" indent="0" shrinkToFit="false"/>
      <protection locked="true" hidden="false"/>
    </xf>
    <xf numFmtId="164" fontId="117" fillId="0" borderId="0" xfId="0" applyFont="true" applyBorder="false" applyAlignment="true" applyProtection="false">
      <alignment horizontal="right" vertical="center" textRotation="0" wrapText="false" indent="0" shrinkToFit="false"/>
      <protection locked="true" hidden="false"/>
    </xf>
    <xf numFmtId="164" fontId="82" fillId="0" borderId="0" xfId="0" applyFont="true" applyBorder="true" applyAlignment="true" applyProtection="false">
      <alignment horizontal="left" vertical="bottom" textRotation="0" wrapText="false" indent="0" shrinkToFit="false"/>
      <protection locked="true" hidden="false"/>
    </xf>
    <xf numFmtId="174" fontId="73"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72" fontId="0" fillId="3" borderId="0" xfId="44" applyFont="false" applyBorder="true" applyAlignment="true" applyProtection="true">
      <alignment horizontal="center" vertical="center" textRotation="0" wrapText="false" indent="0" shrinkToFit="false"/>
      <protection locked="true" hidden="false"/>
    </xf>
    <xf numFmtId="164" fontId="73"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center" textRotation="0" wrapText="true" indent="0" shrinkToFit="false"/>
      <protection locked="true" hidden="false"/>
    </xf>
    <xf numFmtId="164" fontId="15" fillId="0" borderId="0" xfId="0" applyFont="true" applyBorder="true" applyAlignment="true" applyProtection="false">
      <alignment horizontal="left" vertical="center" textRotation="0" wrapText="true" indent="0" shrinkToFit="false"/>
      <protection locked="true" hidden="false"/>
    </xf>
    <xf numFmtId="164" fontId="117"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82" fontId="24" fillId="3" borderId="86" xfId="44" applyFont="true" applyBorder="true" applyAlignment="true" applyProtection="true">
      <alignment horizontal="center" vertical="center" textRotation="0" wrapText="true" indent="0" shrinkToFit="false"/>
      <protection locked="true" hidden="false"/>
    </xf>
    <xf numFmtId="164" fontId="31" fillId="0" borderId="0" xfId="0" applyFont="true" applyBorder="false" applyAlignment="true" applyProtection="false">
      <alignment horizontal="right" vertical="bottom" textRotation="0" wrapText="false" indent="0" shrinkToFit="false"/>
      <protection locked="true" hidden="false"/>
    </xf>
    <xf numFmtId="164" fontId="117" fillId="0" borderId="0" xfId="0" applyFont="true" applyBorder="false" applyAlignment="true" applyProtection="false">
      <alignment horizontal="general" vertical="center"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74" fontId="82"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right" vertical="center" textRotation="0" wrapText="false" indent="0" shrinkToFit="false"/>
      <protection locked="true" hidden="false"/>
    </xf>
    <xf numFmtId="169" fontId="24" fillId="3" borderId="0" xfId="44" applyFont="true" applyBorder="tru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10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118" fillId="24" borderId="71" xfId="0" applyFont="true" applyBorder="true" applyAlignment="false" applyProtection="false">
      <alignment horizontal="general" vertical="bottom" textRotation="0" wrapText="false" indent="0" shrinkToFit="false"/>
      <protection locked="true" hidden="false"/>
    </xf>
    <xf numFmtId="164" fontId="119"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general" vertical="center" textRotation="0" wrapText="false" indent="0" shrinkToFit="false"/>
      <protection locked="true" hidden="false"/>
    </xf>
    <xf numFmtId="164" fontId="19" fillId="26" borderId="6" xfId="49" applyFont="true" applyBorder="true" applyAlignment="true" applyProtection="true">
      <alignment horizontal="center" vertical="center" textRotation="0" wrapText="true" indent="0" shrinkToFit="false"/>
      <protection locked="true" hidden="false"/>
    </xf>
    <xf numFmtId="164" fontId="0" fillId="25" borderId="32" xfId="50" applyFont="true" applyBorder="true" applyAlignment="true" applyProtection="true">
      <alignment horizontal="center" vertical="center" textRotation="0" wrapText="false" indent="0" shrinkToFit="false"/>
      <protection locked="true" hidden="false"/>
    </xf>
    <xf numFmtId="164" fontId="0" fillId="25" borderId="19" xfId="50" applyFont="true" applyBorder="true" applyAlignment="true" applyProtection="true">
      <alignment horizontal="center" vertical="center" textRotation="0" wrapText="false" indent="0" shrinkToFit="false"/>
      <protection locked="true" hidden="false"/>
    </xf>
    <xf numFmtId="164" fontId="0" fillId="25" borderId="33" xfId="50" applyFont="true" applyBorder="true" applyAlignment="true" applyProtection="true">
      <alignment horizontal="center" vertical="center" textRotation="0" wrapText="false" indent="0" shrinkToFit="false"/>
      <protection locked="true" hidden="false"/>
    </xf>
    <xf numFmtId="164" fontId="0" fillId="25" borderId="6" xfId="50" applyFont="true" applyBorder="true" applyAlignment="true" applyProtection="true">
      <alignment horizontal="center" vertical="center" textRotation="0" wrapText="false" indent="0" shrinkToFit="false"/>
      <protection locked="true" hidden="false"/>
    </xf>
    <xf numFmtId="164" fontId="31" fillId="0" borderId="7" xfId="0" applyFont="true" applyBorder="true" applyAlignment="true" applyProtection="false">
      <alignment horizontal="center" vertical="center" textRotation="0" wrapText="true" indent="0" shrinkToFit="false"/>
      <protection locked="true" hidden="false"/>
    </xf>
    <xf numFmtId="164" fontId="31" fillId="0" borderId="6" xfId="0" applyFont="true" applyBorder="true" applyAlignment="true" applyProtection="false">
      <alignment horizontal="center" vertical="center" textRotation="0" wrapText="true" indent="0" shrinkToFit="false"/>
      <protection locked="true" hidden="false"/>
    </xf>
    <xf numFmtId="164" fontId="31" fillId="0" borderId="8"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111" fillId="26" borderId="16" xfId="49" applyFont="true" applyBorder="true" applyAlignment="true" applyProtection="true">
      <alignment horizontal="center" vertical="center" textRotation="0" wrapText="true" indent="0" shrinkToFit="false"/>
      <protection locked="true" hidden="false"/>
    </xf>
    <xf numFmtId="164" fontId="31" fillId="0" borderId="6" xfId="0" applyFont="true" applyBorder="true" applyAlignment="true" applyProtection="false">
      <alignment horizontal="center" vertical="center" textRotation="0" wrapText="false" indent="0" shrinkToFit="false"/>
      <protection locked="true" hidden="false"/>
    </xf>
    <xf numFmtId="164" fontId="18" fillId="24" borderId="88" xfId="0" applyFont="true" applyBorder="true" applyAlignment="true" applyProtection="false">
      <alignment horizontal="center" vertical="center" textRotation="0" wrapText="true" indent="0" shrinkToFit="false"/>
      <protection locked="true" hidden="false"/>
    </xf>
    <xf numFmtId="174" fontId="18" fillId="24" borderId="71" xfId="19" applyFont="true" applyBorder="true" applyAlignment="true" applyProtection="true">
      <alignment horizontal="center" vertical="center" textRotation="0" wrapText="true" indent="0" shrinkToFit="false"/>
      <protection locked="true" hidden="false"/>
    </xf>
    <xf numFmtId="174" fontId="24" fillId="3" borderId="0" xfId="44" applyFont="true" applyBorder="true" applyAlignment="true" applyProtection="true">
      <alignment horizontal="general" vertical="center" textRotation="0" wrapText="false" indent="0" shrinkToFit="false"/>
      <protection locked="true" hidden="false"/>
    </xf>
    <xf numFmtId="169" fontId="24" fillId="3" borderId="86" xfId="44" applyFont="true" applyBorder="true" applyAlignment="true" applyProtection="true">
      <alignment horizontal="general" vertical="center" textRotation="0" wrapText="true" indent="0" shrinkToFit="false"/>
      <protection locked="true" hidden="false"/>
    </xf>
    <xf numFmtId="164" fontId="73" fillId="0" borderId="0" xfId="0" applyFont="true" applyBorder="true" applyAlignment="true" applyProtection="false">
      <alignment horizontal="center" vertical="center" textRotation="0" wrapText="true" indent="0" shrinkToFit="false"/>
      <protection locked="true" hidden="false"/>
    </xf>
    <xf numFmtId="164" fontId="76" fillId="0" borderId="0" xfId="0" applyFont="true" applyBorder="true" applyAlignment="true" applyProtection="false">
      <alignment horizontal="left" vertical="bottom" textRotation="0" wrapText="false" indent="0" shrinkToFit="false"/>
      <protection locked="true" hidden="false"/>
    </xf>
    <xf numFmtId="164" fontId="111" fillId="26" borderId="40" xfId="49" applyFont="true" applyBorder="true" applyAlignment="true" applyProtection="true">
      <alignment horizontal="center" vertical="center" textRotation="0" wrapText="true" indent="0" shrinkToFit="false"/>
      <protection locked="true" hidden="false"/>
    </xf>
    <xf numFmtId="164" fontId="18" fillId="26" borderId="48" xfId="49" applyFont="true" applyBorder="true" applyAlignment="true" applyProtection="true">
      <alignment horizontal="center" vertical="center" textRotation="0" wrapText="true" indent="0" shrinkToFit="false"/>
      <protection locked="true" hidden="false"/>
    </xf>
    <xf numFmtId="164" fontId="18" fillId="26" borderId="19" xfId="49" applyFont="true" applyBorder="true" applyAlignment="true" applyProtection="true">
      <alignment horizontal="center" vertical="center" textRotation="0" wrapText="true" indent="0" shrinkToFit="false"/>
      <protection locked="true" hidden="false"/>
    </xf>
    <xf numFmtId="164" fontId="24" fillId="26" borderId="19" xfId="49" applyFont="true" applyBorder="true" applyAlignment="true" applyProtection="true">
      <alignment horizontal="center" vertical="center" textRotation="0" wrapText="true" indent="0" shrinkToFit="false"/>
      <protection locked="true" hidden="false"/>
    </xf>
    <xf numFmtId="164" fontId="24" fillId="26" borderId="44" xfId="49" applyFont="true" applyBorder="true" applyAlignment="true" applyProtection="true">
      <alignment horizontal="center" vertical="center" textRotation="0" wrapText="true" indent="0" shrinkToFit="false"/>
      <protection locked="true" hidden="false"/>
    </xf>
    <xf numFmtId="164" fontId="15" fillId="0" borderId="46"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15" fillId="0" borderId="46" xfId="0" applyFont="true" applyBorder="true" applyAlignment="true" applyProtection="false">
      <alignment horizontal="center" vertical="bottom" textRotation="0" wrapText="false" indent="0" shrinkToFit="false"/>
      <protection locked="true" hidden="false"/>
    </xf>
    <xf numFmtId="172" fontId="0" fillId="18" borderId="6" xfId="37" applyFont="false" applyBorder="true" applyAlignment="true" applyProtection="true">
      <alignment horizontal="center" vertical="center" textRotation="0" wrapText="false" indent="0" shrinkToFit="false"/>
      <protection locked="true" hidden="false"/>
    </xf>
    <xf numFmtId="168" fontId="0" fillId="3" borderId="47" xfId="44" applyFont="false" applyBorder="true" applyAlignment="true" applyProtection="true">
      <alignment horizontal="right" vertical="center" textRotation="0" wrapText="false" indent="0" shrinkToFit="false"/>
      <protection locked="true" hidden="false"/>
    </xf>
    <xf numFmtId="164" fontId="15" fillId="0" borderId="25" xfId="0" applyFont="true" applyBorder="true" applyAlignment="true" applyProtection="false">
      <alignment horizontal="center" vertical="center" textRotation="0" wrapText="true" indent="0" shrinkToFit="false"/>
      <protection locked="true" hidden="false"/>
    </xf>
    <xf numFmtId="173" fontId="15" fillId="0" borderId="0" xfId="15" applyFont="true" applyBorder="true" applyAlignment="true" applyProtection="true">
      <alignment horizontal="center" vertical="center" textRotation="0" wrapText="false" indent="0" shrinkToFit="false"/>
      <protection locked="true" hidden="false"/>
    </xf>
    <xf numFmtId="171" fontId="15" fillId="0" borderId="0" xfId="19" applyFont="true" applyBorder="true" applyAlignment="true" applyProtection="true">
      <alignment horizontal="general" vertical="bottom" textRotation="0" wrapText="false" indent="0" shrinkToFit="false"/>
      <protection locked="true" hidden="false"/>
    </xf>
    <xf numFmtId="164" fontId="31" fillId="0" borderId="46" xfId="0" applyFont="true" applyBorder="true" applyAlignment="true" applyProtection="false">
      <alignment horizontal="center" vertical="bottom" textRotation="0" wrapText="false" indent="0" shrinkToFit="false"/>
      <protection locked="true" hidden="false"/>
    </xf>
    <xf numFmtId="168" fontId="0" fillId="3" borderId="64" xfId="44" applyFont="false" applyBorder="true" applyAlignment="true" applyProtection="true">
      <alignment horizontal="right" vertical="center" textRotation="0" wrapText="false" indent="0" shrinkToFit="false"/>
      <protection locked="true" hidden="false"/>
    </xf>
    <xf numFmtId="164" fontId="15" fillId="26" borderId="81" xfId="49" applyFont="true" applyBorder="true" applyAlignment="true" applyProtection="true">
      <alignment horizontal="center" vertical="bottom" textRotation="0" wrapText="false" indent="0" shrinkToFit="false"/>
      <protection locked="true" hidden="false"/>
    </xf>
    <xf numFmtId="164" fontId="15" fillId="26" borderId="90" xfId="49" applyFont="true" applyBorder="true" applyAlignment="true" applyProtection="true">
      <alignment horizontal="center" vertical="bottom" textRotation="0" wrapText="false" indent="0" shrinkToFit="false"/>
      <protection locked="true" hidden="false"/>
    </xf>
    <xf numFmtId="164" fontId="18" fillId="26" borderId="90" xfId="49" applyFont="true" applyBorder="true" applyAlignment="true" applyProtection="true">
      <alignment horizontal="center" vertical="center" textRotation="0" wrapText="false" indent="0" shrinkToFit="false"/>
      <protection locked="true" hidden="false"/>
    </xf>
    <xf numFmtId="168" fontId="24" fillId="3" borderId="75" xfId="44" applyFont="true" applyBorder="true" applyAlignment="true" applyProtection="true">
      <alignment horizontal="right" vertical="bottom" textRotation="0" wrapText="false" indent="0" shrinkToFit="false"/>
      <protection locked="true" hidden="false"/>
    </xf>
    <xf numFmtId="173" fontId="18" fillId="0" borderId="0" xfId="0" applyFont="true" applyBorder="true" applyAlignment="true" applyProtection="false">
      <alignment horizontal="center" vertical="center" textRotation="0" wrapText="false" indent="0" shrinkToFit="false"/>
      <protection locked="true" hidden="false"/>
    </xf>
    <xf numFmtId="164" fontId="19" fillId="26" borderId="40" xfId="49" applyFont="true" applyBorder="true" applyAlignment="true" applyProtection="true">
      <alignment horizontal="center" vertical="center" textRotation="0" wrapText="true" indent="0" shrinkToFit="false"/>
      <protection locked="true" hidden="false"/>
    </xf>
    <xf numFmtId="164" fontId="73" fillId="0" borderId="0" xfId="0" applyFont="true" applyBorder="false" applyAlignment="true" applyProtection="false">
      <alignment horizontal="right" vertical="bottom" textRotation="0" wrapText="true" indent="0" shrinkToFit="false"/>
      <protection locked="true" hidden="false"/>
    </xf>
    <xf numFmtId="174" fontId="24" fillId="26" borderId="32" xfId="49" applyFont="true" applyBorder="true" applyAlignment="true" applyProtection="true">
      <alignment horizontal="center" vertical="center" textRotation="0" wrapText="false" indent="0" shrinkToFit="false"/>
      <protection locked="true" hidden="false"/>
    </xf>
    <xf numFmtId="164" fontId="24" fillId="26" borderId="32" xfId="49" applyFont="true" applyBorder="true" applyAlignment="true" applyProtection="true">
      <alignment horizontal="center" vertical="center" textRotation="0" wrapText="true" indent="0" shrinkToFit="false"/>
      <protection locked="true" hidden="false"/>
    </xf>
    <xf numFmtId="164" fontId="24" fillId="3" borderId="0" xfId="44" applyFont="true" applyBorder="true" applyAlignment="true" applyProtection="true">
      <alignment horizontal="center" vertical="center" textRotation="0" wrapText="true" indent="0" shrinkToFit="false"/>
      <protection locked="true" hidden="false"/>
    </xf>
    <xf numFmtId="168" fontId="24" fillId="3" borderId="0" xfId="44" applyFont="true" applyBorder="true" applyAlignment="true" applyProtection="true">
      <alignment horizontal="center" vertical="center" textRotation="0" wrapText="true" indent="0" shrinkToFit="false"/>
      <protection locked="true" hidden="false"/>
    </xf>
    <xf numFmtId="164" fontId="15" fillId="0" borderId="49" xfId="0" applyFont="true" applyBorder="true" applyAlignment="true" applyProtection="false">
      <alignment horizontal="center" vertical="center" textRotation="0" wrapText="tru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15" fillId="0" borderId="46" xfId="0" applyFont="true" applyBorder="true" applyAlignment="true" applyProtection="false">
      <alignment horizontal="center" vertical="bottom" textRotation="0" wrapText="false" indent="0" shrinkToFit="false"/>
      <protection locked="true" hidden="false"/>
    </xf>
    <xf numFmtId="174" fontId="0" fillId="3" borderId="7" xfId="44" applyFont="false" applyBorder="true" applyAlignment="true" applyProtection="true">
      <alignment horizontal="center" vertical="bottom" textRotation="0" wrapText="false" indent="0" shrinkToFit="false"/>
      <protection locked="true" hidden="false"/>
    </xf>
    <xf numFmtId="172" fontId="0" fillId="18" borderId="7" xfId="37" applyFont="false" applyBorder="true" applyAlignment="true" applyProtection="true">
      <alignment horizontal="center" vertical="center" textRotation="0" wrapText="false" indent="0" shrinkToFit="false"/>
      <protection locked="true" hidden="false"/>
    </xf>
    <xf numFmtId="164" fontId="100" fillId="0" borderId="0" xfId="0" applyFont="true" applyBorder="true" applyAlignment="true" applyProtection="false">
      <alignment horizontal="general" vertical="bottom" textRotation="0" wrapText="false" indent="0" shrinkToFit="false"/>
      <protection locked="true" hidden="false"/>
    </xf>
    <xf numFmtId="164" fontId="100" fillId="0" borderId="0" xfId="0" applyFont="true" applyBorder="true" applyAlignment="true" applyProtection="false">
      <alignment horizontal="center" vertical="bottom" textRotation="0" wrapText="false" indent="0" shrinkToFit="false"/>
      <protection locked="true" hidden="false"/>
    </xf>
    <xf numFmtId="164" fontId="31" fillId="0" borderId="46" xfId="0" applyFont="true" applyBorder="true" applyAlignment="true" applyProtection="false">
      <alignment horizontal="center" vertical="bottom" textRotation="0" wrapText="false" indent="0" shrinkToFit="false"/>
      <protection locked="true" hidden="false"/>
    </xf>
    <xf numFmtId="164" fontId="103" fillId="0" borderId="0" xfId="0" applyFont="true" applyBorder="true" applyAlignment="true" applyProtection="false">
      <alignment horizontal="center" vertical="bottom" textRotation="0" wrapText="false" indent="0" shrinkToFit="false"/>
      <protection locked="true" hidden="false"/>
    </xf>
    <xf numFmtId="164" fontId="103" fillId="0" borderId="0" xfId="0" applyFont="true" applyBorder="false" applyAlignment="true" applyProtection="false">
      <alignment horizontal="general" vertical="bottom" textRotation="0" wrapText="false" indent="0" shrinkToFit="false"/>
      <protection locked="true" hidden="false"/>
    </xf>
    <xf numFmtId="172" fontId="24" fillId="3" borderId="86" xfId="44" applyFont="true" applyBorder="true" applyAlignment="true" applyProtection="true">
      <alignment horizontal="center" vertical="bottom" textRotation="0" wrapText="false" indent="0" shrinkToFit="false"/>
      <protection locked="true" hidden="false"/>
    </xf>
    <xf numFmtId="164" fontId="0" fillId="26" borderId="91" xfId="49" applyFont="true" applyBorder="true" applyAlignment="true" applyProtection="true">
      <alignment horizontal="general" vertical="bottom" textRotation="0" wrapText="false" indent="0" shrinkToFit="false"/>
      <protection locked="true" hidden="false"/>
    </xf>
    <xf numFmtId="164" fontId="0" fillId="26" borderId="92" xfId="49" applyFont="true" applyBorder="true" applyAlignment="true" applyProtection="true">
      <alignment horizontal="general" vertical="bottom" textRotation="0" wrapText="false" indent="0" shrinkToFit="false"/>
      <protection locked="true" hidden="false"/>
    </xf>
    <xf numFmtId="164" fontId="15" fillId="26" borderId="92" xfId="49" applyFont="true" applyBorder="true" applyAlignment="true" applyProtection="true">
      <alignment horizontal="general" vertical="bottom" textRotation="0" wrapText="false" indent="0" shrinkToFit="false"/>
      <protection locked="true" hidden="false"/>
    </xf>
    <xf numFmtId="164" fontId="32" fillId="26" borderId="92" xfId="49" applyFont="true" applyBorder="true" applyAlignment="true" applyProtection="true">
      <alignment horizontal="general" vertical="bottom" textRotation="0" wrapText="false" indent="0" shrinkToFit="false"/>
      <protection locked="true" hidden="false"/>
    </xf>
    <xf numFmtId="164" fontId="18" fillId="26" borderId="92" xfId="49" applyFont="true" applyBorder="true" applyAlignment="true" applyProtection="true">
      <alignment horizontal="right" vertical="bottom" textRotation="0" wrapText="false" indent="0" shrinkToFit="false"/>
      <protection locked="true" hidden="false"/>
    </xf>
    <xf numFmtId="168" fontId="24" fillId="3" borderId="75" xfId="44" applyFont="true" applyBorder="true" applyAlignment="true" applyProtection="true">
      <alignment horizontal="right" vertical="center" textRotation="0" wrapText="false" indent="0" shrinkToFit="false"/>
      <protection locked="true" hidden="false"/>
    </xf>
    <xf numFmtId="173" fontId="15"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left" vertical="bottom" textRotation="0" wrapText="true" indent="0" shrinkToFit="false"/>
      <protection locked="true" hidden="false"/>
    </xf>
    <xf numFmtId="164" fontId="120" fillId="0" borderId="0" xfId="0" applyFont="true" applyBorder="false" applyAlignment="false" applyProtection="false">
      <alignment horizontal="general" vertical="bottom" textRotation="0" wrapText="false" indent="0" shrinkToFit="false"/>
      <protection locked="true" hidden="false"/>
    </xf>
    <xf numFmtId="164" fontId="121" fillId="0" borderId="0" xfId="0" applyFont="true" applyBorder="true" applyAlignment="true" applyProtection="false">
      <alignment horizontal="center" vertical="center" textRotation="0" wrapText="true" indent="0" shrinkToFit="false"/>
      <protection locked="true" hidden="false"/>
    </xf>
    <xf numFmtId="164" fontId="19" fillId="24" borderId="71" xfId="0" applyFont="true" applyBorder="true" applyAlignment="true" applyProtection="false">
      <alignment horizontal="center" vertical="bottom" textRotation="0" wrapText="false" indent="0" shrinkToFit="false"/>
      <protection locked="true" hidden="false"/>
    </xf>
    <xf numFmtId="164" fontId="19" fillId="0" borderId="87" xfId="0" applyFont="true" applyBorder="true" applyAlignment="true" applyProtection="false">
      <alignment horizontal="left" vertical="bottom" textRotation="0" wrapText="true" indent="0" shrinkToFit="false"/>
      <protection locked="true" hidden="false"/>
    </xf>
    <xf numFmtId="164" fontId="31" fillId="0" borderId="0" xfId="0" applyFont="true" applyBorder="true" applyAlignment="true" applyProtection="false">
      <alignment horizontal="left" vertical="center" textRotation="0" wrapText="true" indent="0" shrinkToFit="false"/>
      <protection locked="true" hidden="false"/>
    </xf>
    <xf numFmtId="164" fontId="116" fillId="0" borderId="0" xfId="0" applyFont="true" applyBorder="false" applyAlignment="true" applyProtection="false">
      <alignment horizontal="left" vertical="center" textRotation="0" wrapText="false" indent="0" shrinkToFit="false"/>
      <protection locked="true" hidden="false"/>
    </xf>
    <xf numFmtId="164" fontId="116" fillId="0" borderId="0" xfId="0" applyFont="true" applyBorder="true" applyAlignment="true" applyProtection="false">
      <alignment horizontal="left" vertical="center" textRotation="0" wrapText="false" indent="0" shrinkToFit="false"/>
      <protection locked="true" hidden="false"/>
    </xf>
    <xf numFmtId="169" fontId="24" fillId="3" borderId="71" xfId="44" applyFont="true" applyBorder="true" applyAlignment="true" applyProtection="true">
      <alignment horizontal="center" vertical="bottom" textRotation="0" wrapText="false" indent="0" shrinkToFit="false"/>
      <protection locked="true" hidden="false"/>
    </xf>
    <xf numFmtId="164" fontId="31" fillId="0" borderId="0" xfId="0" applyFont="true" applyBorder="false" applyAlignment="true" applyProtection="false">
      <alignment horizontal="left" vertical="center" textRotation="0" wrapText="false" indent="0" shrinkToFit="false"/>
      <protection locked="true" hidden="false"/>
    </xf>
    <xf numFmtId="164" fontId="19" fillId="24" borderId="6" xfId="0" applyFont="true" applyBorder="true" applyAlignment="true" applyProtection="false">
      <alignment horizontal="center" vertical="bottom" textRotation="0" wrapText="false" indent="0" shrinkToFit="false"/>
      <protection locked="true" hidden="false"/>
    </xf>
    <xf numFmtId="169" fontId="104" fillId="0" borderId="0" xfId="0" applyFont="true" applyBorder="false" applyAlignment="true" applyProtection="false">
      <alignment horizontal="left" vertical="bottom" textRotation="0" wrapText="false" indent="0" shrinkToFit="false"/>
      <protection locked="true" hidden="false"/>
    </xf>
    <xf numFmtId="164" fontId="85" fillId="0" borderId="0" xfId="0" applyFont="true" applyBorder="false" applyAlignment="true" applyProtection="false">
      <alignment horizontal="left" vertical="top" textRotation="0" wrapText="false" indent="0" shrinkToFit="false"/>
      <protection locked="true" hidden="false"/>
    </xf>
    <xf numFmtId="164" fontId="31" fillId="0" borderId="31"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82"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2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15" fillId="24" borderId="0" xfId="0" applyFont="true" applyBorder="true" applyAlignment="true" applyProtection="false">
      <alignment horizontal="center" vertical="bottom" textRotation="0" wrapText="true" indent="0" shrinkToFit="false"/>
      <protection locked="true" hidden="false"/>
    </xf>
    <xf numFmtId="171" fontId="24" fillId="3" borderId="71" xfId="44" applyFont="true" applyBorder="true" applyAlignment="true" applyProtection="true">
      <alignment horizontal="center" vertical="center" textRotation="0" wrapText="false" indent="0" shrinkToFit="false"/>
      <protection locked="true" hidden="false"/>
    </xf>
    <xf numFmtId="164" fontId="89" fillId="0" borderId="0" xfId="0" applyFont="true" applyBorder="true" applyAlignment="true" applyProtection="false">
      <alignment horizontal="left" vertical="center" textRotation="0" wrapText="false" indent="0" shrinkToFit="false"/>
      <protection locked="true" hidden="false"/>
    </xf>
    <xf numFmtId="164" fontId="89" fillId="0" borderId="0" xfId="0" applyFont="true" applyBorder="true" applyAlignment="true" applyProtection="false">
      <alignment horizontal="general" vertical="top" textRotation="0" wrapText="false" indent="0" shrinkToFit="false"/>
      <protection locked="true" hidden="false"/>
    </xf>
    <xf numFmtId="171" fontId="18" fillId="0" borderId="0" xfId="19" applyFont="true" applyBorder="true" applyAlignment="true" applyProtection="true">
      <alignment horizontal="general" vertical="center" textRotation="0" wrapText="false" indent="0" shrinkToFit="false"/>
      <protection locked="true" hidden="false"/>
    </xf>
    <xf numFmtId="171" fontId="18" fillId="0" borderId="0" xfId="19" applyFont="true" applyBorder="true" applyAlignment="true" applyProtection="true">
      <alignment horizontal="general" vertical="bottom" textRotation="0" wrapText="false" indent="0" shrinkToFit="false"/>
      <protection locked="true" hidden="false"/>
    </xf>
    <xf numFmtId="171" fontId="73" fillId="0" borderId="0" xfId="19" applyFont="true" applyBorder="true" applyAlignment="true" applyProtection="true">
      <alignment horizontal="left" vertical="bottom" textRotation="0" wrapText="false" indent="0" shrinkToFit="false"/>
      <protection locked="true" hidden="false"/>
    </xf>
    <xf numFmtId="171" fontId="39" fillId="0" borderId="0" xfId="19" applyFont="true" applyBorder="true" applyAlignment="true" applyProtection="true">
      <alignment horizontal="general" vertical="bottom" textRotation="0" wrapText="false" indent="0" shrinkToFit="false"/>
      <protection locked="true" hidden="false"/>
    </xf>
    <xf numFmtId="164" fontId="15" fillId="0" borderId="87" xfId="0" applyFont="true" applyBorder="true" applyAlignment="true" applyProtection="false">
      <alignment horizontal="right" vertical="bottom" textRotation="0" wrapText="false" indent="0" shrinkToFit="false"/>
      <protection locked="true" hidden="false"/>
    </xf>
    <xf numFmtId="164" fontId="123"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right"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true" applyAlignment="true" applyProtection="false">
      <alignment horizontal="right" vertical="center"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0" fillId="23" borderId="0" xfId="43" applyFont="false" applyBorder="true" applyAlignment="true" applyProtection="true">
      <alignment horizontal="center" vertical="top" textRotation="0" wrapText="false" indent="0" shrinkToFit="false"/>
      <protection locked="true" hidden="false"/>
    </xf>
    <xf numFmtId="164" fontId="89" fillId="0" borderId="0" xfId="0" applyFont="true" applyBorder="true" applyAlignment="true" applyProtection="false">
      <alignment horizontal="left" vertical="top" textRotation="0" wrapText="true" indent="0" shrinkToFit="false"/>
      <protection locked="true" hidden="false"/>
    </xf>
    <xf numFmtId="164" fontId="81" fillId="0" borderId="0" xfId="0" applyFont="true" applyBorder="false" applyAlignment="false" applyProtection="false">
      <alignment horizontal="general" vertical="bottom" textRotation="0" wrapText="false" indent="0" shrinkToFit="false"/>
      <protection locked="true" hidden="false"/>
    </xf>
    <xf numFmtId="164" fontId="118" fillId="24" borderId="71" xfId="0" applyFont="true" applyBorder="true" applyAlignment="true" applyProtection="false">
      <alignment horizontal="center" vertical="bottom" textRotation="0" wrapText="false" indent="0" shrinkToFit="false"/>
      <protection locked="true" hidden="false"/>
    </xf>
    <xf numFmtId="164" fontId="124" fillId="0" borderId="0" xfId="0" applyFont="true" applyBorder="true" applyAlignment="true" applyProtection="false">
      <alignment horizontal="left" vertical="bottom" textRotation="0" wrapText="false" indent="0" shrinkToFit="false"/>
      <protection locked="true" hidden="false"/>
    </xf>
    <xf numFmtId="164" fontId="15" fillId="0" borderId="87"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right" vertical="bottom" textRotation="0" wrapText="true" indent="0" shrinkToFit="false"/>
      <protection locked="true" hidden="false"/>
    </xf>
    <xf numFmtId="172" fontId="15" fillId="0" borderId="0" xfId="0" applyFont="true" applyBorder="false" applyAlignment="false" applyProtection="false">
      <alignment horizontal="general" vertical="bottom" textRotation="0" wrapText="false" indent="0" shrinkToFit="false"/>
      <protection locked="true" hidden="false"/>
    </xf>
    <xf numFmtId="164" fontId="111" fillId="26" borderId="51" xfId="49" applyFont="true" applyBorder="true" applyAlignment="true" applyProtection="true">
      <alignment horizontal="center" vertical="center" textRotation="0" wrapText="true" indent="0" shrinkToFit="false"/>
      <protection locked="true" hidden="false"/>
    </xf>
    <xf numFmtId="172" fontId="15" fillId="0" borderId="0" xfId="0" applyFont="true" applyBorder="false" applyAlignment="false" applyProtection="false">
      <alignment horizontal="general" vertical="bottom" textRotation="0" wrapText="false" indent="0" shrinkToFit="false"/>
      <protection locked="true" hidden="false"/>
    </xf>
    <xf numFmtId="164" fontId="0" fillId="26" borderId="67" xfId="49" applyFont="true" applyBorder="true" applyAlignment="true" applyProtection="true">
      <alignment horizontal="center" vertical="center" textRotation="0" wrapText="true" indent="0" shrinkToFit="false"/>
      <protection locked="true" hidden="false"/>
    </xf>
    <xf numFmtId="164" fontId="0" fillId="26" borderId="75" xfId="49" applyFont="true" applyBorder="true" applyAlignment="true" applyProtection="true">
      <alignment horizontal="center" vertical="center" textRotation="0" wrapText="true" indent="0" shrinkToFit="false"/>
      <protection locked="true" hidden="false"/>
    </xf>
    <xf numFmtId="164" fontId="0" fillId="26" borderId="45" xfId="49" applyFont="true" applyBorder="true" applyAlignment="true" applyProtection="true">
      <alignment horizontal="center" vertical="center" textRotation="0" wrapText="true" indent="0" shrinkToFit="false"/>
      <protection locked="true" hidden="false"/>
    </xf>
    <xf numFmtId="164" fontId="15" fillId="0" borderId="55" xfId="0" applyFont="true" applyBorder="true" applyAlignment="true" applyProtection="false">
      <alignment horizontal="center" vertical="center" textRotation="0" wrapText="true" indent="0" shrinkToFit="false"/>
      <protection locked="true" hidden="false"/>
    </xf>
    <xf numFmtId="164" fontId="15" fillId="0" borderId="43" xfId="0" applyFont="true" applyBorder="true" applyAlignment="true" applyProtection="false">
      <alignment horizontal="center" vertical="center" textRotation="0" wrapText="true" indent="0" shrinkToFit="false"/>
      <protection locked="true" hidden="false"/>
    </xf>
    <xf numFmtId="164" fontId="0" fillId="26" borderId="58" xfId="49" applyFont="true" applyBorder="true" applyAlignment="true" applyProtection="true">
      <alignment horizontal="center" vertical="center" textRotation="0" wrapText="true" indent="0" shrinkToFit="false"/>
      <protection locked="true" hidden="false"/>
    </xf>
    <xf numFmtId="164" fontId="117" fillId="0" borderId="0" xfId="0" applyFont="true" applyBorder="tru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25" fillId="0" borderId="87" xfId="0" applyFont="true" applyBorder="true" applyAlignment="true" applyProtection="false">
      <alignment horizontal="left" vertical="bottom" textRotation="0" wrapText="true" indent="0" shrinkToFit="false"/>
      <protection locked="true" hidden="false"/>
    </xf>
    <xf numFmtId="164" fontId="126"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right" vertical="bottom" textRotation="0" wrapText="true" indent="0" shrinkToFit="false"/>
      <protection locked="true" hidden="false"/>
    </xf>
    <xf numFmtId="164" fontId="126" fillId="0" borderId="0" xfId="0" applyFont="true" applyBorder="true" applyAlignment="true" applyProtection="false">
      <alignment horizontal="left" vertical="bottom" textRotation="0" wrapText="true" indent="0" shrinkToFit="false"/>
      <protection locked="true" hidden="false"/>
    </xf>
    <xf numFmtId="164" fontId="127" fillId="0" borderId="0"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9" fontId="24" fillId="3" borderId="0" xfId="44" applyFont="true" applyBorder="true" applyAlignment="true" applyProtection="true">
      <alignment horizontal="general" vertical="bottom" textRotation="0" wrapText="false" indent="0" shrinkToFit="false"/>
      <protection locked="true" hidden="false"/>
    </xf>
    <xf numFmtId="169" fontId="24" fillId="3" borderId="86" xfId="44" applyFont="true" applyBorder="true" applyAlignment="true" applyProtection="true">
      <alignment horizontal="center" vertical="center" textRotation="0" wrapText="true" indent="0" shrinkToFit="false"/>
      <protection locked="true" hidden="false"/>
    </xf>
    <xf numFmtId="164" fontId="128"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74" fontId="24" fillId="3" borderId="71" xfId="44" applyFont="true" applyBorder="true" applyAlignment="true" applyProtection="true">
      <alignment horizontal="center" vertical="bottom" textRotation="0" wrapText="true" indent="0" shrinkToFit="false"/>
      <protection locked="true" hidden="false"/>
    </xf>
    <xf numFmtId="169" fontId="24" fillId="3" borderId="71" xfId="44" applyFont="true" applyBorder="true" applyAlignment="true" applyProtection="true">
      <alignment horizontal="center" vertical="bottom" textRotation="0" wrapText="true" indent="0" shrinkToFit="false"/>
      <protection locked="true" hidden="false"/>
    </xf>
    <xf numFmtId="164" fontId="19" fillId="0" borderId="87" xfId="0" applyFont="true" applyBorder="true" applyAlignment="true" applyProtection="false">
      <alignment horizontal="right" vertical="bottom" textRotation="0" wrapText="false" indent="0" shrinkToFit="false"/>
      <protection locked="true" hidden="false"/>
    </xf>
    <xf numFmtId="164" fontId="89" fillId="0" borderId="0" xfId="0" applyFont="true" applyBorder="false" applyAlignment="true" applyProtection="false">
      <alignment horizontal="general" vertical="center" textRotation="0" wrapText="false" indent="0" shrinkToFit="false"/>
      <protection locked="true" hidden="false"/>
    </xf>
    <xf numFmtId="164" fontId="89"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left" vertical="bottom" textRotation="0" wrapText="false" indent="0" shrinkToFit="false"/>
      <protection locked="true" hidden="false"/>
    </xf>
    <xf numFmtId="171" fontId="24" fillId="3" borderId="71" xfId="19" applyFont="true" applyBorder="true" applyAlignment="true" applyProtection="true">
      <alignment horizontal="center" vertical="bottom" textRotation="0" wrapText="false" indent="0" shrinkToFit="false"/>
      <protection locked="true" hidden="false"/>
    </xf>
    <xf numFmtId="164" fontId="89"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8" fillId="0" borderId="87" xfId="0" applyFont="true" applyBorder="true" applyAlignment="true" applyProtection="false">
      <alignment horizontal="right" vertical="center" textRotation="0" wrapText="tru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29"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4" fontId="96" fillId="0" borderId="31" xfId="0" applyFont="true" applyBorder="true" applyAlignment="true" applyProtection="false">
      <alignment horizontal="right" vertical="center" textRotation="0" wrapText="true" indent="0" shrinkToFit="false"/>
      <protection locked="true" hidden="false"/>
    </xf>
    <xf numFmtId="164" fontId="48" fillId="0" borderId="0" xfId="0" applyFont="true" applyBorder="true" applyAlignment="true" applyProtection="false">
      <alignment horizontal="center" vertical="center" textRotation="0" wrapText="true" indent="0" shrinkToFit="false"/>
      <protection locked="true" hidden="false"/>
    </xf>
    <xf numFmtId="164" fontId="130" fillId="0" borderId="0" xfId="0" applyFont="true" applyBorder="true" applyAlignment="true" applyProtection="false">
      <alignment horizontal="general" vertical="center" textRotation="0" wrapText="true" indent="0" shrinkToFit="false"/>
      <protection locked="true" hidden="false"/>
    </xf>
    <xf numFmtId="164" fontId="130" fillId="0" borderId="92" xfId="0" applyFont="true" applyBorder="true" applyAlignment="true" applyProtection="false">
      <alignment horizontal="general" vertical="center" textRotation="0" wrapText="true" indent="0" shrinkToFit="false"/>
      <protection locked="true" hidden="false"/>
    </xf>
    <xf numFmtId="164" fontId="0" fillId="25" borderId="4" xfId="50" applyFont="true" applyBorder="true" applyAlignment="true" applyProtection="true">
      <alignment horizontal="center" vertical="center" textRotation="0" wrapText="true" indent="0" shrinkToFit="false"/>
      <protection locked="true" hidden="false"/>
    </xf>
    <xf numFmtId="164" fontId="130" fillId="0" borderId="3" xfId="0" applyFont="true" applyBorder="true" applyAlignment="true" applyProtection="false">
      <alignment horizontal="center" vertical="center" textRotation="0" wrapText="true" indent="0" shrinkToFit="false"/>
      <protection locked="true" hidden="false"/>
    </xf>
    <xf numFmtId="164" fontId="130" fillId="0" borderId="5" xfId="0" applyFont="true" applyBorder="true" applyAlignment="true" applyProtection="false">
      <alignment horizontal="center" vertical="center" textRotation="0" wrapText="true" indent="0" shrinkToFit="false"/>
      <protection locked="true" hidden="false"/>
    </xf>
    <xf numFmtId="164" fontId="130" fillId="26" borderId="1" xfId="49" applyFont="true" applyBorder="true" applyAlignment="true" applyProtection="true">
      <alignment horizontal="center" vertical="center" textRotation="0" wrapText="true" indent="0" shrinkToFit="false"/>
      <protection locked="true" hidden="false"/>
    </xf>
    <xf numFmtId="164" fontId="130" fillId="0" borderId="1" xfId="0" applyFont="true" applyBorder="true" applyAlignment="true" applyProtection="false">
      <alignment horizontal="center" vertical="center" textRotation="0" wrapText="true" indent="0" shrinkToFit="false"/>
      <protection locked="true" hidden="false"/>
    </xf>
    <xf numFmtId="164" fontId="111" fillId="26" borderId="55" xfId="49" applyFont="true" applyBorder="true" applyAlignment="true" applyProtection="true">
      <alignment horizontal="center" vertical="center" textRotation="0" wrapText="true" indent="0" shrinkToFit="false"/>
      <protection locked="true" hidden="false"/>
    </xf>
    <xf numFmtId="164" fontId="111" fillId="26" borderId="56" xfId="49" applyFont="true" applyBorder="true" applyAlignment="true" applyProtection="true">
      <alignment horizontal="center" vertical="center" textRotation="0" wrapText="true" indent="0" shrinkToFit="false"/>
      <protection locked="true" hidden="false"/>
    </xf>
    <xf numFmtId="164" fontId="111" fillId="26" borderId="27" xfId="49" applyFont="true" applyBorder="true" applyAlignment="true" applyProtection="true">
      <alignment horizontal="center"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26" fillId="26" borderId="41" xfId="49" applyFont="true" applyBorder="true" applyAlignment="true" applyProtection="true">
      <alignment horizontal="center" vertical="center" textRotation="0" wrapText="true" indent="0" shrinkToFit="false"/>
      <protection locked="true" hidden="false"/>
    </xf>
    <xf numFmtId="164" fontId="73" fillId="0" borderId="65" xfId="0" applyFont="true" applyBorder="true" applyAlignment="true" applyProtection="false">
      <alignment horizontal="center" vertical="center" textRotation="0" wrapText="true" indent="0" shrinkToFit="false"/>
      <protection locked="true" hidden="false"/>
    </xf>
    <xf numFmtId="169" fontId="0" fillId="3" borderId="65" xfId="44" applyFont="false" applyBorder="true" applyAlignment="true" applyProtection="true">
      <alignment horizontal="center" vertical="center" textRotation="0" wrapText="true" indent="0" shrinkToFit="false"/>
      <protection locked="true" hidden="false"/>
    </xf>
    <xf numFmtId="164" fontId="15" fillId="25" borderId="65" xfId="0" applyFont="true" applyBorder="true" applyAlignment="true" applyProtection="false">
      <alignment horizontal="center" vertical="center" textRotation="0" wrapText="true" indent="0" shrinkToFit="false"/>
      <protection locked="true" hidden="false"/>
    </xf>
    <xf numFmtId="164" fontId="0" fillId="18" borderId="72" xfId="37" applyFont="false" applyBorder="true" applyAlignment="true" applyProtection="true">
      <alignment horizontal="center" vertical="center" textRotation="0" wrapText="true" indent="0" shrinkToFit="false"/>
      <protection locked="true" hidden="false"/>
    </xf>
    <xf numFmtId="164" fontId="73" fillId="30" borderId="83" xfId="0" applyFont="true" applyBorder="true" applyAlignment="true" applyProtection="false">
      <alignment horizontal="center" vertical="center" textRotation="0" wrapText="true" indent="0" shrinkToFit="false"/>
      <protection locked="true" hidden="false"/>
    </xf>
    <xf numFmtId="164" fontId="73" fillId="30" borderId="60" xfId="0" applyFont="true" applyBorder="true" applyAlignment="true" applyProtection="false">
      <alignment horizontal="center" vertical="center" textRotation="0" wrapText="true" indent="0" shrinkToFit="false"/>
      <protection locked="true" hidden="false"/>
    </xf>
    <xf numFmtId="169" fontId="0" fillId="3" borderId="40" xfId="44" applyFont="false" applyBorder="true" applyAlignment="true" applyProtection="true">
      <alignment horizontal="center" vertical="center" textRotation="0" wrapText="true" indent="0" shrinkToFit="false"/>
      <protection locked="true" hidden="false"/>
    </xf>
    <xf numFmtId="164" fontId="97" fillId="0" borderId="0" xfId="0" applyFont="true" applyBorder="false" applyAlignment="true" applyProtection="false">
      <alignment horizontal="general" vertical="center" textRotation="0" wrapText="true" indent="0" shrinkToFit="false"/>
      <protection locked="true" hidden="false"/>
    </xf>
    <xf numFmtId="164" fontId="73" fillId="0" borderId="6" xfId="0" applyFont="true" applyBorder="true" applyAlignment="true" applyProtection="false">
      <alignment horizontal="center" vertical="center" textRotation="0" wrapText="true" indent="0" shrinkToFit="false"/>
      <protection locked="true" hidden="false"/>
    </xf>
    <xf numFmtId="164" fontId="0" fillId="18" borderId="7" xfId="37" applyFont="false" applyBorder="true" applyAlignment="true" applyProtection="true">
      <alignment horizontal="center" vertical="center" textRotation="0" wrapText="true" indent="0" shrinkToFit="false"/>
      <protection locked="true" hidden="false"/>
    </xf>
    <xf numFmtId="164" fontId="73" fillId="30" borderId="30" xfId="0" applyFont="true" applyBorder="true" applyAlignment="true" applyProtection="false">
      <alignment horizontal="center" vertical="center" textRotation="0" wrapText="true" indent="0" shrinkToFit="false"/>
      <protection locked="true" hidden="false"/>
    </xf>
    <xf numFmtId="164" fontId="73" fillId="30" borderId="0" xfId="0" applyFont="true" applyBorder="true" applyAlignment="true" applyProtection="false">
      <alignment horizontal="center" vertical="center" textRotation="0" wrapText="true" indent="0" shrinkToFit="false"/>
      <protection locked="true" hidden="false"/>
    </xf>
    <xf numFmtId="169" fontId="0" fillId="3" borderId="45" xfId="44" applyFont="false" applyBorder="true" applyAlignment="true" applyProtection="true">
      <alignment horizontal="center" vertical="center" textRotation="0" wrapText="true" indent="0" shrinkToFit="false"/>
      <protection locked="true" hidden="false"/>
    </xf>
    <xf numFmtId="164" fontId="73" fillId="0" borderId="0" xfId="0" applyFont="true" applyBorder="false" applyAlignment="true" applyProtection="false">
      <alignment horizontal="general" vertical="center" textRotation="0" wrapText="true" indent="0" shrinkToFit="false"/>
      <protection locked="true" hidden="false"/>
    </xf>
    <xf numFmtId="174" fontId="0" fillId="3" borderId="6" xfId="44" applyFont="false" applyBorder="true" applyAlignment="true" applyProtection="true">
      <alignment horizontal="center" vertical="center" textRotation="0" wrapText="true" indent="0" shrinkToFit="false"/>
      <protection locked="true" hidden="false"/>
    </xf>
    <xf numFmtId="164" fontId="26" fillId="26" borderId="46" xfId="49" applyFont="true" applyBorder="true" applyAlignment="true" applyProtection="true">
      <alignment horizontal="center" vertical="center" textRotation="0" wrapText="true" indent="0" shrinkToFit="false"/>
      <protection locked="true" hidden="false"/>
    </xf>
    <xf numFmtId="168" fontId="0" fillId="3" borderId="6" xfId="44" applyFont="false" applyBorder="true" applyAlignment="true" applyProtection="true">
      <alignment horizontal="center" vertical="center" textRotation="0" wrapText="true" indent="0" shrinkToFit="false"/>
      <protection locked="true" hidden="false"/>
    </xf>
    <xf numFmtId="164" fontId="73" fillId="30" borderId="32" xfId="0" applyFont="true" applyBorder="true" applyAlignment="true" applyProtection="false">
      <alignment horizontal="center" vertical="center" textRotation="0" wrapText="true" indent="0" shrinkToFit="false"/>
      <protection locked="true" hidden="false"/>
    </xf>
    <xf numFmtId="164" fontId="73" fillId="30" borderId="39" xfId="0" applyFont="true" applyBorder="true" applyAlignment="true" applyProtection="false">
      <alignment horizontal="center" vertical="center" textRotation="0" wrapText="true" indent="0" shrinkToFit="false"/>
      <protection locked="true" hidden="false"/>
    </xf>
    <xf numFmtId="164" fontId="0" fillId="18" borderId="6" xfId="37" applyFont="false" applyBorder="true" applyAlignment="true" applyProtection="true">
      <alignment horizontal="center" vertical="center" textRotation="0" wrapText="true" indent="0" shrinkToFit="false"/>
      <protection locked="true" hidden="false"/>
    </xf>
    <xf numFmtId="164" fontId="15" fillId="25" borderId="33" xfId="0" applyFont="true" applyBorder="true" applyAlignment="true" applyProtection="false">
      <alignment horizontal="center" vertical="center" textRotation="0" wrapText="true" indent="0" shrinkToFit="false"/>
      <protection locked="true" hidden="false"/>
    </xf>
    <xf numFmtId="168" fontId="43" fillId="24" borderId="32" xfId="0" applyFont="true" applyBorder="true" applyAlignment="true" applyProtection="false">
      <alignment horizontal="general" vertical="center" textRotation="0" wrapText="true" indent="0" shrinkToFit="false"/>
      <protection locked="true" hidden="false"/>
    </xf>
    <xf numFmtId="164" fontId="15" fillId="25" borderId="8" xfId="0" applyFont="true" applyBorder="true" applyAlignment="true" applyProtection="false">
      <alignment horizontal="center" vertical="center" textRotation="0" wrapText="true" indent="0" shrinkToFit="false"/>
      <protection locked="true" hidden="false"/>
    </xf>
    <xf numFmtId="168" fontId="43" fillId="24" borderId="7" xfId="0" applyFont="true" applyBorder="true" applyAlignment="true" applyProtection="false">
      <alignment horizontal="general"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73" fillId="30" borderId="34" xfId="0" applyFont="true" applyBorder="true" applyAlignment="true" applyProtection="false">
      <alignment horizontal="center" vertical="center" textRotation="0" wrapText="true" indent="0" shrinkToFit="false"/>
      <protection locked="true" hidden="false"/>
    </xf>
    <xf numFmtId="164" fontId="24" fillId="26" borderId="81" xfId="49" applyFont="true" applyBorder="true" applyAlignment="true" applyProtection="true">
      <alignment horizontal="right" vertical="center" textRotation="0" wrapText="true" indent="0" shrinkToFit="false"/>
      <protection locked="true" hidden="false"/>
    </xf>
    <xf numFmtId="169" fontId="24" fillId="3" borderId="58" xfId="44" applyFont="true" applyBorder="true" applyAlignment="true" applyProtection="true">
      <alignment horizontal="center" vertical="center" textRotation="0" wrapText="true" indent="0" shrinkToFit="false"/>
      <protection locked="true" hidden="false"/>
    </xf>
    <xf numFmtId="172" fontId="0" fillId="3" borderId="65" xfId="44" applyFont="false" applyBorder="true" applyAlignment="true" applyProtection="true">
      <alignment horizontal="center" vertical="center" textRotation="0" wrapText="true" indent="0" shrinkToFit="false"/>
      <protection locked="true" hidden="false"/>
    </xf>
    <xf numFmtId="164" fontId="73" fillId="24" borderId="6" xfId="0" applyFont="true" applyBorder="true" applyAlignment="true" applyProtection="false">
      <alignment horizontal="center" vertical="center" textRotation="0" wrapText="true" indent="0" shrinkToFit="false"/>
      <protection locked="true" hidden="false"/>
    </xf>
    <xf numFmtId="164" fontId="0" fillId="18" borderId="14" xfId="37" applyFont="false" applyBorder="true" applyAlignment="true" applyProtection="true">
      <alignment horizontal="center" vertical="center" textRotation="0" wrapText="tru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72" fontId="24" fillId="3" borderId="6" xfId="44"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false" applyProtection="false">
      <alignment horizontal="general" vertical="bottom" textRotation="0" wrapText="false" indent="0" shrinkToFit="false"/>
      <protection locked="true" hidden="false"/>
    </xf>
    <xf numFmtId="164" fontId="96" fillId="26" borderId="1" xfId="49" applyFont="true" applyBorder="true" applyAlignment="true" applyProtection="true">
      <alignment horizontal="center" vertical="bottom" textRotation="0" wrapText="true" indent="0" shrinkToFit="false"/>
      <protection locked="true" hidden="false"/>
    </xf>
    <xf numFmtId="164" fontId="123" fillId="0" borderId="0" xfId="0" applyFont="true" applyBorder="true" applyAlignment="true" applyProtection="false">
      <alignment horizontal="general" vertical="center" textRotation="0" wrapText="false" indent="0" shrinkToFit="false"/>
      <protection locked="true" hidden="false"/>
    </xf>
    <xf numFmtId="164" fontId="111" fillId="26" borderId="93" xfId="49" applyFont="true" applyBorder="true" applyAlignment="true" applyProtection="true">
      <alignment horizontal="center" vertical="center" textRotation="0" wrapText="true" indent="0" shrinkToFit="false"/>
      <protection locked="true" hidden="false"/>
    </xf>
    <xf numFmtId="164" fontId="111" fillId="26" borderId="57" xfId="49" applyFont="true" applyBorder="true" applyAlignment="true" applyProtection="true">
      <alignment horizontal="center" vertical="center" textRotation="0" wrapText="true" indent="0" shrinkToFit="false"/>
      <protection locked="true" hidden="false"/>
    </xf>
    <xf numFmtId="164" fontId="18" fillId="24" borderId="19" xfId="0" applyFont="true" applyBorder="true" applyAlignment="true" applyProtection="false">
      <alignment horizontal="general" vertical="bottom" textRotation="0" wrapText="true" indent="0" shrinkToFit="false"/>
      <protection locked="true" hidden="false"/>
    </xf>
    <xf numFmtId="164" fontId="0" fillId="3" borderId="19" xfId="44" applyFont="false" applyBorder="true" applyAlignment="true" applyProtection="true">
      <alignment horizontal="center" vertical="center" textRotation="0" wrapText="true" indent="0" shrinkToFit="false"/>
      <protection locked="true" hidden="false"/>
    </xf>
    <xf numFmtId="169" fontId="109" fillId="0" borderId="0" xfId="0" applyFont="true" applyBorder="false" applyAlignment="true" applyProtection="false">
      <alignment horizontal="left" vertical="bottom" textRotation="0" wrapText="false" indent="0" shrinkToFit="false"/>
      <protection locked="true" hidden="false"/>
    </xf>
    <xf numFmtId="164" fontId="18" fillId="24" borderId="6" xfId="0" applyFont="true" applyBorder="true" applyAlignment="true" applyProtection="false">
      <alignment horizontal="general" vertical="bottom" textRotation="0" wrapText="true" indent="0" shrinkToFit="false"/>
      <protection locked="true" hidden="false"/>
    </xf>
    <xf numFmtId="173" fontId="73" fillId="0" borderId="0" xfId="0" applyFont="true" applyBorder="false" applyAlignment="true" applyProtection="false">
      <alignment horizontal="left" vertical="bottom" textRotation="0" wrapText="false" indent="0" shrinkToFit="false"/>
      <protection locked="true" hidden="false"/>
    </xf>
    <xf numFmtId="169" fontId="24" fillId="3" borderId="6" xfId="44" applyFont="true" applyBorder="true" applyAlignment="true" applyProtection="tru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85" fillId="0" borderId="0" xfId="0" applyFont="true" applyBorder="tru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31" fillId="0" borderId="31" xfId="0" applyFont="true" applyBorder="true" applyAlignment="true" applyProtection="false">
      <alignment horizontal="right" vertical="center" textRotation="0" wrapText="false" indent="0" shrinkToFit="false"/>
      <protection locked="true" hidden="false"/>
    </xf>
    <xf numFmtId="164" fontId="96" fillId="26" borderId="1" xfId="49" applyFont="true" applyBorder="true" applyAlignment="true" applyProtection="true">
      <alignment horizontal="center" vertical="bottom" textRotation="0" wrapText="false" indent="0" shrinkToFit="false"/>
      <protection locked="true" hidden="false"/>
    </xf>
    <xf numFmtId="164" fontId="18" fillId="0" borderId="6" xfId="0" applyFont="true" applyBorder="true" applyAlignment="true" applyProtection="false">
      <alignment horizontal="center" vertical="bottom" textRotation="0" wrapText="false" indent="0" shrinkToFit="false"/>
      <protection locked="true" hidden="false"/>
    </xf>
    <xf numFmtId="164" fontId="15" fillId="0" borderId="87"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24" borderId="0" xfId="0" applyFont="true" applyBorder="true" applyAlignment="false" applyProtection="false">
      <alignment horizontal="general" vertical="bottom" textRotation="0" wrapText="false" indent="0" shrinkToFit="false"/>
      <protection locked="true" hidden="false"/>
    </xf>
    <xf numFmtId="164" fontId="24" fillId="3" borderId="88" xfId="44" applyFont="true" applyBorder="true" applyAlignment="true" applyProtection="true">
      <alignment horizontal="left" vertical="bottom" textRotation="0" wrapText="false" indent="0" shrinkToFit="false"/>
      <protection locked="true" hidden="false"/>
    </xf>
    <xf numFmtId="164" fontId="24" fillId="3" borderId="94" xfId="44"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24" fillId="0" borderId="0" xfId="0" applyFont="true" applyBorder="true" applyAlignment="false" applyProtection="false">
      <alignment horizontal="general" vertical="bottom" textRotation="0" wrapText="false" indent="0" shrinkToFit="false"/>
      <protection locked="true" hidden="false"/>
    </xf>
    <xf numFmtId="164" fontId="24" fillId="3" borderId="88" xfId="44" applyFont="true" applyBorder="true" applyAlignment="true" applyProtection="true">
      <alignment horizontal="center" vertical="center" textRotation="0" wrapText="false" indent="0" shrinkToFit="false"/>
      <protection locked="true" hidden="false"/>
    </xf>
    <xf numFmtId="169" fontId="0" fillId="3" borderId="0" xfId="44" applyFont="false" applyBorder="true" applyAlignment="true" applyProtection="true">
      <alignment horizontal="center" vertical="center" textRotation="0" wrapText="false" indent="0" shrinkToFit="false"/>
      <protection locked="true" hidden="false"/>
    </xf>
    <xf numFmtId="164" fontId="19" fillId="0" borderId="0" xfId="0" applyFont="true" applyBorder="true" applyAlignment="true" applyProtection="false">
      <alignment horizontal="right" vertical="bottom" textRotation="0" wrapText="false" indent="0" shrinkToFit="false"/>
      <protection locked="true" hidden="false"/>
    </xf>
    <xf numFmtId="164" fontId="15" fillId="24" borderId="71" xfId="0" applyFont="true" applyBorder="true" applyAlignment="true" applyProtection="false">
      <alignment horizontal="center" vertical="center" textRotation="0" wrapText="false" indent="0" shrinkToFit="false"/>
      <protection locked="true" hidden="false"/>
    </xf>
    <xf numFmtId="164" fontId="0" fillId="23" borderId="0" xfId="43" applyFont="fals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133" fillId="0" borderId="0" xfId="0" applyFont="true" applyBorder="true" applyAlignment="true" applyProtection="false">
      <alignment horizontal="left" vertical="center" textRotation="0" wrapText="false" indent="0" shrinkToFit="false"/>
      <protection locked="true" hidden="false"/>
    </xf>
    <xf numFmtId="164" fontId="133" fillId="0" borderId="0" xfId="0" applyFont="true" applyBorder="true" applyAlignment="true" applyProtection="false">
      <alignment horizontal="general" vertical="center" textRotation="0" wrapText="false" indent="0" shrinkToFit="false"/>
      <protection locked="true" hidden="false"/>
    </xf>
    <xf numFmtId="169" fontId="134" fillId="0" borderId="0" xfId="0" applyFont="true" applyBorder="true" applyAlignment="true" applyProtection="false">
      <alignment horizontal="right" vertical="center" textRotation="0" wrapText="false" indent="0" shrinkToFit="false"/>
      <protection locked="true" hidden="false"/>
    </xf>
    <xf numFmtId="164" fontId="136"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9" fontId="134" fillId="0" borderId="0" xfId="0" applyFont="true" applyBorder="true" applyAlignment="true" applyProtection="false">
      <alignment horizontal="general" vertical="center" textRotation="0" wrapText="false" indent="0" shrinkToFit="false"/>
      <protection locked="true" hidden="false"/>
    </xf>
    <xf numFmtId="164" fontId="133" fillId="0" borderId="0" xfId="0" applyFont="true" applyBorder="true" applyAlignment="true" applyProtection="false">
      <alignment horizontal="left" vertical="center" textRotation="0" wrapText="true" indent="0" shrinkToFit="false"/>
      <protection locked="true" hidden="false"/>
    </xf>
    <xf numFmtId="164" fontId="137" fillId="0" borderId="0" xfId="0" applyFont="true" applyBorder="true" applyAlignment="false" applyProtection="false">
      <alignment horizontal="general" vertical="bottom" textRotation="0" wrapText="false" indent="0" shrinkToFit="false"/>
      <protection locked="true" hidden="false"/>
    </xf>
    <xf numFmtId="164" fontId="138" fillId="0" borderId="0" xfId="0" applyFont="true" applyBorder="true" applyAlignment="false" applyProtection="false">
      <alignment horizontal="general" vertical="bottom" textRotation="0" wrapText="false" indent="0" shrinkToFit="false"/>
      <protection locked="true" hidden="false"/>
    </xf>
    <xf numFmtId="164" fontId="15" fillId="24" borderId="71" xfId="0" applyFont="true" applyBorder="true" applyAlignment="false" applyProtection="false">
      <alignment horizontal="general" vertical="bottom" textRotation="0" wrapText="false" indent="0" shrinkToFit="false"/>
      <protection locked="true" hidden="false"/>
    </xf>
    <xf numFmtId="164" fontId="89" fillId="0" borderId="0" xfId="0" applyFont="true" applyBorder="tru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left" vertical="bottom" textRotation="0" wrapText="true" indent="0" shrinkToFit="false"/>
      <protection locked="true" hidden="false"/>
    </xf>
    <xf numFmtId="164" fontId="18" fillId="0" borderId="87" xfId="0" applyFont="true" applyBorder="true" applyAlignment="true" applyProtection="false">
      <alignment horizontal="left" vertical="bottom" textRotation="0" wrapText="true" indent="0" shrinkToFit="false"/>
      <protection locked="true" hidden="false"/>
    </xf>
    <xf numFmtId="164" fontId="139" fillId="0" borderId="0" xfId="0" applyFont="true" applyBorder="true" applyAlignment="true" applyProtection="false">
      <alignment horizontal="center" vertical="center" textRotation="0" wrapText="false" indent="0" shrinkToFit="false"/>
      <protection locked="true" hidden="false"/>
    </xf>
    <xf numFmtId="164" fontId="85" fillId="0" borderId="0" xfId="0" applyFont="true" applyBorder="true" applyAlignment="true" applyProtection="false">
      <alignment horizontal="left" vertical="top" textRotation="0" wrapText="true" indent="0" shrinkToFit="false"/>
      <protection locked="true" hidden="false"/>
    </xf>
    <xf numFmtId="164" fontId="139" fillId="0" borderId="0" xfId="0" applyFont="true" applyBorder="true" applyAlignment="true" applyProtection="false">
      <alignment horizontal="left" vertical="center" textRotation="0" wrapText="false" indent="0" shrinkToFit="false"/>
      <protection locked="true" hidden="false"/>
    </xf>
    <xf numFmtId="164" fontId="104" fillId="0" borderId="0" xfId="0" applyFont="true" applyBorder="true" applyAlignment="true" applyProtection="false">
      <alignment horizontal="right" vertical="bottom" textRotation="0" wrapText="false" indent="0" shrinkToFit="false"/>
      <protection locked="true" hidden="false"/>
    </xf>
    <xf numFmtId="164" fontId="18" fillId="24" borderId="71"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4" fillId="3" borderId="71" xfId="44" applyFont="true" applyBorder="true" applyAlignment="true" applyProtection="true">
      <alignment horizontal="center" vertical="bottom" textRotation="0" wrapText="false" indent="0" shrinkToFit="false"/>
      <protection locked="true" hidden="false"/>
    </xf>
    <xf numFmtId="164" fontId="0" fillId="23" borderId="0" xfId="43" applyFont="true" applyBorder="true" applyAlignment="true" applyProtection="true">
      <alignment horizontal="center" vertical="bottom" textRotation="0" wrapText="false" indent="0" shrinkToFit="false"/>
      <protection locked="true" hidden="false"/>
    </xf>
    <xf numFmtId="164" fontId="18" fillId="24" borderId="71" xfId="0" applyFont="true" applyBorder="true" applyAlignment="true" applyProtection="false">
      <alignment horizontal="general" vertical="bottom" textRotation="0" wrapText="true" indent="0" shrinkToFit="false"/>
      <protection locked="true" hidden="false"/>
    </xf>
    <xf numFmtId="171" fontId="24" fillId="3" borderId="71" xfId="44" applyFont="true" applyBorder="true" applyAlignment="true" applyProtection="tru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8" fillId="0" borderId="87" xfId="0" applyFont="true" applyBorder="true" applyAlignment="true" applyProtection="false">
      <alignment horizontal="left" vertical="bottom" textRotation="0" wrapText="false" indent="0" shrinkToFit="false"/>
      <protection locked="true" hidden="false"/>
    </xf>
    <xf numFmtId="164" fontId="15" fillId="0" borderId="30" xfId="0" applyFont="true" applyBorder="true" applyAlignment="true" applyProtection="false">
      <alignment horizontal="general" vertical="bottom" textRotation="0" wrapText="false" indent="0" shrinkToFit="false"/>
      <protection locked="true" hidden="false"/>
    </xf>
    <xf numFmtId="164" fontId="139"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140" fillId="0" borderId="0" xfId="0" applyFont="true" applyBorder="false" applyAlignment="true" applyProtection="false">
      <alignment horizontal="left" vertical="bottom" textRotation="0" wrapText="false" indent="0" shrinkToFit="false"/>
      <protection locked="true" hidden="false"/>
    </xf>
    <xf numFmtId="164" fontId="15" fillId="0" borderId="95" xfId="0" applyFont="true" applyBorder="tru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0" fillId="23" borderId="0" xfId="43" applyFont="false" applyBorder="true" applyAlignment="true" applyProtection="tru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32" fillId="0" borderId="0" xfId="0" applyFont="true" applyBorder="true" applyAlignment="false" applyProtection="false">
      <alignment horizontal="general" vertical="bottom" textRotation="0" wrapText="false" indent="0" shrinkToFit="false"/>
      <protection locked="true" hidden="false"/>
    </xf>
    <xf numFmtId="164" fontId="18" fillId="26" borderId="26" xfId="49" applyFont="true" applyBorder="true" applyAlignment="true" applyProtection="true">
      <alignment horizontal="center" vertical="bottom" textRotation="0" wrapText="false" indent="0" shrinkToFit="false"/>
      <protection locked="true" hidden="false"/>
    </xf>
    <xf numFmtId="164" fontId="15" fillId="0" borderId="77" xfId="0" applyFont="true" applyBorder="true" applyAlignment="true" applyProtection="false">
      <alignment horizontal="left" vertical="center" textRotation="0" wrapText="false" indent="0" shrinkToFit="false"/>
      <protection locked="true" hidden="false"/>
    </xf>
    <xf numFmtId="164" fontId="18" fillId="24" borderId="96" xfId="0" applyFont="true" applyBorder="true" applyAlignment="true" applyProtection="false">
      <alignment horizontal="center" vertical="center" textRotation="0" wrapText="false" indent="0" shrinkToFit="false"/>
      <protection locked="true" hidden="false"/>
    </xf>
    <xf numFmtId="169" fontId="141" fillId="0" borderId="0" xfId="0" applyFont="true" applyBorder="false" applyAlignment="true" applyProtection="false">
      <alignment horizontal="left" vertical="bottom" textRotation="0" wrapText="false" indent="0" shrinkToFit="false"/>
      <protection locked="true" hidden="false"/>
    </xf>
    <xf numFmtId="164" fontId="15" fillId="0" borderId="49" xfId="0" applyFont="true" applyBorder="true" applyAlignment="true" applyProtection="false">
      <alignment horizontal="left" vertical="center" textRotation="0" wrapText="true" indent="0" shrinkToFit="false"/>
      <protection locked="true" hidden="false"/>
    </xf>
    <xf numFmtId="164" fontId="18" fillId="24" borderId="97" xfId="0" applyFont="true" applyBorder="true" applyAlignment="true" applyProtection="false">
      <alignment horizontal="center" vertical="center" textRotation="0" wrapText="false" indent="0" shrinkToFit="false"/>
      <protection locked="true" hidden="false"/>
    </xf>
    <xf numFmtId="169" fontId="141" fillId="0" borderId="0" xfId="0" applyFont="true" applyBorder="true" applyAlignment="true" applyProtection="false">
      <alignment horizontal="left" vertical="top" textRotation="0" wrapText="false" indent="0" shrinkToFit="false"/>
      <protection locked="true" hidden="false"/>
    </xf>
    <xf numFmtId="164" fontId="29" fillId="0" borderId="0" xfId="0" applyFont="true" applyBorder="false" applyAlignment="true" applyProtection="false">
      <alignment horizontal="center" vertical="center" textRotation="0" wrapText="false" indent="0" shrinkToFit="false"/>
      <protection locked="true" hidden="false"/>
    </xf>
    <xf numFmtId="164" fontId="24" fillId="3" borderId="71" xfId="44" applyFont="true" applyBorder="true" applyAlignment="true" applyProtection="true">
      <alignment horizontal="center" vertical="center" textRotation="0" wrapText="false" indent="0" shrinkToFit="false"/>
      <protection locked="true" hidden="false"/>
    </xf>
    <xf numFmtId="169" fontId="24" fillId="3" borderId="86" xfId="44"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true" indent="0" shrinkToFit="false"/>
      <protection locked="true" hidden="false"/>
    </xf>
    <xf numFmtId="164" fontId="15" fillId="0" borderId="26" xfId="0" applyFont="true" applyBorder="true" applyAlignment="true" applyProtection="false">
      <alignment horizontal="left" vertical="center" textRotation="0" wrapText="false" indent="0" shrinkToFit="false"/>
      <protection locked="true" hidden="false"/>
    </xf>
    <xf numFmtId="164" fontId="18" fillId="24" borderId="98" xfId="0" applyFont="true" applyBorder="true" applyAlignment="true" applyProtection="false">
      <alignment horizontal="center" vertical="center" textRotation="0" wrapText="false" indent="0" shrinkToFit="false"/>
      <protection locked="true" hidden="false"/>
    </xf>
    <xf numFmtId="164" fontId="89" fillId="0" borderId="0" xfId="0" applyFont="true" applyBorder="true" applyAlignment="true" applyProtection="false">
      <alignment horizontal="left" vertical="bottom" textRotation="0" wrapText="false" indent="0" shrinkToFit="false"/>
      <protection locked="true" hidden="false"/>
    </xf>
    <xf numFmtId="164" fontId="73" fillId="0" borderId="0" xfId="0" applyFont="true" applyBorder="true" applyAlignment="true" applyProtection="false">
      <alignment horizontal="left" vertical="center" textRotation="0" wrapText="false" indent="0" shrinkToFit="false"/>
      <protection locked="true" hidden="false"/>
    </xf>
    <xf numFmtId="164" fontId="18" fillId="0" borderId="87" xfId="0" applyFont="true" applyBorder="true" applyAlignment="true" applyProtection="false">
      <alignment horizontal="left" vertical="center" textRotation="0" wrapText="true" indent="0" shrinkToFit="false"/>
      <protection locked="true" hidden="false"/>
    </xf>
    <xf numFmtId="164" fontId="89" fillId="0" borderId="0" xfId="0" applyFont="true" applyBorder="true" applyAlignment="true" applyProtection="false">
      <alignment horizontal="left" vertical="center" textRotation="0" wrapText="false" indent="0" shrinkToFit="false"/>
      <protection locked="true" hidden="false"/>
    </xf>
    <xf numFmtId="164" fontId="89" fillId="0" borderId="0" xfId="0" applyFont="true" applyBorder="false" applyAlignment="true" applyProtection="false">
      <alignment horizontal="general" vertical="bottom" textRotation="0" wrapText="false" indent="0" shrinkToFit="false"/>
      <protection locked="true" hidden="false"/>
    </xf>
    <xf numFmtId="164" fontId="89" fillId="0" borderId="0" xfId="0" applyFont="true" applyBorder="false" applyAlignment="true" applyProtection="false">
      <alignment horizontal="center" vertical="center" textRotation="0" wrapText="false" indent="0" shrinkToFit="false"/>
      <protection locked="true" hidden="false"/>
    </xf>
    <xf numFmtId="164" fontId="82"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true" applyAlignment="true" applyProtection="false">
      <alignment horizontal="center" vertical="bottom" textRotation="0" wrapText="tru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89"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0" fillId="23" borderId="0" xfId="43"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43" fillId="0" borderId="0" xfId="0" applyFont="true" applyBorder="false" applyAlignment="false" applyProtection="false">
      <alignment horizontal="general" vertical="bottom" textRotation="0" wrapText="false" indent="0" shrinkToFit="false"/>
      <protection locked="true" hidden="false"/>
    </xf>
    <xf numFmtId="164" fontId="15" fillId="0" borderId="84" xfId="0" applyFont="true" applyBorder="true" applyAlignment="true" applyProtection="false">
      <alignment horizontal="right" vertical="bottom" textRotation="0" wrapText="false" indent="0" shrinkToFit="false"/>
      <protection locked="true" hidden="false"/>
    </xf>
    <xf numFmtId="164" fontId="144" fillId="0" borderId="0"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right" vertical="bottom" textRotation="0" wrapText="false" indent="0" shrinkToFit="false"/>
      <protection locked="true" hidden="false"/>
    </xf>
    <xf numFmtId="164" fontId="19" fillId="26" borderId="0" xfId="49" applyFont="true" applyBorder="true" applyAlignment="true" applyProtection="true">
      <alignment horizontal="left" vertical="bottom" textRotation="0" wrapText="false" indent="0" shrinkToFit="false"/>
      <protection locked="true" hidden="false"/>
    </xf>
    <xf numFmtId="164" fontId="19" fillId="0" borderId="0" xfId="49" applyFont="true" applyBorder="true" applyAlignment="true" applyProtection="true">
      <alignment horizontal="left"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9" fontId="147" fillId="0" borderId="0" xfId="0" applyFont="true" applyBorder="true" applyAlignment="true" applyProtection="false">
      <alignment horizontal="left" vertical="center" textRotation="0" wrapText="false" indent="0" shrinkToFit="false"/>
      <protection locked="true" hidden="false"/>
    </xf>
    <xf numFmtId="164" fontId="15" fillId="24" borderId="0" xfId="0" applyFont="true" applyBorder="true" applyAlignment="true" applyProtection="false">
      <alignment horizontal="left" vertical="bottom" textRotation="0" wrapText="true" indent="0" shrinkToFit="false"/>
      <protection locked="true" hidden="false"/>
    </xf>
    <xf numFmtId="169" fontId="140" fillId="0" borderId="0" xfId="0" applyFont="true" applyBorder="true" applyAlignment="true" applyProtection="false">
      <alignment horizontal="left" vertical="center" textRotation="0" wrapText="false" indent="0" shrinkToFit="false"/>
      <protection locked="true" hidden="false"/>
    </xf>
    <xf numFmtId="164" fontId="15" fillId="24"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9" fontId="24" fillId="3" borderId="71" xfId="44" applyFont="true" applyBorder="true" applyAlignment="true" applyProtection="true">
      <alignment horizontal="center" vertical="center" textRotation="0" wrapText="true" indent="0" shrinkToFit="false"/>
      <protection locked="true" hidden="false"/>
    </xf>
    <xf numFmtId="164" fontId="15" fillId="24" borderId="0" xfId="0" applyFont="true" applyBorder="true" applyAlignment="true" applyProtection="false">
      <alignment horizontal="left" vertical="bottom" textRotation="0" wrapText="false" indent="0" shrinkToFit="false"/>
      <protection locked="true" hidden="false"/>
    </xf>
    <xf numFmtId="164" fontId="15" fillId="24" borderId="0" xfId="0" applyFont="true" applyBorder="true" applyAlignment="true" applyProtection="false">
      <alignment horizontal="general" vertical="bottom" textRotation="0" wrapText="false" indent="0" shrinkToFit="false"/>
      <protection locked="true" hidden="false"/>
    </xf>
    <xf numFmtId="164" fontId="15" fillId="24"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8" fillId="24" borderId="71" xfId="0" applyFont="true" applyBorder="true" applyAlignment="true" applyProtection="false">
      <alignment horizontal="general" vertical="bottom" textRotation="0" wrapText="false" indent="0" shrinkToFit="false"/>
      <protection locked="true" hidden="false"/>
    </xf>
    <xf numFmtId="164" fontId="16" fillId="27" borderId="25" xfId="51" applyFont="true" applyBorder="true" applyAlignment="true" applyProtection="true">
      <alignment horizontal="center" vertical="bottom" textRotation="0" wrapText="false" indent="0" shrinkToFit="false"/>
      <protection locked="true" hidden="false"/>
    </xf>
    <xf numFmtId="164" fontId="73" fillId="0" borderId="0" xfId="0" applyFont="true" applyBorder="true" applyAlignment="true" applyProtection="false">
      <alignment horizontal="right" vertical="center" textRotation="0" wrapText="false" indent="0" shrinkToFit="false"/>
      <protection locked="true" hidden="false"/>
    </xf>
    <xf numFmtId="164" fontId="24" fillId="26" borderId="26" xfId="49" applyFont="true" applyBorder="true" applyAlignment="true" applyProtection="true">
      <alignment horizontal="center" vertical="center" textRotation="0" wrapText="true" indent="0" shrinkToFit="false"/>
      <protection locked="true" hidden="false"/>
    </xf>
    <xf numFmtId="164" fontId="24" fillId="26" borderId="77" xfId="49" applyFont="true" applyBorder="true" applyAlignment="true" applyProtection="true">
      <alignment horizontal="center" vertical="center" textRotation="0" wrapText="true" indent="0" shrinkToFit="false"/>
      <protection locked="true" hidden="false"/>
    </xf>
    <xf numFmtId="164" fontId="24" fillId="26" borderId="67" xfId="49" applyFont="true" applyBorder="true" applyAlignment="true" applyProtection="true">
      <alignment horizontal="center" vertical="center" textRotation="0" wrapText="true" indent="0" shrinkToFit="false"/>
      <protection locked="true" hidden="false"/>
    </xf>
    <xf numFmtId="164" fontId="24" fillId="26" borderId="68" xfId="49" applyFont="true" applyBorder="true" applyAlignment="true" applyProtection="true">
      <alignment horizontal="center" vertical="center" textRotation="0" wrapText="true" indent="0" shrinkToFit="false"/>
      <protection locked="true" hidden="false"/>
    </xf>
    <xf numFmtId="164" fontId="24" fillId="26" borderId="69" xfId="49" applyFont="true" applyBorder="true" applyAlignment="true" applyProtection="true">
      <alignment horizontal="center" vertical="center" textRotation="0" wrapText="true" indent="0" shrinkToFit="false"/>
      <protection locked="true" hidden="false"/>
    </xf>
    <xf numFmtId="164" fontId="8" fillId="22" borderId="52" xfId="41" applyFont="true" applyBorder="true" applyAlignment="true" applyProtection="true">
      <alignment horizontal="left" vertical="bottom" textRotation="0" wrapText="false" indent="0" shrinkToFit="false"/>
      <protection locked="true" hidden="false"/>
    </xf>
    <xf numFmtId="164" fontId="15" fillId="24" borderId="41" xfId="0" applyFont="true" applyBorder="true" applyAlignment="false" applyProtection="false">
      <alignment horizontal="general" vertical="bottom" textRotation="0" wrapText="false" indent="0" shrinkToFit="false"/>
      <protection locked="true" hidden="false"/>
    </xf>
    <xf numFmtId="164" fontId="15" fillId="24" borderId="65" xfId="0" applyFont="true" applyBorder="true" applyAlignment="false" applyProtection="false">
      <alignment horizontal="general" vertical="bottom" textRotation="0" wrapText="false" indent="0" shrinkToFit="false"/>
      <protection locked="true" hidden="false"/>
    </xf>
    <xf numFmtId="164" fontId="15" fillId="24" borderId="72" xfId="0" applyFont="true" applyBorder="true" applyAlignment="false" applyProtection="false">
      <alignment horizontal="general" vertical="bottom" textRotation="0" wrapText="false" indent="0" shrinkToFit="false"/>
      <protection locked="true" hidden="false"/>
    </xf>
    <xf numFmtId="169" fontId="24" fillId="3" borderId="40" xfId="44" applyFont="true" applyBorder="true" applyAlignment="true" applyProtection="true">
      <alignment horizontal="general" vertical="bottom" textRotation="0" wrapText="false" indent="0" shrinkToFit="false"/>
      <protection locked="true" hidden="false"/>
    </xf>
    <xf numFmtId="164" fontId="57" fillId="22" borderId="49" xfId="41" applyFont="true" applyBorder="true" applyAlignment="true" applyProtection="true">
      <alignment horizontal="left" vertical="top" textRotation="0" wrapText="true" indent="0" shrinkToFit="false"/>
      <protection locked="true" hidden="false"/>
    </xf>
    <xf numFmtId="164" fontId="57" fillId="22" borderId="46" xfId="41" applyFont="true" applyBorder="true" applyAlignment="true" applyProtection="true">
      <alignment horizontal="general" vertical="top" textRotation="0" wrapText="true" indent="0" shrinkToFit="false"/>
      <protection locked="true" hidden="false"/>
    </xf>
    <xf numFmtId="164" fontId="57" fillId="22" borderId="6" xfId="41" applyFont="true" applyBorder="true" applyAlignment="true" applyProtection="true">
      <alignment horizontal="general" vertical="top" textRotation="0" wrapText="true" indent="0" shrinkToFit="false"/>
      <protection locked="true" hidden="false"/>
    </xf>
    <xf numFmtId="164" fontId="57" fillId="22" borderId="7" xfId="41" applyFont="true" applyBorder="true" applyAlignment="true" applyProtection="true">
      <alignment horizontal="general" vertical="top" textRotation="0" wrapText="true" indent="0" shrinkToFit="false"/>
      <protection locked="true" hidden="false"/>
    </xf>
    <xf numFmtId="164" fontId="57" fillId="22" borderId="45" xfId="41" applyFont="true" applyBorder="true" applyAlignment="true" applyProtection="true">
      <alignment horizontal="general" vertical="top" textRotation="0" wrapText="true" indent="0" shrinkToFit="false"/>
      <protection locked="true" hidden="false"/>
    </xf>
    <xf numFmtId="164" fontId="8" fillId="22" borderId="49" xfId="41" applyFont="true" applyBorder="true" applyAlignment="true" applyProtection="true">
      <alignment horizontal="left" vertical="bottom" textRotation="0" wrapText="false" indent="0" shrinkToFit="false"/>
      <protection locked="true" hidden="false"/>
    </xf>
    <xf numFmtId="164" fontId="15" fillId="24" borderId="46" xfId="0" applyFont="true" applyBorder="true" applyAlignment="false" applyProtection="false">
      <alignment horizontal="general" vertical="bottom" textRotation="0" wrapText="false" indent="0" shrinkToFit="false"/>
      <protection locked="true" hidden="false"/>
    </xf>
    <xf numFmtId="164" fontId="15" fillId="24" borderId="6" xfId="0" applyFont="true" applyBorder="true" applyAlignment="false" applyProtection="false">
      <alignment horizontal="general" vertical="bottom" textRotation="0" wrapText="false" indent="0" shrinkToFit="false"/>
      <protection locked="true" hidden="false"/>
    </xf>
    <xf numFmtId="164" fontId="15" fillId="24" borderId="7" xfId="0" applyFont="true" applyBorder="true" applyAlignment="false" applyProtection="false">
      <alignment horizontal="general" vertical="bottom" textRotation="0" wrapText="false" indent="0" shrinkToFit="false"/>
      <protection locked="true" hidden="false"/>
    </xf>
    <xf numFmtId="169" fontId="24" fillId="3" borderId="45" xfId="44" applyFont="true" applyBorder="true" applyAlignment="true" applyProtection="true">
      <alignment horizontal="general" vertical="bottom" textRotation="0" wrapText="false" indent="0" shrinkToFit="false"/>
      <protection locked="true" hidden="false"/>
    </xf>
    <xf numFmtId="164" fontId="57" fillId="22" borderId="46" xfId="41" applyFont="true" applyBorder="true" applyAlignment="true" applyProtection="true">
      <alignment horizontal="left" vertical="top" textRotation="0" wrapText="true" indent="0" shrinkToFit="false"/>
      <protection locked="true" hidden="false"/>
    </xf>
    <xf numFmtId="164" fontId="57" fillId="22" borderId="6" xfId="41" applyFont="true" applyBorder="true" applyAlignment="true" applyProtection="true">
      <alignment horizontal="left" vertical="top" textRotation="0" wrapText="true" indent="0" shrinkToFit="false"/>
      <protection locked="true" hidden="false"/>
    </xf>
    <xf numFmtId="164" fontId="57" fillId="22" borderId="7" xfId="41" applyFont="true" applyBorder="true" applyAlignment="true" applyProtection="true">
      <alignment horizontal="left" vertical="top" textRotation="0" wrapText="true" indent="0" shrinkToFit="false"/>
      <protection locked="true" hidden="false"/>
    </xf>
    <xf numFmtId="164" fontId="57" fillId="22" borderId="45" xfId="41" applyFont="true" applyBorder="true" applyAlignment="true" applyProtection="true">
      <alignment horizontal="left" vertical="top" textRotation="0" wrapText="true" indent="0" shrinkToFit="false"/>
      <protection locked="true" hidden="false"/>
    </xf>
    <xf numFmtId="164" fontId="57" fillId="0" borderId="25" xfId="41" applyFont="true" applyBorder="true" applyAlignment="true" applyProtection="true">
      <alignment horizontal="left" vertical="top" textRotation="0" wrapText="true" indent="0" shrinkToFit="false"/>
      <protection locked="true" hidden="false"/>
    </xf>
    <xf numFmtId="164" fontId="57" fillId="0" borderId="0" xfId="41" applyFont="true" applyBorder="true" applyAlignment="true" applyProtection="true">
      <alignment horizontal="left" vertical="top" textRotation="0" wrapText="true" indent="0" shrinkToFit="false"/>
      <protection locked="true" hidden="false"/>
    </xf>
    <xf numFmtId="164" fontId="57" fillId="0" borderId="46" xfId="41" applyFont="true" applyBorder="true" applyAlignment="true" applyProtection="true">
      <alignment horizontal="left" vertical="top" textRotation="0" wrapText="true" indent="0" shrinkToFit="false"/>
      <protection locked="true" hidden="false"/>
    </xf>
    <xf numFmtId="164" fontId="73" fillId="0" borderId="6" xfId="0" applyFont="true" applyBorder="true" applyAlignment="false" applyProtection="false">
      <alignment horizontal="general" vertical="bottom" textRotation="0" wrapText="false" indent="0" shrinkToFit="false"/>
      <protection locked="true" hidden="false"/>
    </xf>
    <xf numFmtId="164" fontId="73" fillId="0" borderId="7" xfId="0" applyFont="true" applyBorder="true" applyAlignment="true" applyProtection="false">
      <alignment horizontal="right" vertical="center" textRotation="0" wrapText="false" indent="0" shrinkToFit="false"/>
      <protection locked="true" hidden="false"/>
    </xf>
    <xf numFmtId="164" fontId="15" fillId="0" borderId="45" xfId="0" applyFont="true" applyBorder="true" applyAlignment="false" applyProtection="false">
      <alignment horizontal="general" vertical="bottom" textRotation="0" wrapText="false" indent="0" shrinkToFit="false"/>
      <protection locked="true" hidden="false"/>
    </xf>
    <xf numFmtId="164" fontId="73" fillId="0" borderId="25" xfId="0" applyFont="true" applyBorder="true" applyAlignment="false" applyProtection="false">
      <alignment horizontal="general" vertical="bottom" textRotation="0" wrapText="false" indent="0" shrinkToFit="false"/>
      <protection locked="true" hidden="false"/>
    </xf>
    <xf numFmtId="164" fontId="73" fillId="0" borderId="46" xfId="0" applyFont="true" applyBorder="true" applyAlignment="false" applyProtection="false">
      <alignment horizontal="general" vertical="bottom" textRotation="0" wrapText="false" indent="0" shrinkToFit="false"/>
      <protection locked="true" hidden="false"/>
    </xf>
    <xf numFmtId="164" fontId="57" fillId="22" borderId="81" xfId="41" applyFont="true" applyBorder="true" applyAlignment="true" applyProtection="true">
      <alignment horizontal="left" vertical="top" textRotation="0" wrapText="true" indent="0" shrinkToFit="false"/>
      <protection locked="true" hidden="false"/>
    </xf>
    <xf numFmtId="164" fontId="57" fillId="22" borderId="67" xfId="41" applyFont="true" applyBorder="true" applyAlignment="true" applyProtection="true">
      <alignment horizontal="left" vertical="top" textRotation="0" wrapText="true" indent="0" shrinkToFit="false"/>
      <protection locked="true" hidden="false"/>
    </xf>
    <xf numFmtId="164" fontId="57" fillId="22" borderId="68" xfId="41" applyFont="true" applyBorder="true" applyAlignment="true" applyProtection="true">
      <alignment horizontal="left" vertical="top" textRotation="0" wrapText="true" indent="0" shrinkToFit="false"/>
      <protection locked="true" hidden="false"/>
    </xf>
    <xf numFmtId="164" fontId="57" fillId="22" borderId="69" xfId="41" applyFont="true" applyBorder="true" applyAlignment="true" applyProtection="true">
      <alignment horizontal="left" vertical="top" textRotation="0" wrapText="true" indent="0" shrinkToFit="false"/>
      <protection locked="true" hidden="false"/>
    </xf>
    <xf numFmtId="164" fontId="57" fillId="22" borderId="58" xfId="41" applyFont="true" applyBorder="true" applyAlignment="true" applyProtection="true">
      <alignment horizontal="left" vertical="top" textRotation="0" wrapText="true" indent="0" shrinkToFit="false"/>
      <protection locked="true" hidden="false"/>
    </xf>
    <xf numFmtId="164" fontId="73" fillId="0" borderId="91" xfId="0" applyFont="true" applyBorder="true" applyAlignment="false" applyProtection="false">
      <alignment horizontal="general" vertical="bottom" textRotation="0" wrapText="false" indent="0" shrinkToFit="false"/>
      <protection locked="true" hidden="false"/>
    </xf>
    <xf numFmtId="164" fontId="73" fillId="0" borderId="92" xfId="0" applyFont="true" applyBorder="true" applyAlignment="false" applyProtection="false">
      <alignment horizontal="general" vertical="bottom" textRotation="0" wrapText="false" indent="0" shrinkToFit="false"/>
      <protection locked="true" hidden="false"/>
    </xf>
    <xf numFmtId="164" fontId="73" fillId="0" borderId="79" xfId="0" applyFont="true" applyBorder="true" applyAlignment="false" applyProtection="false">
      <alignment horizontal="general" vertical="bottom" textRotation="0" wrapText="false" indent="0" shrinkToFit="false"/>
      <protection locked="true" hidden="false"/>
    </xf>
    <xf numFmtId="164" fontId="73" fillId="0" borderId="99" xfId="0" applyFont="true" applyBorder="true" applyAlignment="false" applyProtection="false">
      <alignment horizontal="general" vertical="bottom" textRotation="0" wrapText="false" indent="0" shrinkToFit="false"/>
      <protection locked="true" hidden="false"/>
    </xf>
    <xf numFmtId="164" fontId="73" fillId="0" borderId="100" xfId="0" applyFont="true" applyBorder="true" applyAlignment="true" applyProtection="false">
      <alignment horizontal="right" vertical="center" textRotation="0" wrapText="false" indent="0" shrinkToFit="false"/>
      <protection locked="true" hidden="false"/>
    </xf>
    <xf numFmtId="164" fontId="15" fillId="0" borderId="4" xfId="0" applyFont="true" applyBorder="true" applyAlignment="false" applyProtection="false">
      <alignment horizontal="general" vertical="bottom" textRotation="0" wrapText="false" indent="0" shrinkToFit="false"/>
      <protection locked="true" hidden="false"/>
    </xf>
    <xf numFmtId="164" fontId="8" fillId="22" borderId="25" xfId="41" applyFont="true" applyBorder="true" applyAlignment="true" applyProtection="true">
      <alignment horizontal="left" vertical="bottom" textRotation="0" wrapText="false" indent="0" shrinkToFit="false"/>
      <protection locked="true" hidden="false"/>
    </xf>
    <xf numFmtId="169" fontId="24" fillId="3" borderId="74" xfId="44" applyFont="true" applyBorder="true" applyAlignment="true" applyProtection="true">
      <alignment horizontal="general" vertical="bottom" textRotation="0" wrapText="false" indent="0" shrinkToFit="false"/>
      <protection locked="true" hidden="false"/>
    </xf>
    <xf numFmtId="169" fontId="24" fillId="3" borderId="78" xfId="44" applyFont="true" applyBorder="true" applyAlignment="true" applyProtection="true">
      <alignment horizontal="general" vertical="bottom" textRotation="0" wrapText="false" indent="0" shrinkToFit="false"/>
      <protection locked="true" hidden="false"/>
    </xf>
    <xf numFmtId="164" fontId="148" fillId="22" borderId="77" xfId="41" applyFont="true" applyBorder="true" applyAlignment="true" applyProtection="true">
      <alignment horizontal="left" vertical="top" textRotation="0" wrapText="true" indent="0" shrinkToFit="false"/>
      <protection locked="true" hidden="false"/>
    </xf>
    <xf numFmtId="164" fontId="57" fillId="22" borderId="41" xfId="41" applyFont="true" applyBorder="true" applyAlignment="true" applyProtection="true">
      <alignment horizontal="left" vertical="top" textRotation="0" wrapText="true" indent="0" shrinkToFit="false"/>
      <protection locked="true" hidden="false"/>
    </xf>
    <xf numFmtId="164" fontId="57" fillId="22" borderId="65" xfId="41" applyFont="true" applyBorder="true" applyAlignment="true" applyProtection="true">
      <alignment horizontal="left" vertical="top" textRotation="0" wrapText="true" indent="0" shrinkToFit="false"/>
      <protection locked="true" hidden="false"/>
    </xf>
    <xf numFmtId="164" fontId="57" fillId="22" borderId="72" xfId="41" applyFont="true" applyBorder="true" applyAlignment="true" applyProtection="true">
      <alignment horizontal="left" vertical="top" textRotation="0" wrapText="true" indent="0" shrinkToFit="false"/>
      <protection locked="true" hidden="false"/>
    </xf>
    <xf numFmtId="164" fontId="57" fillId="22" borderId="40" xfId="41" applyFont="true" applyBorder="true" applyAlignment="true" applyProtection="true">
      <alignment horizontal="left" vertical="top" textRotation="0" wrapText="true" indent="0" shrinkToFit="false"/>
      <protection locked="true" hidden="false"/>
    </xf>
    <xf numFmtId="169" fontId="24" fillId="3" borderId="46" xfId="44" applyFont="true" applyBorder="true" applyAlignment="true" applyProtection="true">
      <alignment horizontal="general" vertical="bottom" textRotation="0" wrapText="false" indent="0" shrinkToFit="false"/>
      <protection locked="true" hidden="false"/>
    </xf>
    <xf numFmtId="164" fontId="148" fillId="22" borderId="81" xfId="41" applyFont="true" applyBorder="true" applyAlignment="true" applyProtection="true">
      <alignment horizontal="left" vertical="top" textRotation="0" wrapText="true" indent="0" shrinkToFit="false"/>
      <protection locked="true" hidden="false"/>
    </xf>
    <xf numFmtId="164" fontId="73" fillId="0" borderId="74" xfId="0" applyFont="true" applyBorder="true" applyAlignment="false" applyProtection="false">
      <alignment horizontal="general" vertical="bottom" textRotation="0" wrapText="false" indent="0" shrinkToFit="false"/>
      <protection locked="true" hidden="false"/>
    </xf>
    <xf numFmtId="164" fontId="73" fillId="0" borderId="17" xfId="0" applyFont="true" applyBorder="true" applyAlignment="false" applyProtection="false">
      <alignment horizontal="general" vertical="bottom" textRotation="0" wrapText="false" indent="0" shrinkToFit="false"/>
      <protection locked="true" hidden="false"/>
    </xf>
    <xf numFmtId="164" fontId="73" fillId="0" borderId="30" xfId="0" applyFont="true" applyBorder="true" applyAlignment="true" applyProtection="false">
      <alignment horizontal="right" vertical="center" textRotation="0" wrapText="false" indent="0" shrinkToFit="false"/>
      <protection locked="true" hidden="false"/>
    </xf>
    <xf numFmtId="164" fontId="15" fillId="0" borderId="78" xfId="0" applyFont="true" applyBorder="true" applyAlignment="false" applyProtection="false">
      <alignment horizontal="general" vertical="bottom" textRotation="0" wrapText="false" indent="0" shrinkToFit="false"/>
      <protection locked="true" hidden="false"/>
    </xf>
    <xf numFmtId="164" fontId="8" fillId="22" borderId="77" xfId="41" applyFont="true" applyBorder="true" applyAlignment="true" applyProtection="true">
      <alignment horizontal="left" vertical="bottom" textRotation="0" wrapText="false" indent="0" shrinkToFit="false"/>
      <protection locked="true" hidden="false"/>
    </xf>
    <xf numFmtId="164" fontId="8" fillId="22" borderId="101" xfId="41" applyFont="true" applyBorder="true" applyAlignment="true" applyProtection="true">
      <alignment horizontal="left" vertical="center" textRotation="0" wrapText="true" indent="0" shrinkToFit="false"/>
      <protection locked="true" hidden="false"/>
    </xf>
    <xf numFmtId="164" fontId="15" fillId="24" borderId="48" xfId="0" applyFont="true" applyBorder="true" applyAlignment="false" applyProtection="false">
      <alignment horizontal="general" vertical="bottom" textRotation="0" wrapText="false" indent="0" shrinkToFit="false"/>
      <protection locked="true" hidden="false"/>
    </xf>
    <xf numFmtId="164" fontId="15" fillId="24" borderId="19" xfId="0" applyFont="true" applyBorder="true" applyAlignment="false" applyProtection="false">
      <alignment horizontal="general" vertical="bottom" textRotation="0" wrapText="false" indent="0" shrinkToFit="false"/>
      <protection locked="true" hidden="false"/>
    </xf>
    <xf numFmtId="164" fontId="15" fillId="24" borderId="32" xfId="0" applyFont="true" applyBorder="true" applyAlignment="false" applyProtection="false">
      <alignment horizontal="general" vertical="bottom" textRotation="0" wrapText="false" indent="0" shrinkToFit="false"/>
      <protection locked="true" hidden="false"/>
    </xf>
    <xf numFmtId="169" fontId="24" fillId="3" borderId="54" xfId="44" applyFont="true" applyBorder="true" applyAlignment="true" applyProtection="true">
      <alignment horizontal="general" vertical="bottom" textRotation="0" wrapText="false" indent="0" shrinkToFit="false"/>
      <protection locked="true" hidden="false"/>
    </xf>
    <xf numFmtId="164" fontId="57" fillId="22" borderId="80" xfId="41" applyFont="true" applyBorder="true" applyAlignment="true" applyProtection="true">
      <alignment horizontal="left" vertical="top" textRotation="0" wrapText="true" indent="0" shrinkToFit="false"/>
      <protection locked="true" hidden="false"/>
    </xf>
    <xf numFmtId="164" fontId="57" fillId="22" borderId="63" xfId="41" applyFont="true" applyBorder="true" applyAlignment="true" applyProtection="true">
      <alignment horizontal="left" vertical="top" textRotation="0" wrapText="true" indent="0" shrinkToFit="false"/>
      <protection locked="true" hidden="false"/>
    </xf>
    <xf numFmtId="164" fontId="57" fillId="22" borderId="16" xfId="41" applyFont="true" applyBorder="true" applyAlignment="true" applyProtection="true">
      <alignment horizontal="left" vertical="top" textRotation="0" wrapText="true" indent="0" shrinkToFit="false"/>
      <protection locked="true" hidden="false"/>
    </xf>
    <xf numFmtId="164" fontId="57" fillId="22" borderId="14" xfId="41" applyFont="true" applyBorder="true" applyAlignment="true" applyProtection="true">
      <alignment horizontal="left" vertical="top" textRotation="0" wrapText="true" indent="0" shrinkToFit="false"/>
      <protection locked="true" hidden="false"/>
    </xf>
    <xf numFmtId="164" fontId="57" fillId="22" borderId="59" xfId="41" applyFont="true" applyBorder="true" applyAlignment="true" applyProtection="true">
      <alignment horizontal="left" vertical="top" textRotation="0" wrapText="true" indent="0" shrinkToFit="false"/>
      <protection locked="true" hidden="false"/>
    </xf>
    <xf numFmtId="164" fontId="8" fillId="22" borderId="77" xfId="41" applyFont="true" applyBorder="true" applyAlignment="true" applyProtection="true">
      <alignment horizontal="left" vertical="center" textRotation="0" wrapText="true" indent="0" shrinkToFit="false"/>
      <protection locked="true" hidden="false"/>
    </xf>
    <xf numFmtId="164" fontId="8" fillId="22" borderId="49" xfId="41" applyFont="true" applyBorder="true" applyAlignment="true" applyProtection="true">
      <alignment horizontal="left" vertical="center" textRotation="0" wrapText="true" indent="0" shrinkToFit="false"/>
      <protection locked="true" hidden="false"/>
    </xf>
    <xf numFmtId="164" fontId="8" fillId="22" borderId="91" xfId="41" applyFont="true" applyBorder="true" applyAlignment="true" applyProtection="true">
      <alignment horizontal="left" vertical="center" textRotation="0" wrapText="true" indent="0" shrinkToFit="false"/>
      <protection locked="true" hidden="false"/>
    </xf>
    <xf numFmtId="169" fontId="24" fillId="3" borderId="55" xfId="44" applyFont="true" applyBorder="true" applyAlignment="true" applyProtection="true">
      <alignment horizontal="general" vertical="bottom" textRotation="0" wrapText="false" indent="0" shrinkToFit="false"/>
      <protection locked="true" hidden="false"/>
    </xf>
    <xf numFmtId="169" fontId="24" fillId="3" borderId="1" xfId="44" applyFont="true" applyBorder="true" applyAlignment="true" applyProtection="true">
      <alignment horizontal="general" vertical="bottom" textRotation="0" wrapText="false" indent="0" shrinkToFit="false"/>
      <protection locked="true" hidden="false"/>
    </xf>
    <xf numFmtId="164" fontId="73" fillId="0" borderId="30" xfId="0" applyFont="true" applyBorder="true" applyAlignment="false" applyProtection="false">
      <alignment horizontal="general" vertical="bottom" textRotation="0" wrapText="false" indent="0" shrinkToFit="false"/>
      <protection locked="true" hidden="false"/>
    </xf>
    <xf numFmtId="164" fontId="8" fillId="22" borderId="101" xfId="41" applyFont="true" applyBorder="true" applyAlignment="true" applyProtection="true">
      <alignment horizontal="left" vertical="center" textRotation="0" wrapText="false" indent="0" shrinkToFit="false"/>
      <protection locked="true" hidden="false"/>
    </xf>
    <xf numFmtId="164" fontId="14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24" fillId="26" borderId="52" xfId="49" applyFont="true" applyBorder="true" applyAlignment="true" applyProtection="true">
      <alignment horizontal="center" vertical="center" textRotation="0" wrapText="true" indent="0" shrinkToFit="false"/>
      <protection locked="true" hidden="false"/>
    </xf>
    <xf numFmtId="164" fontId="24" fillId="26" borderId="51" xfId="49" applyFont="true" applyBorder="true" applyAlignment="true" applyProtection="true">
      <alignment horizontal="center" vertical="center" textRotation="0" wrapText="true" indent="0" shrinkToFit="false"/>
      <protection locked="true" hidden="false"/>
    </xf>
    <xf numFmtId="164" fontId="24" fillId="26" borderId="63" xfId="49" applyFont="true" applyBorder="true" applyAlignment="true" applyProtection="true">
      <alignment horizontal="center" vertical="center" textRotation="0" wrapText="true" indent="0" shrinkToFit="false"/>
      <protection locked="true" hidden="false"/>
    </xf>
    <xf numFmtId="164" fontId="24" fillId="26" borderId="16" xfId="49" applyFont="true" applyBorder="true" applyAlignment="true" applyProtection="true">
      <alignment horizontal="center" vertical="center" textRotation="0" wrapText="true" indent="0" shrinkToFit="false"/>
      <protection locked="true" hidden="false"/>
    </xf>
    <xf numFmtId="164" fontId="24" fillId="26" borderId="14" xfId="49" applyFont="true" applyBorder="true" applyAlignment="true" applyProtection="true">
      <alignment horizontal="center" vertical="center" textRotation="0" wrapText="true" indent="0" shrinkToFit="false"/>
      <protection locked="true" hidden="false"/>
    </xf>
    <xf numFmtId="164" fontId="8" fillId="22" borderId="77" xfId="41" applyFont="true" applyBorder="true" applyAlignment="true" applyProtection="true">
      <alignment horizontal="left" vertical="bottom" textRotation="0" wrapText="true" indent="0" shrinkToFit="false"/>
      <protection locked="true" hidden="false"/>
    </xf>
    <xf numFmtId="164" fontId="8" fillId="33" borderId="77" xfId="41" applyFont="true" applyBorder="true" applyAlignment="true" applyProtection="true">
      <alignment horizontal="left" vertical="bottom" textRotation="0" wrapText="true" indent="0" shrinkToFit="false"/>
      <protection locked="true" hidden="false"/>
    </xf>
    <xf numFmtId="164" fontId="8" fillId="22" borderId="101" xfId="41" applyFont="true" applyBorder="true" applyAlignment="true" applyProtection="true">
      <alignment horizontal="left" vertical="bottom" textRotation="0" wrapText="false" indent="0" shrinkToFit="false"/>
      <protection locked="true" hidden="false"/>
    </xf>
    <xf numFmtId="164" fontId="8" fillId="22" borderId="26" xfId="41" applyFont="true" applyBorder="true" applyAlignment="true" applyProtection="true">
      <alignment horizontal="left" vertical="center" textRotation="0" wrapText="true" indent="0" shrinkToFit="false"/>
      <protection locked="true" hidden="false"/>
    </xf>
    <xf numFmtId="164" fontId="15" fillId="24" borderId="55" xfId="0" applyFont="true" applyBorder="true" applyAlignment="false" applyProtection="false">
      <alignment horizontal="general" vertical="bottom" textRotation="0" wrapText="false" indent="0" shrinkToFit="false"/>
      <protection locked="true" hidden="false"/>
    </xf>
    <xf numFmtId="164" fontId="15" fillId="24" borderId="56" xfId="0" applyFont="true" applyBorder="true" applyAlignment="false" applyProtection="false">
      <alignment horizontal="general" vertical="bottom" textRotation="0" wrapText="false" indent="0" shrinkToFit="false"/>
      <protection locked="true" hidden="false"/>
    </xf>
    <xf numFmtId="164" fontId="15" fillId="24" borderId="93" xfId="0" applyFont="true" applyBorder="true" applyAlignment="false" applyProtection="false">
      <alignment horizontal="general" vertical="bottom" textRotation="0" wrapText="false" indent="0" shrinkToFit="false"/>
      <protection locked="true" hidden="false"/>
    </xf>
    <xf numFmtId="164" fontId="8" fillId="0" borderId="25" xfId="41" applyFont="true" applyBorder="true" applyAlignment="true" applyProtection="true">
      <alignment horizontal="left" vertical="center" textRotation="0" wrapText="true" indent="0" shrinkToFit="false"/>
      <protection locked="true" hidden="false"/>
    </xf>
    <xf numFmtId="164" fontId="8" fillId="0" borderId="0" xfId="41" applyFont="true" applyBorder="true" applyAlignment="true" applyProtection="true">
      <alignment horizontal="left" vertical="center" textRotation="0" wrapText="true" indent="0" shrinkToFit="false"/>
      <protection locked="true" hidden="false"/>
    </xf>
    <xf numFmtId="164" fontId="15" fillId="0" borderId="74" xfId="0" applyFont="true" applyBorder="true" applyAlignment="false" applyProtection="false">
      <alignment horizontal="general" vertical="bottom" textRotation="0" wrapText="false" indent="0" shrinkToFit="false"/>
      <protection locked="true" hidden="false"/>
    </xf>
    <xf numFmtId="164" fontId="15" fillId="0" borderId="17" xfId="0" applyFont="true" applyBorder="true" applyAlignment="false" applyProtection="false">
      <alignment horizontal="general" vertical="bottom" textRotation="0" wrapText="false" indent="0" shrinkToFit="false"/>
      <protection locked="true" hidden="false"/>
    </xf>
    <xf numFmtId="164" fontId="15" fillId="0" borderId="30" xfId="0" applyFont="true" applyBorder="true" applyAlignment="false" applyProtection="false">
      <alignment horizontal="general" vertical="bottom" textRotation="0" wrapText="false" indent="0" shrinkToFit="false"/>
      <protection locked="true" hidden="false"/>
    </xf>
    <xf numFmtId="164" fontId="8" fillId="22" borderId="81" xfId="41" applyFont="true" applyBorder="true" applyAlignment="true" applyProtection="true">
      <alignment horizontal="left" vertical="center" textRotation="0" wrapText="true" indent="0" shrinkToFit="false"/>
      <protection locked="true" hidden="false"/>
    </xf>
    <xf numFmtId="164" fontId="15" fillId="24" borderId="67" xfId="0" applyFont="true" applyBorder="true" applyAlignment="false" applyProtection="false">
      <alignment horizontal="general" vertical="bottom" textRotation="0" wrapText="false" indent="0" shrinkToFit="false"/>
      <protection locked="true" hidden="false"/>
    </xf>
    <xf numFmtId="164" fontId="15" fillId="24" borderId="68" xfId="0" applyFont="true" applyBorder="true" applyAlignment="false" applyProtection="false">
      <alignment horizontal="general" vertical="bottom" textRotation="0" wrapText="false" indent="0" shrinkToFit="false"/>
      <protection locked="true" hidden="false"/>
    </xf>
    <xf numFmtId="164" fontId="15" fillId="24" borderId="69" xfId="0" applyFont="true" applyBorder="true" applyAlignment="false" applyProtection="false">
      <alignment horizontal="general" vertical="bottom" textRotation="0" wrapText="false" indent="0" shrinkToFit="false"/>
      <protection locked="true" hidden="false"/>
    </xf>
    <xf numFmtId="169" fontId="24" fillId="3" borderId="58" xfId="44" applyFont="true" applyBorder="true" applyAlignment="true" applyProtection="true">
      <alignment horizontal="general" vertical="bottom" textRotation="0" wrapText="false" indent="0" shrinkToFit="false"/>
      <protection locked="true" hidden="false"/>
    </xf>
    <xf numFmtId="169" fontId="24" fillId="3" borderId="48" xfId="44" applyFont="true" applyBorder="true" applyAlignment="true" applyProtection="true">
      <alignment horizontal="general" vertical="bottom" textRotation="0" wrapText="false" indent="0" shrinkToFit="false"/>
      <protection locked="true" hidden="false"/>
    </xf>
    <xf numFmtId="169" fontId="24" fillId="3" borderId="101" xfId="44"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32"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true" applyAlignment="true" applyProtection="false">
      <alignment horizontal="left" vertical="bottom" textRotation="0" wrapText="true" indent="0" shrinkToFit="false"/>
      <protection locked="true" hidden="false"/>
    </xf>
    <xf numFmtId="169" fontId="24" fillId="3" borderId="0" xfId="44" applyFont="true" applyBorder="tru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74" fontId="15" fillId="24" borderId="0" xfId="17" applyFont="true" applyBorder="true" applyAlignment="true" applyProtection="true">
      <alignment horizontal="general" vertical="bottom" textRotation="0" wrapText="false" indent="0" shrinkToFit="false"/>
      <protection locked="true" hidden="false"/>
    </xf>
    <xf numFmtId="164" fontId="18" fillId="0" borderId="87" xfId="0" applyFont="tru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true" applyAlignment="true" applyProtection="false">
      <alignment horizontal="left" vertical="center" textRotation="0" wrapText="true" indent="0" shrinkToFit="false"/>
      <protection locked="true" hidden="false"/>
    </xf>
    <xf numFmtId="171" fontId="24" fillId="3" borderId="71" xfId="44" applyFont="true" applyBorder="true" applyAlignment="true" applyProtection="tru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50" fillId="0" borderId="0" xfId="0" applyFont="true" applyBorder="false" applyAlignment="true" applyProtection="false">
      <alignment horizontal="left" vertical="center" textRotation="0" wrapText="false" indent="4"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82" fontId="19" fillId="0" borderId="0" xfId="0" applyFont="true" applyBorder="true" applyAlignment="true" applyProtection="false">
      <alignment horizontal="general" vertical="center" textRotation="0" wrapText="false" indent="0" shrinkToFit="false"/>
      <protection locked="true" hidden="false"/>
    </xf>
    <xf numFmtId="164" fontId="151" fillId="26" borderId="41" xfId="49" applyFont="true" applyBorder="true" applyAlignment="true" applyProtection="true">
      <alignment horizontal="center" vertical="center" textRotation="0" wrapText="true" indent="0" shrinkToFit="false"/>
      <protection locked="true" hidden="false"/>
    </xf>
    <xf numFmtId="164" fontId="151" fillId="26" borderId="65" xfId="49" applyFont="true" applyBorder="true" applyAlignment="true" applyProtection="true">
      <alignment horizontal="center" vertical="center" textRotation="0" wrapText="true" indent="0" shrinkToFit="false"/>
      <protection locked="true" hidden="false"/>
    </xf>
    <xf numFmtId="164" fontId="151" fillId="26" borderId="43" xfId="49" applyFont="true" applyBorder="true" applyAlignment="true" applyProtection="true">
      <alignment horizontal="center" vertical="center" textRotation="0" wrapText="true" indent="0" shrinkToFit="false"/>
      <protection locked="true" hidden="false"/>
    </xf>
    <xf numFmtId="164" fontId="22" fillId="0" borderId="0" xfId="0" applyFont="true" applyBorder="true" applyAlignment="true" applyProtection="false">
      <alignment horizontal="left" vertical="center" textRotation="0" wrapText="true" indent="0" shrinkToFit="false"/>
      <protection locked="true" hidden="false"/>
    </xf>
    <xf numFmtId="164" fontId="31" fillId="25" borderId="67" xfId="0" applyFont="true" applyBorder="true" applyAlignment="true" applyProtection="false">
      <alignment horizontal="center" vertical="center" textRotation="0" wrapText="true" indent="0" shrinkToFit="false"/>
      <protection locked="true" hidden="false"/>
    </xf>
    <xf numFmtId="164" fontId="18" fillId="26" borderId="52" xfId="49" applyFont="true" applyBorder="true" applyAlignment="true" applyProtection="true">
      <alignment horizontal="general" vertical="bottom" textRotation="0" wrapText="false" indent="0" shrinkToFit="false"/>
      <protection locked="true" hidden="false"/>
    </xf>
    <xf numFmtId="164" fontId="19" fillId="26" borderId="60" xfId="49" applyFont="true" applyBorder="true" applyAlignment="true" applyProtection="true">
      <alignment horizontal="general" vertical="bottom" textRotation="0" wrapText="false" indent="0" shrinkToFit="false"/>
      <protection locked="true" hidden="false"/>
    </xf>
    <xf numFmtId="169" fontId="0" fillId="3" borderId="65" xfId="44" applyFont="false" applyBorder="true" applyAlignment="true" applyProtection="true">
      <alignment horizontal="general" vertical="bottom" textRotation="0" wrapText="false" indent="0" shrinkToFit="false"/>
      <protection locked="true" hidden="false"/>
    </xf>
    <xf numFmtId="171" fontId="0" fillId="3" borderId="65" xfId="44" applyFont="false" applyBorder="true" applyAlignment="true" applyProtection="true">
      <alignment horizontal="general" vertical="bottom" textRotation="0" wrapText="false" indent="0" shrinkToFit="false"/>
      <protection locked="true" hidden="false"/>
    </xf>
    <xf numFmtId="164" fontId="15" fillId="24" borderId="43"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right" vertical="center" textRotation="0" wrapText="true" indent="0" shrinkToFit="false"/>
      <protection locked="true" hidden="false"/>
    </xf>
    <xf numFmtId="164" fontId="89" fillId="26" borderId="25" xfId="49" applyFont="true" applyBorder="true" applyAlignment="true" applyProtection="true">
      <alignment horizontal="general" vertical="bottom" textRotation="0" wrapText="false" indent="0" shrinkToFit="false"/>
      <protection locked="true" hidden="false"/>
    </xf>
    <xf numFmtId="164" fontId="19" fillId="26" borderId="0" xfId="49" applyFont="true" applyBorder="true" applyAlignment="true" applyProtection="true">
      <alignment horizontal="general" vertical="bottom" textRotation="0" wrapText="false" indent="0" shrinkToFit="false"/>
      <protection locked="true" hidden="false"/>
    </xf>
    <xf numFmtId="171" fontId="0" fillId="3" borderId="6" xfId="44" applyFont="false" applyBorder="true" applyAlignment="true" applyProtection="true">
      <alignment horizontal="general" vertical="bottom" textRotation="0" wrapText="false" indent="0" shrinkToFit="false"/>
      <protection locked="true" hidden="false"/>
    </xf>
    <xf numFmtId="164" fontId="0" fillId="22" borderId="64" xfId="41" applyFont="false" applyBorder="true" applyAlignment="true" applyProtection="true">
      <alignment horizontal="general" vertical="bottom" textRotation="0" wrapText="false" indent="0" shrinkToFit="false"/>
      <protection locked="true" hidden="false"/>
    </xf>
    <xf numFmtId="164" fontId="0" fillId="22" borderId="102" xfId="41"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23" fillId="0" borderId="0" xfId="0" applyFont="true" applyBorder="true" applyAlignment="true" applyProtection="false">
      <alignment horizontal="left" vertical="center" textRotation="0" wrapText="true" indent="0" shrinkToFit="false"/>
      <protection locked="true" hidden="false"/>
    </xf>
    <xf numFmtId="164" fontId="89" fillId="26" borderId="0" xfId="49" applyFont="true" applyBorder="true" applyAlignment="true" applyProtection="true">
      <alignment horizontal="general" vertical="bottom" textRotation="0" wrapText="false" indent="0" shrinkToFit="false"/>
      <protection locked="true" hidden="false"/>
    </xf>
    <xf numFmtId="164" fontId="18" fillId="26" borderId="82" xfId="49" applyFont="true" applyBorder="true" applyAlignment="true" applyProtection="true">
      <alignment horizontal="left" vertical="bottom" textRotation="0" wrapText="true" indent="0" shrinkToFit="false"/>
      <protection locked="true" hidden="false"/>
    </xf>
    <xf numFmtId="169" fontId="0" fillId="3" borderId="53" xfId="44" applyFont="false" applyBorder="true" applyAlignment="true" applyProtection="true">
      <alignment horizontal="general" vertical="bottom" textRotation="0" wrapText="false" indent="0" shrinkToFit="false"/>
      <protection locked="true" hidden="false"/>
    </xf>
    <xf numFmtId="164" fontId="24" fillId="3" borderId="103" xfId="44" applyFont="true" applyBorder="true" applyAlignment="true" applyProtection="true">
      <alignment horizontal="center" vertical="center" textRotation="0" wrapText="true" indent="0" shrinkToFit="false"/>
      <protection locked="true" hidden="false"/>
    </xf>
    <xf numFmtId="171" fontId="24" fillId="3" borderId="104" xfId="44" applyFont="true" applyBorder="true" applyAlignment="true" applyProtection="true">
      <alignment horizontal="center" vertical="center" textRotation="0" wrapText="true" indent="0" shrinkToFit="false"/>
      <protection locked="true" hidden="false"/>
    </xf>
    <xf numFmtId="171" fontId="0" fillId="3" borderId="8" xfId="44" applyFont="false" applyBorder="true" applyAlignment="true" applyProtection="true">
      <alignment horizontal="general" vertical="bottom" textRotation="0" wrapText="false" indent="0" shrinkToFit="false"/>
      <protection locked="true" hidden="false"/>
    </xf>
    <xf numFmtId="164" fontId="0" fillId="22" borderId="75" xfId="41" applyFont="fals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9" fillId="26" borderId="92" xfId="49" applyFont="true" applyBorder="true" applyAlignment="true" applyProtection="true">
      <alignment horizontal="general" vertical="bottom" textRotation="0" wrapText="false" indent="0" shrinkToFit="false"/>
      <protection locked="true" hidden="false"/>
    </xf>
    <xf numFmtId="164" fontId="15" fillId="24" borderId="99" xfId="0" applyFont="true" applyBorder="true" applyAlignment="false" applyProtection="false">
      <alignment horizontal="general" vertical="bottom" textRotation="0" wrapText="false" indent="0" shrinkToFit="false"/>
      <protection locked="true" hidden="false"/>
    </xf>
    <xf numFmtId="171" fontId="0" fillId="3" borderId="68" xfId="44" applyFont="false" applyBorder="true" applyAlignment="true" applyProtection="true">
      <alignment horizontal="general" vertical="bottom" textRotation="0" wrapText="false" indent="0" shrinkToFit="false"/>
      <protection locked="true" hidden="false"/>
    </xf>
    <xf numFmtId="164" fontId="89" fillId="26" borderId="91" xfId="49" applyFont="true" applyBorder="true" applyAlignment="true" applyProtection="true">
      <alignment horizontal="general" vertical="bottom" textRotation="0" wrapText="false" indent="0" shrinkToFit="false"/>
      <protection locked="true" hidden="false"/>
    </xf>
    <xf numFmtId="164" fontId="24" fillId="3" borderId="105" xfId="44" applyFont="true" applyBorder="true" applyAlignment="true" applyProtection="true">
      <alignment horizontal="center" vertical="center" textRotation="0" wrapText="true" indent="0" shrinkToFit="false"/>
      <protection locked="true" hidden="false"/>
    </xf>
    <xf numFmtId="169" fontId="24" fillId="3" borderId="106" xfId="44" applyFont="true" applyBorder="true" applyAlignment="true" applyProtection="true">
      <alignment horizontal="center" vertical="center" textRotation="0" wrapText="true" indent="0" shrinkToFit="false"/>
      <protection locked="true" hidden="false"/>
    </xf>
    <xf numFmtId="164" fontId="0" fillId="22" borderId="107" xfId="41" applyFont="false" applyBorder="true" applyAlignment="true" applyProtection="true">
      <alignment horizontal="general" vertical="bottom" textRotation="0" wrapText="false" indent="0" shrinkToFit="false"/>
      <protection locked="true" hidden="false"/>
    </xf>
    <xf numFmtId="164" fontId="24" fillId="0" borderId="0" xfId="44" applyFont="true" applyBorder="true" applyAlignment="true" applyProtection="true">
      <alignment horizontal="center" vertical="center" textRotation="0" wrapText="true" indent="0" shrinkToFit="false"/>
      <protection locked="true" hidden="false"/>
    </xf>
    <xf numFmtId="164" fontId="15" fillId="24" borderId="16" xfId="0" applyFont="true" applyBorder="true" applyAlignment="false" applyProtection="false">
      <alignment horizontal="general" vertical="bottom" textRotation="0" wrapText="false" indent="0" shrinkToFit="false"/>
      <protection locked="true" hidden="false"/>
    </xf>
    <xf numFmtId="169" fontId="0" fillId="3" borderId="19" xfId="44" applyFont="false" applyBorder="true" applyAlignment="true" applyProtection="true">
      <alignment horizontal="general" vertical="bottom" textRotation="0" wrapText="false" indent="0" shrinkToFit="false"/>
      <protection locked="true" hidden="false"/>
    </xf>
    <xf numFmtId="171" fontId="19" fillId="24" borderId="71" xfId="19"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2" fillId="0" borderId="0" xfId="0" applyFont="true" applyBorder="true" applyAlignment="true" applyProtection="false">
      <alignment horizontal="left" vertical="center" textRotation="0" wrapText="true" indent="0" shrinkToFit="false"/>
      <protection locked="true" hidden="false"/>
    </xf>
    <xf numFmtId="164" fontId="32" fillId="0" borderId="0" xfId="0" applyFont="true" applyBorder="true" applyAlignment="true" applyProtection="false">
      <alignment horizontal="center" vertical="bottom" textRotation="0" wrapText="false" indent="0" shrinkToFit="false"/>
      <protection locked="true" hidden="false"/>
    </xf>
    <xf numFmtId="184" fontId="31" fillId="0" borderId="0" xfId="0" applyFont="true" applyBorder="true" applyAlignment="true" applyProtection="true">
      <alignment horizontal="center" vertical="bottom" textRotation="0" wrapText="true" indent="0" shrinkToFit="false"/>
      <protection locked="false" hidden="false"/>
    </xf>
    <xf numFmtId="184" fontId="31" fillId="0" borderId="0" xfId="0" applyFont="true" applyBorder="true" applyAlignment="true" applyProtection="true">
      <alignment horizontal="center" vertical="bottom" textRotation="0" wrapText="false" indent="0" shrinkToFit="false"/>
      <protection locked="false" hidden="false"/>
    </xf>
    <xf numFmtId="168" fontId="19" fillId="0" borderId="0"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left" vertical="bottom" textRotation="0" wrapText="false" indent="0" shrinkToFit="false"/>
      <protection locked="true" hidden="false"/>
    </xf>
    <xf numFmtId="171" fontId="24" fillId="3" borderId="88" xfId="44" applyFont="true" applyBorder="true" applyAlignment="true" applyProtection="true">
      <alignment horizontal="right" vertical="bottom" textRotation="0" wrapText="false" indent="0" shrinkToFit="false"/>
      <protection locked="true" hidden="false"/>
    </xf>
    <xf numFmtId="171" fontId="24" fillId="3" borderId="86" xfId="44" applyFont="true" applyBorder="true" applyAlignment="true" applyProtection="true">
      <alignment horizontal="center" vertical="bottom" textRotation="0" wrapText="false" indent="0" shrinkToFit="false"/>
      <protection locked="true" hidden="false"/>
    </xf>
    <xf numFmtId="184" fontId="19" fillId="24" borderId="71" xfId="0" applyFont="true" applyBorder="true" applyAlignment="true" applyProtection="false">
      <alignment horizontal="right" vertical="center" textRotation="0" wrapText="false" indent="0" shrinkToFit="false"/>
      <protection locked="true" hidden="false"/>
    </xf>
    <xf numFmtId="164" fontId="0" fillId="23" borderId="0" xfId="43" applyFont="true" applyBorder="true" applyAlignment="true" applyProtection="true">
      <alignment horizontal="general" vertical="bottom" textRotation="0" wrapText="false" indent="0" shrinkToFit="false"/>
      <protection locked="true" hidden="false"/>
    </xf>
    <xf numFmtId="164" fontId="18" fillId="0" borderId="108" xfId="0" applyFont="true" applyBorder="true" applyAlignment="true" applyProtection="false">
      <alignment horizontal="left" vertical="center" textRotation="0" wrapText="true" indent="0" shrinkToFit="false"/>
      <protection locked="true" hidden="false"/>
    </xf>
    <xf numFmtId="172" fontId="24" fillId="3" borderId="71" xfId="44"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9" fillId="24" borderId="71" xfId="19" applyFont="true" applyBorder="true" applyAlignment="true" applyProtection="true">
      <alignment horizontal="center" vertical="center" textRotation="0" wrapText="false" indent="0" shrinkToFit="false"/>
      <protection locked="true" hidden="false"/>
    </xf>
    <xf numFmtId="164" fontId="31" fillId="0" borderId="0"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true" applyAlignment="true" applyProtection="false">
      <alignment horizontal="right" vertical="bottom" textRotation="0" wrapText="false" indent="0" shrinkToFit="false"/>
      <protection locked="true" hidden="false"/>
    </xf>
    <xf numFmtId="164" fontId="23" fillId="0" borderId="0" xfId="0" applyFont="true" applyBorder="true" applyAlignment="true" applyProtection="false">
      <alignment horizontal="left" vertical="bottom" textRotation="0" wrapText="false" indent="0" shrinkToFit="false"/>
      <protection locked="true" hidden="false"/>
    </xf>
    <xf numFmtId="164" fontId="89" fillId="0" borderId="0" xfId="0" applyFont="true" applyBorder="true" applyAlignment="false" applyProtection="false">
      <alignment horizontal="general" vertical="bottom" textRotation="0" wrapText="false" indent="0" shrinkToFit="false"/>
      <protection locked="true" hidden="false"/>
    </xf>
    <xf numFmtId="164" fontId="152"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true" applyProtection="false">
      <alignment horizontal="center" vertical="bottom" textRotation="0" wrapText="true" indent="0" shrinkToFit="false"/>
      <protection locked="true" hidden="false"/>
    </xf>
    <xf numFmtId="164" fontId="153" fillId="0" borderId="0" xfId="0" applyFont="true" applyBorder="true" applyAlignment="false" applyProtection="false">
      <alignment horizontal="general" vertical="bottom" textRotation="0" wrapText="false" indent="0" shrinkToFit="false"/>
      <protection locked="true" hidden="false"/>
    </xf>
    <xf numFmtId="164" fontId="89" fillId="0" borderId="0" xfId="0" applyFont="true" applyBorder="true" applyAlignment="true" applyProtection="false">
      <alignment horizontal="left" vertical="bottom" textRotation="0" wrapText="false" indent="0" shrinkToFit="false"/>
      <protection locked="true" hidden="false"/>
    </xf>
    <xf numFmtId="164" fontId="104" fillId="0" borderId="0"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9" fontId="24" fillId="3" borderId="71" xfId="44" applyFont="true" applyBorder="true" applyAlignment="true" applyProtection="true">
      <alignment horizontal="left" vertical="bottom" textRotation="0" wrapText="false" indent="0" shrinkToFit="false"/>
      <protection locked="true" hidden="false"/>
    </xf>
    <xf numFmtId="164" fontId="15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0" fillId="24" borderId="6" xfId="52" applyFont="true" applyBorder="true" applyAlignment="true" applyProtection="true">
      <alignment horizontal="left" vertical="center" textRotation="0" wrapText="false" indent="0" shrinkToFit="false"/>
      <protection locked="true" hidden="false"/>
    </xf>
    <xf numFmtId="164" fontId="0" fillId="25" borderId="19" xfId="46" applyFont="true" applyBorder="true" applyAlignment="true" applyProtection="true">
      <alignment horizontal="left" vertical="center" textRotation="0" wrapText="false" indent="0" shrinkToFit="false"/>
      <protection locked="true" hidden="false"/>
    </xf>
    <xf numFmtId="164" fontId="0" fillId="40" borderId="16" xfId="0" applyFont="true" applyBorder="true" applyAlignment="true" applyProtection="false">
      <alignment horizontal="left" vertical="center" textRotation="0" wrapText="false" indent="0" shrinkToFit="false"/>
      <protection locked="true" hidden="false"/>
    </xf>
    <xf numFmtId="164" fontId="158" fillId="41" borderId="0" xfId="0" applyFont="true" applyBorder="true" applyAlignment="true" applyProtection="false">
      <alignment horizontal="left" vertical="center" textRotation="0" wrapText="true" indent="0" shrinkToFit="false"/>
      <protection locked="true" hidden="false"/>
    </xf>
    <xf numFmtId="164" fontId="158" fillId="0" borderId="0" xfId="0" applyFont="true" applyBorder="false" applyAlignment="true" applyProtection="false">
      <alignment horizontal="left" vertical="center" textRotation="0" wrapText="true" indent="0" shrinkToFit="false"/>
      <protection locked="true" hidden="false"/>
    </xf>
    <xf numFmtId="164" fontId="159" fillId="0" borderId="0" xfId="0" applyFont="true" applyBorder="false" applyAlignment="true" applyProtection="false">
      <alignment horizontal="general" vertical="center" textRotation="0" wrapText="false" indent="0" shrinkToFit="false"/>
      <protection locked="true" hidden="false"/>
    </xf>
    <xf numFmtId="164" fontId="24" fillId="26" borderId="14" xfId="49" applyFont="true" applyBorder="true" applyAlignment="true" applyProtection="true">
      <alignment horizontal="left" vertical="center" textRotation="0" wrapText="true" indent="0" shrinkToFit="false"/>
      <protection locked="true" hidden="false"/>
    </xf>
    <xf numFmtId="164" fontId="24" fillId="26" borderId="15" xfId="49" applyFont="true" applyBorder="true" applyAlignment="true" applyProtection="true">
      <alignment horizontal="center" vertical="center" textRotation="0" wrapText="true" indent="0" shrinkToFit="false"/>
      <protection locked="true" hidden="false"/>
    </xf>
    <xf numFmtId="164" fontId="0" fillId="33" borderId="6"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25" borderId="19" xfId="46" applyFont="true" applyBorder="true" applyAlignment="true" applyProtection="true">
      <alignment horizontal="center" vertical="center" textRotation="0" wrapText="true" indent="0" shrinkToFit="false"/>
      <protection locked="true" hidden="false"/>
    </xf>
    <xf numFmtId="164" fontId="0" fillId="25" borderId="6" xfId="46" applyFont="true" applyBorder="true" applyAlignment="true" applyProtection="true">
      <alignment horizontal="center" vertical="center" textRotation="0" wrapText="true" indent="0" shrinkToFit="false"/>
      <protection locked="true" hidden="false"/>
    </xf>
    <xf numFmtId="164" fontId="0" fillId="25" borderId="8" xfId="46" applyFont="true" applyBorder="true" applyAlignment="true" applyProtection="true">
      <alignment horizontal="center" vertical="center" textRotation="0" wrapText="true" indent="0" shrinkToFit="false"/>
      <protection locked="true" hidden="false"/>
    </xf>
    <xf numFmtId="164" fontId="0" fillId="33" borderId="6" xfId="0" applyFont="true" applyBorder="tru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24" borderId="6" xfId="45" applyFont="true" applyBorder="true" applyAlignment="true" applyProtection="true">
      <alignment horizontal="center" vertical="center" textRotation="0" wrapText="false" indent="0" shrinkToFit="false"/>
      <protection locked="false" hidden="false"/>
    </xf>
    <xf numFmtId="164" fontId="0" fillId="18" borderId="6" xfId="37" applyFont="false" applyBorder="true" applyAlignment="true" applyProtection="true">
      <alignment horizontal="right" vertical="bottom" textRotation="0" wrapText="false" indent="0" shrinkToFit="false"/>
      <protection locked="false" hidden="false"/>
    </xf>
    <xf numFmtId="164" fontId="0" fillId="33"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4" borderId="6" xfId="45" applyFont="false" applyBorder="true" applyAlignment="true" applyProtection="true">
      <alignment horizontal="center" vertical="center" textRotation="0" wrapText="false" indent="0" shrinkToFit="false"/>
      <protection locked="false" hidden="false"/>
    </xf>
    <xf numFmtId="164" fontId="0" fillId="0" borderId="6" xfId="0" applyFont="true" applyBorder="true" applyAlignment="true" applyProtection="true">
      <alignment horizontal="general" vertical="bottom" textRotation="0" wrapText="true" indent="0" shrinkToFit="false"/>
      <protection locked="fals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160" fillId="0" borderId="0" xfId="0" applyFont="true" applyBorder="true" applyAlignment="true" applyProtection="false">
      <alignment horizontal="center" vertical="center" textRotation="0" wrapText="false" indent="0" shrinkToFit="false"/>
      <protection locked="true" hidden="false"/>
    </xf>
    <xf numFmtId="164" fontId="24" fillId="0" borderId="19" xfId="0" applyFont="true" applyBorder="true" applyAlignment="true" applyProtection="false">
      <alignment horizontal="center" vertical="center" textRotation="0" wrapText="true" indent="0" shrinkToFit="false"/>
      <protection locked="true" hidden="false"/>
    </xf>
    <xf numFmtId="164" fontId="24" fillId="26" borderId="6" xfId="49" applyFont="true" applyBorder="true" applyAlignment="true" applyProtection="true">
      <alignment horizontal="center" vertical="center" textRotation="0" wrapText="false" indent="0" shrinkToFit="false"/>
      <protection locked="true" hidden="false"/>
    </xf>
    <xf numFmtId="164" fontId="24" fillId="25" borderId="6" xfId="46" applyFont="true" applyBorder="true" applyAlignment="true" applyProtection="true">
      <alignment horizontal="center" vertical="center" textRotation="0" wrapText="false" indent="0" shrinkToFit="false"/>
      <protection locked="true" hidden="false"/>
    </xf>
    <xf numFmtId="164" fontId="24" fillId="0" borderId="6" xfId="49" applyFont="true" applyBorder="true" applyAlignment="true" applyProtection="true">
      <alignment horizontal="center" vertical="center" textRotation="0" wrapText="false" indent="0" shrinkToFit="false"/>
      <protection locked="true" hidden="false"/>
    </xf>
    <xf numFmtId="164" fontId="0" fillId="18" borderId="6" xfId="37" applyFont="false" applyBorder="true" applyAlignment="true" applyProtection="true">
      <alignment horizontal="center" vertical="center" textRotation="0" wrapText="false" indent="0" shrinkToFit="false"/>
      <protection locked="true" hidden="false"/>
    </xf>
    <xf numFmtId="164" fontId="24" fillId="0" borderId="34"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16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24" fillId="26" borderId="7" xfId="49" applyFont="true" applyBorder="true" applyAlignment="true" applyProtection="true">
      <alignment horizontal="general" vertical="center" textRotation="0" wrapText="true" indent="0" shrinkToFit="false"/>
      <protection locked="true" hidden="false"/>
    </xf>
    <xf numFmtId="164" fontId="161" fillId="33" borderId="6"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24" fillId="25" borderId="6" xfId="46" applyFont="true" applyBorder="true" applyAlignment="true" applyProtection="true">
      <alignment horizontal="left" vertical="center" textRotation="0" wrapText="true" indent="0" shrinkToFit="false"/>
      <protection locked="true" hidden="false"/>
    </xf>
    <xf numFmtId="164" fontId="24" fillId="25" borderId="8" xfId="46" applyFont="true" applyBorder="true" applyAlignment="true" applyProtection="true">
      <alignment horizontal="center" vertical="center" textRotation="0" wrapText="true" indent="0" shrinkToFit="false"/>
      <protection locked="true" hidden="false"/>
    </xf>
    <xf numFmtId="169" fontId="0" fillId="3" borderId="6" xfId="44" applyFont="false" applyBorder="true" applyAlignment="true" applyProtection="true">
      <alignment horizontal="center" vertical="center" textRotation="0" wrapText="true" indent="0" shrinkToFit="false"/>
      <protection locked="false" hidden="false"/>
    </xf>
    <xf numFmtId="168" fontId="0" fillId="3" borderId="6" xfId="44" applyFont="false" applyBorder="true" applyAlignment="true" applyProtection="true">
      <alignment horizontal="center" vertical="center" textRotation="0" wrapText="false" indent="0" shrinkToFit="false"/>
      <protection locked="true" hidden="false"/>
    </xf>
    <xf numFmtId="164" fontId="0" fillId="31" borderId="6" xfId="0" applyFont="true" applyBorder="true" applyAlignment="true" applyProtection="false">
      <alignment horizontal="general" vertical="bottom" textRotation="0" wrapText="true" indent="0" shrinkToFit="false"/>
      <protection locked="true" hidden="false"/>
    </xf>
    <xf numFmtId="164" fontId="0" fillId="31" borderId="6" xfId="0" applyFont="true" applyBorder="true" applyAlignment="true" applyProtection="true">
      <alignment horizontal="center" vertical="center" textRotation="0" wrapText="true" indent="0" shrinkToFit="false"/>
      <protection locked="false" hidden="false"/>
    </xf>
    <xf numFmtId="164" fontId="0" fillId="31" borderId="6" xfId="0" applyFont="true" applyBorder="true" applyAlignment="true" applyProtection="true">
      <alignment horizontal="right" vertical="bottom" textRotation="0" wrapText="false" indent="0" shrinkToFit="false"/>
      <protection locked="false" hidden="false"/>
    </xf>
    <xf numFmtId="168" fontId="0" fillId="31" borderId="6" xfId="0" applyFont="true" applyBorder="true" applyAlignment="true" applyProtection="false">
      <alignment horizontal="center" vertical="center" textRotation="0" wrapText="false" indent="0" shrinkToFit="false"/>
      <protection locked="true" hidden="false"/>
    </xf>
    <xf numFmtId="164" fontId="0" fillId="31"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31" borderId="0" xfId="0" applyFont="true" applyBorder="false" applyAlignment="false" applyProtection="false">
      <alignment horizontal="general" vertical="bottom" textRotation="0" wrapText="false" indent="0" shrinkToFit="false"/>
      <protection locked="true" hidden="false"/>
    </xf>
    <xf numFmtId="164" fontId="0" fillId="25" borderId="6" xfId="46" applyFont="true" applyBorder="true" applyAlignment="true" applyProtection="true">
      <alignment horizontal="center" vertical="center" textRotation="0" wrapText="false" indent="0" shrinkToFit="false"/>
      <protection locked="true" hidden="false"/>
    </xf>
    <xf numFmtId="164" fontId="24" fillId="41" borderId="0" xfId="0" applyFont="true" applyBorder="true" applyAlignment="true" applyProtection="false">
      <alignment horizontal="general" vertical="center" textRotation="0" wrapText="false" indent="0" shrinkToFit="false"/>
      <protection locked="true" hidden="false"/>
    </xf>
    <xf numFmtId="164" fontId="160" fillId="0" borderId="0" xfId="0" applyFont="true" applyBorder="false" applyAlignment="true" applyProtection="false">
      <alignment horizontal="general" vertical="center" textRotation="0" wrapText="false" indent="0" shrinkToFit="false"/>
      <protection locked="true" hidden="false"/>
    </xf>
    <xf numFmtId="164" fontId="24" fillId="26" borderId="6" xfId="49" applyFont="true" applyBorder="true" applyAlignment="true" applyProtection="true">
      <alignment horizontal="general" vertical="center" textRotation="0" wrapText="false" indent="0" shrinkToFit="false"/>
      <protection locked="true" hidden="false"/>
    </xf>
    <xf numFmtId="174" fontId="0" fillId="3" borderId="19" xfId="44" applyFont="false" applyBorder="true" applyAlignment="true" applyProtection="true">
      <alignment horizontal="center" vertical="center" textRotation="0" wrapText="true" indent="0" shrinkToFit="false"/>
      <protection locked="false" hidden="false"/>
    </xf>
    <xf numFmtId="169" fontId="0" fillId="3" borderId="6" xfId="44" applyFont="false" applyBorder="true" applyAlignment="true" applyProtection="true">
      <alignment horizontal="center" vertical="center" textRotation="0" wrapText="false" indent="0" shrinkToFit="false"/>
      <protection locked="false" hidden="false"/>
    </xf>
    <xf numFmtId="174" fontId="0" fillId="3" borderId="6" xfId="44" applyFont="false" applyBorder="true" applyAlignment="true" applyProtection="true">
      <alignment horizontal="center" vertical="center" textRotation="0" wrapText="false" indent="0" shrinkToFit="false"/>
      <protection locked="false" hidden="false"/>
    </xf>
    <xf numFmtId="164" fontId="24" fillId="26" borderId="0" xfId="49" applyFont="true" applyBorder="true" applyAlignment="true" applyProtection="true">
      <alignment horizontal="general" vertical="center" textRotation="0" wrapText="true" indent="0" shrinkToFit="false"/>
      <protection locked="true" hidden="false"/>
    </xf>
    <xf numFmtId="174" fontId="0" fillId="18" borderId="6" xfId="37" applyFont="false" applyBorder="true" applyAlignment="true" applyProtection="true">
      <alignment horizontal="right" vertical="center" textRotation="0" wrapText="false" indent="0" shrinkToFit="false"/>
      <protection locked="false" hidden="false"/>
    </xf>
    <xf numFmtId="168" fontId="0" fillId="3" borderId="6" xfId="44" applyFont="false" applyBorder="true" applyAlignment="true" applyProtection="true">
      <alignment horizontal="center" vertical="center" textRotation="0" wrapText="false" indent="0" shrinkToFit="false"/>
      <protection locked="false" hidden="false"/>
    </xf>
    <xf numFmtId="164" fontId="24" fillId="26" borderId="6" xfId="49" applyFont="true" applyBorder="true" applyAlignment="true" applyProtection="true">
      <alignment horizontal="general" vertical="center" textRotation="0" wrapText="true" indent="0" shrinkToFit="false"/>
      <protection locked="true" hidden="false"/>
    </xf>
    <xf numFmtId="164" fontId="0" fillId="25" borderId="6" xfId="46" applyFont="true" applyBorder="true" applyAlignment="true" applyProtection="true">
      <alignment horizontal="general" vertical="center" textRotation="0" wrapText="true" indent="0" shrinkToFit="false"/>
      <protection locked="true" hidden="false"/>
    </xf>
    <xf numFmtId="164" fontId="0" fillId="39" borderId="6" xfId="0" applyFont="true" applyBorder="true" applyAlignment="true" applyProtection="false">
      <alignment horizontal="center" vertical="center" textRotation="0" wrapText="true" indent="0" shrinkToFit="false"/>
      <protection locked="true" hidden="false"/>
    </xf>
    <xf numFmtId="164" fontId="0" fillId="39" borderId="6" xfId="0" applyFont="true" applyBorder="true" applyAlignment="true" applyProtection="false">
      <alignment horizontal="center" vertical="center" textRotation="0" wrapText="false" indent="0" shrinkToFit="false"/>
      <protection locked="true" hidden="false"/>
    </xf>
    <xf numFmtId="164" fontId="0" fillId="39" borderId="6" xfId="0" applyFont="true" applyBorder="true" applyAlignment="true" applyProtection="false">
      <alignment horizontal="center" vertical="bottom" textRotation="0" wrapText="false" indent="0" shrinkToFit="false"/>
      <protection locked="true" hidden="false"/>
    </xf>
    <xf numFmtId="171" fontId="0" fillId="39"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33" borderId="0" xfId="0" applyFont="true" applyBorder="true" applyAlignment="false" applyProtection="false">
      <alignment horizontal="general" vertical="bottom" textRotation="0" wrapText="false" indent="0" shrinkToFit="false"/>
      <protection locked="true" hidden="false"/>
    </xf>
    <xf numFmtId="164" fontId="24" fillId="0" borderId="6" xfId="0" applyFont="true" applyBorder="true" applyAlignment="true" applyProtection="false">
      <alignment horizontal="center" vertical="center" textRotation="0" wrapText="false" indent="0" shrinkToFit="false"/>
      <protection locked="true" hidden="false"/>
    </xf>
    <xf numFmtId="169" fontId="24" fillId="26" borderId="19" xfId="49" applyFont="true" applyBorder="true" applyAlignment="true" applyProtection="true">
      <alignment horizontal="left" vertical="center" textRotation="0" wrapText="true" indent="0" shrinkToFit="false"/>
      <protection locked="true" hidden="false"/>
    </xf>
    <xf numFmtId="164" fontId="24" fillId="26" borderId="6" xfId="49" applyFont="true" applyBorder="true" applyAlignment="true" applyProtection="true">
      <alignment horizontal="right" vertical="center" textRotation="0" wrapText="false" indent="0" shrinkToFit="false"/>
      <protection locked="true" hidden="false"/>
    </xf>
    <xf numFmtId="164" fontId="24" fillId="25" borderId="8" xfId="46" applyFont="true" applyBorder="true" applyAlignment="true" applyProtection="true">
      <alignment horizontal="center" vertical="center" textRotation="0" wrapText="false" indent="0" shrinkToFit="false"/>
      <protection locked="true" hidden="false"/>
    </xf>
    <xf numFmtId="164" fontId="24" fillId="0" borderId="0" xfId="0" applyFont="true" applyBorder="true" applyAlignment="true" applyProtection="false">
      <alignment horizontal="right" vertical="center" textRotation="0" wrapText="false" indent="0" shrinkToFit="false"/>
      <protection locked="true" hidden="false"/>
    </xf>
    <xf numFmtId="164" fontId="24" fillId="0" borderId="37"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false" applyAlignment="true" applyProtection="false">
      <alignment horizontal="right" vertical="center" textRotation="0" wrapText="false" indent="0" shrinkToFit="false"/>
      <protection locked="true" hidden="false"/>
    </xf>
    <xf numFmtId="164" fontId="24" fillId="25" borderId="6" xfId="46" applyFont="true" applyBorder="true" applyAlignment="true" applyProtection="true">
      <alignment horizontal="general" vertical="center" textRotation="0" wrapText="false" indent="0" shrinkToFit="false"/>
      <protection locked="true" hidden="false"/>
    </xf>
    <xf numFmtId="164" fontId="24" fillId="25" borderId="6" xfId="46" applyFont="true" applyBorder="true" applyAlignment="true" applyProtection="true">
      <alignment horizontal="general" vertical="center" textRotation="0" wrapText="true" indent="0" shrinkToFit="false"/>
      <protection locked="true" hidden="false"/>
    </xf>
    <xf numFmtId="164" fontId="0" fillId="18" borderId="6" xfId="37" applyFont="false" applyBorder="true" applyAlignment="true" applyProtection="true">
      <alignment horizontal="right" vertical="bottom" textRotation="0" wrapText="false" indent="0" shrinkToFit="false"/>
      <protection locked="true" hidden="false"/>
    </xf>
    <xf numFmtId="164" fontId="0" fillId="0" borderId="6" xfId="0" applyFont="true" applyBorder="true" applyAlignment="true" applyProtection="false">
      <alignment horizontal="right" vertical="bottom" textRotation="0" wrapText="true" indent="0" shrinkToFit="false"/>
      <protection locked="true" hidden="false"/>
    </xf>
    <xf numFmtId="174" fontId="0" fillId="3" borderId="6" xfId="44" applyFont="false" applyBorder="true" applyAlignment="true" applyProtection="true">
      <alignment horizontal="center" vertical="center" textRotation="0" wrapText="true" indent="0" shrinkToFit="false"/>
      <protection locked="false" hidden="false"/>
    </xf>
    <xf numFmtId="164" fontId="0" fillId="24" borderId="6" xfId="45" applyFont="false" applyBorder="true" applyAlignment="true" applyProtection="true">
      <alignment horizontal="right" vertical="bottom" textRotation="0" wrapText="false" indent="0" shrinkToFit="false"/>
      <protection locked="true" hidden="false"/>
    </xf>
    <xf numFmtId="164" fontId="0" fillId="31" borderId="6" xfId="45" applyFont="false" applyBorder="true" applyAlignment="true" applyProtection="true">
      <alignment horizontal="right" vertical="bottom" textRotation="0" wrapText="false" indent="0" shrinkToFit="false"/>
      <protection locked="true" hidden="false"/>
    </xf>
    <xf numFmtId="164" fontId="0" fillId="31" borderId="6" xfId="37" applyFont="false" applyBorder="true" applyAlignment="true" applyProtection="true">
      <alignment horizontal="right" vertical="bottom" textRotation="0" wrapText="false" indent="0" shrinkToFit="false"/>
      <protection locked="true" hidden="false"/>
    </xf>
    <xf numFmtId="164" fontId="24" fillId="26" borderId="101" xfId="49" applyFont="true" applyBorder="true" applyAlignment="true" applyProtection="true">
      <alignment horizontal="general" vertical="bottom" textRotation="0" wrapText="false" indent="0" shrinkToFit="false"/>
      <protection locked="true" hidden="false"/>
    </xf>
    <xf numFmtId="164" fontId="24" fillId="25" borderId="101" xfId="46"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0" fillId="32" borderId="0" xfId="0" applyFont="true" applyBorder="false" applyAlignment="false" applyProtection="false">
      <alignment horizontal="general" vertical="bottom" textRotation="0" wrapText="false" indent="0" shrinkToFit="false"/>
      <protection locked="true" hidden="false"/>
    </xf>
    <xf numFmtId="164" fontId="57" fillId="0" borderId="6" xfId="0" applyFont="true" applyBorder="true" applyAlignment="true" applyProtection="false">
      <alignment horizontal="general" vertical="bottom" textRotation="0" wrapText="false" indent="0" shrinkToFit="false"/>
      <protection locked="true" hidden="false"/>
    </xf>
    <xf numFmtId="174" fontId="0" fillId="0" borderId="6" xfId="0" applyFont="true" applyBorder="true" applyAlignment="true" applyProtection="true">
      <alignment horizontal="center" vertical="center" textRotation="0" wrapText="true" indent="0" shrinkToFit="false"/>
      <protection locked="false" hidden="false"/>
    </xf>
    <xf numFmtId="164" fontId="0" fillId="0" borderId="6" xfId="0" applyFont="true" applyBorder="true" applyAlignment="true" applyProtection="false">
      <alignment horizontal="right" vertical="bottom"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8"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5" fillId="26" borderId="41" xfId="49" applyFont="true" applyBorder="true" applyAlignment="true" applyProtection="true">
      <alignment horizontal="general" vertical="center" textRotation="0" wrapText="true" indent="0" shrinkToFit="false"/>
      <protection locked="true" hidden="false"/>
    </xf>
    <xf numFmtId="164" fontId="24" fillId="26" borderId="65" xfId="49" applyFont="true" applyBorder="true" applyAlignment="true" applyProtection="true">
      <alignment horizontal="center" vertical="center" textRotation="0" wrapText="false" indent="0" shrinkToFit="false"/>
      <protection locked="true" hidden="false"/>
    </xf>
    <xf numFmtId="164" fontId="24" fillId="26" borderId="43" xfId="49" applyFont="true" applyBorder="true" applyAlignment="true" applyProtection="true">
      <alignment horizontal="center" vertical="center" textRotation="0" wrapText="false" indent="0" shrinkToFit="false"/>
      <protection locked="true" hidden="false"/>
    </xf>
    <xf numFmtId="164" fontId="0" fillId="25" borderId="46" xfId="46" applyFont="true" applyBorder="true" applyAlignment="true" applyProtection="true">
      <alignment horizontal="center" vertical="center" textRotation="0" wrapText="true" indent="0" shrinkToFit="false"/>
      <protection locked="true" hidden="false"/>
    </xf>
    <xf numFmtId="164" fontId="24" fillId="25" borderId="6" xfId="46" applyFont="true" applyBorder="true" applyAlignment="true" applyProtection="true">
      <alignment horizontal="center" vertical="center" textRotation="0" wrapText="true" indent="0" shrinkToFit="false"/>
      <protection locked="true" hidden="false"/>
    </xf>
    <xf numFmtId="164" fontId="162" fillId="25" borderId="6" xfId="46" applyFont="true" applyBorder="true" applyAlignment="true" applyProtection="true">
      <alignment horizontal="center" vertical="center" textRotation="0" wrapText="true" indent="0" shrinkToFit="false"/>
      <protection locked="true" hidden="false"/>
    </xf>
    <xf numFmtId="164" fontId="24" fillId="25" borderId="47" xfId="46" applyFont="true" applyBorder="true" applyAlignment="true" applyProtection="true">
      <alignment horizontal="center" vertical="center" textRotation="0" wrapText="false" indent="0" shrinkToFit="false"/>
      <protection locked="true" hidden="false"/>
    </xf>
    <xf numFmtId="164" fontId="57" fillId="0" borderId="46" xfId="0" applyFont="true" applyBorder="true" applyAlignment="false" applyProtection="false">
      <alignment horizontal="general" vertical="bottom" textRotation="0" wrapText="false" indent="0" shrinkToFit="false"/>
      <protection locked="true" hidden="false"/>
    </xf>
    <xf numFmtId="169" fontId="0" fillId="3" borderId="47" xfId="44" applyFont="false" applyBorder="true" applyAlignment="true" applyProtection="true">
      <alignment horizontal="center" vertical="center" textRotation="0" wrapText="false" indent="0" shrinkToFit="false"/>
      <protection locked="true" hidden="false"/>
    </xf>
    <xf numFmtId="164" fontId="57" fillId="0" borderId="46" xfId="0" applyFont="true" applyBorder="true" applyAlignment="true" applyProtection="false">
      <alignment horizontal="general" vertical="bottom" textRotation="0" wrapText="false" indent="0" shrinkToFit="false"/>
      <protection locked="true" hidden="false"/>
    </xf>
    <xf numFmtId="164" fontId="57" fillId="0" borderId="46"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163" fillId="0" borderId="46" xfId="0" applyFont="true" applyBorder="true" applyAlignment="false" applyProtection="false">
      <alignment horizontal="general" vertical="bottom" textRotation="0" wrapText="false" indent="0" shrinkToFit="false"/>
      <protection locked="true" hidden="false"/>
    </xf>
    <xf numFmtId="164" fontId="163" fillId="0" borderId="63" xfId="0" applyFont="true" applyBorder="true" applyAlignment="false" applyProtection="false">
      <alignment horizontal="general" vertical="bottom" textRotation="0" wrapText="false" indent="0" shrinkToFit="false"/>
      <protection locked="true" hidden="false"/>
    </xf>
    <xf numFmtId="164" fontId="163" fillId="0" borderId="6" xfId="0" applyFont="true" applyBorder="true" applyAlignment="false" applyProtection="false">
      <alignment horizontal="general" vertical="bottom" textRotation="0" wrapText="false" indent="0" shrinkToFit="false"/>
      <protection locked="true" hidden="false"/>
    </xf>
    <xf numFmtId="169" fontId="0" fillId="3" borderId="8" xfId="44" applyFont="false" applyBorder="true" applyAlignment="true" applyProtection="true">
      <alignment horizontal="center" vertical="center" textRotation="0" wrapText="true" indent="0" shrinkToFit="false"/>
      <protection locked="false" hidden="false"/>
    </xf>
    <xf numFmtId="164" fontId="163" fillId="0" borderId="74" xfId="0" applyFont="true" applyBorder="true" applyAlignment="false" applyProtection="false">
      <alignment horizontal="general" vertical="bottom" textRotation="0" wrapText="false" indent="0" shrinkToFit="false"/>
      <protection locked="true" hidden="false"/>
    </xf>
    <xf numFmtId="164" fontId="57" fillId="0" borderId="67" xfId="0" applyFont="true" applyBorder="true" applyAlignment="false" applyProtection="false">
      <alignment horizontal="general" vertical="bottom" textRotation="0" wrapText="false" indent="0" shrinkToFit="false"/>
      <protection locked="true" hidden="false"/>
    </xf>
    <xf numFmtId="169" fontId="0" fillId="3" borderId="68" xfId="44" applyFont="false" applyBorder="true" applyAlignment="true" applyProtection="true">
      <alignment horizontal="center" vertical="center" textRotation="0" wrapText="true" indent="0" shrinkToFit="false"/>
      <protection locked="false" hidden="false"/>
    </xf>
    <xf numFmtId="169" fontId="0" fillId="3" borderId="68" xfId="44" applyFont="false" applyBorder="true" applyAlignment="true" applyProtection="true">
      <alignment horizontal="center" vertical="center" textRotation="0" wrapText="false" indent="0" shrinkToFit="false"/>
      <protection locked="true" hidden="false"/>
    </xf>
    <xf numFmtId="164" fontId="0" fillId="24" borderId="68" xfId="45" applyFont="false" applyBorder="true" applyAlignment="true" applyProtection="true">
      <alignment horizontal="right" vertical="bottom" textRotation="0" wrapText="false" indent="0" shrinkToFit="false"/>
      <protection locked="true" hidden="false"/>
    </xf>
    <xf numFmtId="169" fontId="0" fillId="3" borderId="75" xfId="44" applyFont="false" applyBorder="true" applyAlignment="true" applyProtection="true">
      <alignment horizontal="center" vertical="center" textRotation="0" wrapText="false" indent="0" shrinkToFit="false"/>
      <protection locked="true" hidden="false"/>
    </xf>
    <xf numFmtId="164" fontId="158" fillId="0" borderId="0" xfId="0" applyFont="true" applyBorder="true" applyAlignment="true" applyProtection="false">
      <alignment horizontal="left" vertical="center" textRotation="0" wrapText="true" indent="0" shrinkToFit="false"/>
      <protection locked="true" hidden="false"/>
    </xf>
    <xf numFmtId="164" fontId="164" fillId="26" borderId="6" xfId="49" applyFont="true" applyBorder="true" applyAlignment="true" applyProtection="true">
      <alignment horizontal="left" vertical="center"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8" fontId="0" fillId="18" borderId="6" xfId="37" applyFont="false" applyBorder="true" applyAlignment="true" applyProtection="true">
      <alignment horizontal="right" vertical="center" textRotation="0" wrapText="false" indent="0" shrinkToFit="false"/>
      <protection locked="true" hidden="false"/>
    </xf>
    <xf numFmtId="164" fontId="159" fillId="0" borderId="0" xfId="0" applyFont="true" applyBorder="true" applyAlignment="true" applyProtection="false">
      <alignment horizontal="left" vertical="top" textRotation="0" wrapText="true" indent="0" shrinkToFit="false"/>
      <protection locked="true" hidden="false"/>
    </xf>
    <xf numFmtId="164" fontId="119"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119" fillId="0" borderId="0" xfId="0" applyFont="true" applyBorder="false" applyAlignment="true" applyProtection="false">
      <alignment horizontal="center" vertical="bottom" textRotation="0" wrapText="false" indent="0" shrinkToFit="false"/>
      <protection locked="true" hidden="false"/>
    </xf>
    <xf numFmtId="164" fontId="24" fillId="26" borderId="34" xfId="49" applyFont="true" applyBorder="true" applyAlignment="true" applyProtection="true">
      <alignment horizontal="center" vertical="center" textRotation="0" wrapText="true" indent="0" shrinkToFit="false"/>
      <protection locked="true" hidden="false"/>
    </xf>
    <xf numFmtId="164" fontId="57" fillId="30" borderId="80" xfId="0" applyFont="true" applyBorder="true" applyAlignment="false" applyProtection="true">
      <alignment horizontal="general" vertical="bottom" textRotation="0" wrapText="false" indent="0" shrinkToFit="false"/>
      <protection locked="false" hidden="false"/>
    </xf>
    <xf numFmtId="169" fontId="0" fillId="3" borderId="6" xfId="44" applyFont="false" applyBorder="true" applyAlignment="true" applyProtection="true">
      <alignment horizontal="center" vertical="top" textRotation="0" wrapText="true" indent="0" shrinkToFit="false"/>
      <protection locked="false" hidden="false"/>
    </xf>
    <xf numFmtId="168" fontId="0" fillId="18" borderId="6" xfId="37" applyFont="false" applyBorder="true" applyAlignment="true" applyProtection="true">
      <alignment horizontal="right" vertical="top" textRotation="0" wrapText="true" indent="0" shrinkToFit="false"/>
      <protection locked="true" hidden="false"/>
    </xf>
    <xf numFmtId="168" fontId="0" fillId="3" borderId="6" xfId="44" applyFont="false" applyBorder="true" applyAlignment="true" applyProtection="true">
      <alignment horizontal="center" vertical="top" textRotation="0" wrapText="true" indent="0" shrinkToFit="false"/>
      <protection locked="true" hidden="false"/>
    </xf>
    <xf numFmtId="168" fontId="0" fillId="24" borderId="6" xfId="45" applyFont="false" applyBorder="true" applyAlignment="true" applyProtection="true">
      <alignment horizontal="right" vertical="top" textRotation="0" wrapText="true" indent="0" shrinkToFit="false"/>
      <protection locked="true" hidden="false"/>
    </xf>
    <xf numFmtId="168" fontId="0" fillId="18" borderId="6" xfId="37" applyFont="false" applyBorder="true" applyAlignment="true" applyProtection="true">
      <alignment horizontal="right" vertical="top" textRotation="0" wrapText="true" indent="0" shrinkToFit="false"/>
      <protection locked="false" hidden="false"/>
    </xf>
    <xf numFmtId="164" fontId="57" fillId="30" borderId="6" xfId="0" applyFont="true" applyBorder="true" applyAlignment="false" applyProtection="true">
      <alignment horizontal="general" vertical="bottom" textRotation="0" wrapText="false" indent="0" shrinkToFit="false"/>
      <protection locked="false" hidden="false"/>
    </xf>
    <xf numFmtId="164" fontId="24"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24" fillId="0" borderId="6" xfId="0" applyFont="true" applyBorder="true" applyAlignment="true" applyProtection="false">
      <alignment horizontal="general" vertical="center" textRotation="0" wrapText="true" indent="0" shrinkToFit="false"/>
      <protection locked="true" hidden="false"/>
    </xf>
    <xf numFmtId="172" fontId="24" fillId="25" borderId="6" xfId="46" applyFont="true" applyBorder="true" applyAlignment="true" applyProtection="true">
      <alignment horizontal="center" vertical="center" textRotation="0" wrapText="true" indent="0" shrinkToFit="false"/>
      <protection locked="true" hidden="false"/>
    </xf>
    <xf numFmtId="164" fontId="0" fillId="24" borderId="6" xfId="45" applyFont="false" applyBorder="true" applyAlignment="true" applyProtection="true">
      <alignment horizontal="center" vertical="center" textRotation="0" wrapText="true" indent="0" shrinkToFit="false"/>
      <protection locked="false" hidden="false"/>
    </xf>
    <xf numFmtId="168" fontId="0" fillId="18" borderId="6" xfId="37" applyFont="false" applyBorder="true" applyAlignment="true" applyProtection="true">
      <alignment horizontal="general" vertical="bottom" textRotation="0" wrapText="false" indent="0" shrinkToFit="false"/>
      <protection locked="true" hidden="false"/>
    </xf>
    <xf numFmtId="168" fontId="0" fillId="3" borderId="6" xfId="44" applyFont="fals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center" textRotation="0" wrapText="false" indent="0" shrinkToFit="false"/>
      <protection locked="true" hidden="false"/>
    </xf>
    <xf numFmtId="168" fontId="0" fillId="3" borderId="6" xfId="44" applyFont="false" applyBorder="true" applyAlignment="true" applyProtection="true">
      <alignment horizontal="center" vertical="bottom" textRotation="0" wrapText="false" indent="0" shrinkToFit="false"/>
      <protection locked="false" hidden="false"/>
    </xf>
    <xf numFmtId="164" fontId="24" fillId="0" borderId="0" xfId="0" applyFont="true" applyBorder="true" applyAlignment="true" applyProtection="false">
      <alignment horizontal="center" vertical="center" textRotation="0" wrapText="false" indent="0" shrinkToFit="false"/>
      <protection locked="true" hidden="false"/>
    </xf>
    <xf numFmtId="174" fontId="24" fillId="0" borderId="0" xfId="0" applyFont="true" applyBorder="true" applyAlignment="true" applyProtection="false">
      <alignment horizontal="center" vertical="center" textRotation="0" wrapText="false" indent="0" shrinkToFit="false"/>
      <protection locked="true" hidden="false"/>
    </xf>
    <xf numFmtId="164" fontId="165" fillId="0" borderId="0" xfId="0" applyFont="true" applyBorder="false" applyAlignment="true" applyProtection="false">
      <alignment horizontal="general" vertical="center" textRotation="0" wrapText="false" indent="0" shrinkToFit="false"/>
      <protection locked="true" hidden="false"/>
    </xf>
    <xf numFmtId="164" fontId="165" fillId="0" borderId="0" xfId="0" applyFont="true" applyBorder="false" applyAlignment="false" applyProtection="false">
      <alignment horizontal="general" vertical="bottom" textRotation="0" wrapText="false" indent="0" shrinkToFit="false"/>
      <protection locked="true" hidden="false"/>
    </xf>
    <xf numFmtId="164" fontId="24" fillId="25" borderId="6" xfId="46" applyFont="true" applyBorder="true" applyAlignment="true" applyProtection="true">
      <alignment horizontal="center" vertical="bottom" textRotation="0" wrapText="false" indent="0" shrinkToFit="false"/>
      <protection locked="true" hidden="false"/>
    </xf>
    <xf numFmtId="172" fontId="0" fillId="18" borderId="6" xfId="37" applyFont="false" applyBorder="true" applyAlignment="true" applyProtection="true">
      <alignment horizontal="right"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true">
      <alignment horizontal="left" vertical="top" textRotation="0" wrapText="true" indent="0" shrinkToFit="false"/>
      <protection locked="false" hidden="false"/>
    </xf>
    <xf numFmtId="164" fontId="0" fillId="0" borderId="6" xfId="0" applyFont="true" applyBorder="true" applyAlignment="true" applyProtection="true">
      <alignment horizontal="center" vertical="top" textRotation="0" wrapText="true" indent="0" shrinkToFit="false"/>
      <protection locked="false" hidden="false"/>
    </xf>
    <xf numFmtId="172" fontId="0" fillId="0" borderId="6" xfId="0" applyFont="true" applyBorder="true" applyAlignment="true" applyProtection="false">
      <alignment horizontal="right" vertical="top" textRotation="0" wrapText="true" indent="0" shrinkToFit="false"/>
      <protection locked="true" hidden="false"/>
    </xf>
    <xf numFmtId="168" fontId="0" fillId="0" borderId="6" xfId="0" applyFont="true" applyBorder="true" applyAlignment="true" applyProtection="false">
      <alignment horizontal="center" vertical="center" textRotation="0" wrapText="false" indent="0" shrinkToFit="false"/>
      <protection locked="true" hidden="false"/>
    </xf>
    <xf numFmtId="172" fontId="0" fillId="18" borderId="6" xfId="37" applyFont="false" applyBorder="true" applyAlignment="true" applyProtection="true">
      <alignment horizontal="right" vertical="top" textRotation="0" wrapText="true" indent="0" shrinkToFit="false"/>
      <protection locked="false" hidden="false"/>
    </xf>
    <xf numFmtId="164" fontId="16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24" borderId="6" xfId="45" applyFont="false" applyBorder="true" applyAlignment="true" applyProtection="true">
      <alignment horizontal="center" vertical="bottom" textRotation="0" wrapText="false" indent="0" shrinkToFit="false"/>
      <protection locked="false" hidden="false"/>
    </xf>
    <xf numFmtId="180" fontId="0" fillId="18" borderId="6" xfId="37" applyFont="false" applyBorder="true" applyAlignment="true" applyProtection="true">
      <alignment horizontal="right" vertical="bottom" textRotation="0" wrapText="false" indent="0" shrinkToFit="false"/>
      <protection locked="true" hidden="false"/>
    </xf>
    <xf numFmtId="168" fontId="0" fillId="18" borderId="6" xfId="37" applyFont="false" applyBorder="true" applyAlignment="true" applyProtection="true">
      <alignment horizontal="right" vertical="bottom" textRotation="0" wrapText="false" indent="0" shrinkToFit="false"/>
      <protection locked="true" hidden="false"/>
    </xf>
    <xf numFmtId="164" fontId="0" fillId="0" borderId="6" xfId="0" applyFont="true" applyBorder="true" applyAlignment="false" applyProtection="true">
      <alignment horizontal="general" vertical="bottom" textRotation="0" wrapText="false" indent="0" shrinkToFit="false"/>
      <protection locked="false" hidden="false"/>
    </xf>
    <xf numFmtId="164" fontId="0" fillId="24" borderId="16" xfId="45" applyFont="false" applyBorder="true" applyAlignment="true" applyProtection="true">
      <alignment horizontal="center" vertical="bottom" textRotation="0" wrapText="false" indent="0" shrinkToFit="false"/>
      <protection locked="false" hidden="false"/>
    </xf>
    <xf numFmtId="169" fontId="0" fillId="3" borderId="1" xfId="44" applyFont="false" applyBorder="true" applyAlignment="true" applyProtection="true">
      <alignment horizontal="general" vertical="center" textRotation="0" wrapText="false" indent="0" shrinkToFit="false"/>
      <protection locked="true" hidden="false"/>
    </xf>
    <xf numFmtId="164" fontId="24" fillId="26" borderId="8" xfId="49" applyFont="true" applyBorder="true" applyAlignment="true" applyProtection="true">
      <alignment horizontal="center"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5" fillId="26" borderId="77" xfId="49" applyFont="true" applyBorder="true" applyAlignment="true" applyProtection="true">
      <alignment horizontal="general" vertical="center" textRotation="0" wrapText="true" indent="0" shrinkToFit="false"/>
      <protection locked="true" hidden="false"/>
    </xf>
    <xf numFmtId="164" fontId="24" fillId="26" borderId="109" xfId="49" applyFont="true" applyBorder="true" applyAlignment="true" applyProtection="true">
      <alignment horizontal="center" vertical="center" textRotation="0" wrapText="true" indent="0" shrinkToFit="false"/>
      <protection locked="true" hidden="false"/>
    </xf>
    <xf numFmtId="164" fontId="0" fillId="0" borderId="46" xfId="0" applyFont="true" applyBorder="true" applyAlignment="false" applyProtection="false">
      <alignment horizontal="general" vertical="bottom" textRotation="0" wrapText="false" indent="0" shrinkToFit="false"/>
      <protection locked="true" hidden="false"/>
    </xf>
    <xf numFmtId="164" fontId="0" fillId="0" borderId="46" xfId="0" applyFont="true" applyBorder="true" applyAlignment="true" applyProtection="false">
      <alignment horizontal="general" vertical="bottom" textRotation="0" wrapText="false" indent="0" shrinkToFit="false"/>
      <protection locked="true" hidden="false"/>
    </xf>
    <xf numFmtId="164" fontId="28" fillId="0" borderId="46" xfId="0" applyFont="true" applyBorder="true" applyAlignment="false" applyProtection="false">
      <alignment horizontal="general" vertical="bottom" textRotation="0" wrapText="false" indent="0" shrinkToFit="false"/>
      <protection locked="true" hidden="false"/>
    </xf>
    <xf numFmtId="164" fontId="0" fillId="0" borderId="63" xfId="0" applyFont="true" applyBorder="true" applyAlignment="true" applyProtection="false">
      <alignment horizontal="general" vertical="bottom" textRotation="0" wrapText="false" indent="0" shrinkToFit="false"/>
      <protection locked="true" hidden="false"/>
    </xf>
    <xf numFmtId="164" fontId="0" fillId="0" borderId="67" xfId="0" applyFont="true" applyBorder="true" applyAlignment="false" applyProtection="false">
      <alignment horizontal="general" vertical="bottom" textRotation="0" wrapText="false" indent="0" shrinkToFit="false"/>
      <protection locked="true" hidden="false"/>
    </xf>
    <xf numFmtId="164" fontId="0" fillId="24" borderId="68" xfId="45" applyFont="false" applyBorder="true" applyAlignment="true" applyProtection="true">
      <alignment horizontal="center" vertical="bottom" textRotation="0" wrapText="false" indent="0" shrinkToFit="false"/>
      <protection locked="false" hidden="false"/>
    </xf>
    <xf numFmtId="164" fontId="24" fillId="25" borderId="46" xfId="46" applyFont="true" applyBorder="true" applyAlignment="true" applyProtection="true">
      <alignment horizontal="center" vertical="center" textRotation="0" wrapText="true" indent="0" shrinkToFit="false"/>
      <protection locked="true" hidden="false"/>
    </xf>
    <xf numFmtId="164" fontId="24" fillId="25" borderId="47" xfId="46" applyFont="true" applyBorder="true" applyAlignment="true" applyProtection="true">
      <alignment horizontal="center" vertical="center" textRotation="0" wrapText="true" indent="0" shrinkToFit="false"/>
      <protection locked="true" hidden="false"/>
    </xf>
    <xf numFmtId="172" fontId="0" fillId="3" borderId="67" xfId="44" applyFont="false" applyBorder="true" applyAlignment="true" applyProtection="true">
      <alignment horizontal="center" vertical="center" textRotation="0" wrapText="true" indent="0" shrinkToFit="false"/>
      <protection locked="false" hidden="false"/>
    </xf>
    <xf numFmtId="164" fontId="0" fillId="18" borderId="68" xfId="37" applyFont="false" applyBorder="true" applyAlignment="true" applyProtection="true">
      <alignment horizontal="right" vertical="bottom" textRotation="0" wrapText="false" indent="0" shrinkToFit="false"/>
      <protection locked="true" hidden="false"/>
    </xf>
    <xf numFmtId="164" fontId="24" fillId="25" borderId="49" xfId="46" applyFont="true" applyBorder="true" applyAlignment="true" applyProtection="true">
      <alignment horizontal="center" vertical="center" textRotation="0" wrapText="true" indent="0" shrinkToFit="false"/>
      <protection locked="true" hidden="false"/>
    </xf>
    <xf numFmtId="169" fontId="0" fillId="3" borderId="67" xfId="44" applyFont="false" applyBorder="true" applyAlignment="true" applyProtection="true">
      <alignment horizontal="center" vertical="center" textRotation="0" wrapText="true" indent="0" shrinkToFit="false"/>
      <protection locked="false" hidden="false"/>
    </xf>
    <xf numFmtId="164" fontId="24" fillId="25" borderId="50" xfId="46" applyFont="true" applyBorder="true" applyAlignment="true" applyProtection="true">
      <alignment horizontal="center" vertical="center" textRotation="0" wrapText="true" indent="0" shrinkToFit="false"/>
      <protection locked="true" hidden="false"/>
    </xf>
    <xf numFmtId="172" fontId="0" fillId="18" borderId="68" xfId="37" applyFont="false" applyBorder="true" applyAlignment="true" applyProtection="true">
      <alignment horizontal="right" vertical="bottom" textRotation="0" wrapText="false" indent="0" shrinkToFit="false"/>
      <protection locked="true" hidden="false"/>
    </xf>
    <xf numFmtId="164" fontId="24" fillId="26" borderId="6" xfId="49" applyFont="true" applyBorder="true" applyAlignment="true" applyProtection="true">
      <alignment horizontal="general" vertical="bottom" textRotation="0" wrapText="true" indent="0" shrinkToFit="false"/>
      <protection locked="true" hidden="false"/>
    </xf>
    <xf numFmtId="164" fontId="158" fillId="21"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158" fillId="0" borderId="0" xfId="0" applyFont="true" applyBorder="false" applyAlignment="true" applyProtection="false">
      <alignment horizontal="left" vertical="center" textRotation="0" wrapText="false" indent="0" shrinkToFit="false"/>
      <protection locked="true" hidden="false"/>
    </xf>
    <xf numFmtId="174" fontId="24" fillId="3" borderId="16" xfId="44" applyFont="true" applyBorder="true" applyAlignment="true" applyProtection="true">
      <alignment horizontal="center" vertical="center" textRotation="0" wrapText="true" indent="0" shrinkToFit="false"/>
      <protection locked="true" hidden="false"/>
    </xf>
    <xf numFmtId="164" fontId="8" fillId="41" borderId="7" xfId="0" applyFont="true" applyBorder="true" applyAlignment="true" applyProtection="false">
      <alignment horizontal="left" vertical="center" textRotation="0" wrapText="false" indent="0" shrinkToFit="false"/>
      <protection locked="true" hidden="false"/>
    </xf>
    <xf numFmtId="164" fontId="8" fillId="41" borderId="34" xfId="0" applyFont="true" applyBorder="true" applyAlignment="true" applyProtection="false">
      <alignment horizontal="left" vertical="center" textRotation="0" wrapText="true" indent="0" shrinkToFit="false"/>
      <protection locked="true" hidden="false"/>
    </xf>
    <xf numFmtId="164" fontId="8" fillId="41" borderId="8" xfId="0" applyFont="true" applyBorder="true" applyAlignment="true" applyProtection="false">
      <alignment horizontal="left" vertical="center" textRotation="0" wrapText="true" indent="0" shrinkToFit="false"/>
      <protection locked="true" hidden="false"/>
    </xf>
    <xf numFmtId="174" fontId="24" fillId="3" borderId="6" xfId="44" applyFont="true" applyBorder="true" applyAlignment="true" applyProtection="true">
      <alignment horizontal="center" vertical="center" textRotation="0" wrapText="true" indent="0" shrinkToFit="false"/>
      <protection locked="true" hidden="false"/>
    </xf>
    <xf numFmtId="17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74" fontId="24" fillId="3" borderId="19" xfId="44"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37" xfId="0" applyFont="true" applyBorder="true" applyAlignment="true" applyProtection="false">
      <alignment horizontal="left" vertical="center" textRotation="0" wrapText="true" indent="0" shrinkToFit="false"/>
      <protection locked="true" hidden="false"/>
    </xf>
    <xf numFmtId="174" fontId="8" fillId="0" borderId="0" xfId="0" applyFont="true" applyBorder="fals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167" fillId="41" borderId="34" xfId="0" applyFont="true" applyBorder="true" applyAlignment="true" applyProtection="false">
      <alignment horizontal="left" vertical="center" textRotation="0" wrapText="false" indent="0" shrinkToFit="false"/>
      <protection locked="true" hidden="false"/>
    </xf>
    <xf numFmtId="164" fontId="167" fillId="41" borderId="8" xfId="0" applyFont="true" applyBorder="true" applyAlignment="true" applyProtection="false">
      <alignment horizontal="left" vertical="center" textRotation="0" wrapText="false" indent="0" shrinkToFit="false"/>
      <protection locked="true" hidden="false"/>
    </xf>
    <xf numFmtId="174" fontId="24" fillId="3" borderId="6" xfId="44" applyFont="true" applyBorder="true" applyAlignment="true" applyProtection="true">
      <alignment horizontal="center" vertical="center" textRotation="0" wrapText="false" indent="0" shrinkToFit="false"/>
      <protection locked="true" hidden="false"/>
    </xf>
    <xf numFmtId="164" fontId="167" fillId="0" borderId="0" xfId="0" applyFont="true" applyBorder="false" applyAlignment="true" applyProtection="false">
      <alignment horizontal="left" vertical="center" textRotation="0" wrapText="false" indent="0" shrinkToFit="false"/>
      <protection locked="true" hidden="false"/>
    </xf>
    <xf numFmtId="164" fontId="167" fillId="0" borderId="0" xfId="0" applyFont="true" applyBorder="false" applyAlignment="true" applyProtection="false">
      <alignment horizontal="general" vertical="center" textRotation="0" wrapText="false" indent="0" shrinkToFit="false"/>
      <protection locked="true" hidden="false"/>
    </xf>
    <xf numFmtId="174" fontId="24" fillId="3" borderId="16" xfId="44" applyFont="true" applyBorder="true" applyAlignment="true" applyProtection="true">
      <alignment horizontal="center" vertical="center" textRotation="0" wrapText="false" indent="0" shrinkToFit="false"/>
      <protection locked="true" hidden="false"/>
    </xf>
    <xf numFmtId="164" fontId="24" fillId="0" borderId="34" xfId="0" applyFont="true" applyBorder="true" applyAlignment="true" applyProtection="false">
      <alignment horizontal="general" vertical="center" textRotation="0" wrapText="false" indent="0" shrinkToFit="false"/>
      <protection locked="true" hidden="false"/>
    </xf>
    <xf numFmtId="164" fontId="8" fillId="0" borderId="6" xfId="0" applyFont="true" applyBorder="true" applyAlignment="true" applyProtection="false">
      <alignment horizontal="right" vertical="center" textRotation="0" wrapText="true" indent="0" shrinkToFit="false"/>
      <protection locked="true" hidden="false"/>
    </xf>
    <xf numFmtId="164" fontId="8" fillId="0" borderId="6"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37" xfId="0" applyFont="true" applyBorder="true" applyAlignment="true" applyProtection="false">
      <alignment horizontal="center" vertical="center" textRotation="0" wrapText="true" indent="0" shrinkToFit="false"/>
      <protection locked="true" hidden="false"/>
    </xf>
    <xf numFmtId="174" fontId="8" fillId="0" borderId="37"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left" vertical="center" textRotation="0" wrapText="true" indent="0" shrinkToFit="false"/>
      <protection locked="true" hidden="false"/>
    </xf>
    <xf numFmtId="164" fontId="24" fillId="25" borderId="17" xfId="46" applyFont="true" applyBorder="true" applyAlignment="true" applyProtection="true">
      <alignment horizontal="center" vertical="center" textRotation="0" wrapText="false" indent="0" shrinkToFit="false"/>
      <protection locked="true" hidden="false"/>
    </xf>
    <xf numFmtId="164" fontId="168" fillId="0" borderId="0" xfId="0" applyFont="true" applyBorder="false" applyAlignment="true" applyProtection="false">
      <alignment horizontal="general" vertical="center" textRotation="0" wrapText="false" indent="0" shrinkToFit="false"/>
      <protection locked="true" hidden="false"/>
    </xf>
    <xf numFmtId="164" fontId="8" fillId="26" borderId="26" xfId="49" applyFont="true" applyBorder="true" applyAlignment="true" applyProtection="true">
      <alignment horizontal="center" vertical="center" textRotation="0" wrapText="false" indent="0" shrinkToFit="false"/>
      <protection locked="true" hidden="false"/>
    </xf>
    <xf numFmtId="164" fontId="81" fillId="0" borderId="26" xfId="0" applyFont="true" applyBorder="true" applyAlignment="false" applyProtection="false">
      <alignment horizontal="general" vertical="bottom" textRotation="0" wrapText="false" indent="0" shrinkToFit="false"/>
      <protection locked="true" hidden="false"/>
    </xf>
    <xf numFmtId="164" fontId="81" fillId="0" borderId="27" xfId="0" applyFont="true" applyBorder="true" applyAlignment="false" applyProtection="false">
      <alignment horizontal="general" vertical="bottom" textRotation="0" wrapText="false" indent="0" shrinkToFit="false"/>
      <protection locked="true" hidden="false"/>
    </xf>
    <xf numFmtId="164" fontId="82" fillId="0" borderId="27" xfId="0" applyFont="true" applyBorder="true" applyAlignment="false" applyProtection="false">
      <alignment horizontal="general" vertical="bottom" textRotation="0" wrapText="false" indent="0" shrinkToFit="false"/>
      <protection locked="true" hidden="false"/>
    </xf>
    <xf numFmtId="164" fontId="26" fillId="0" borderId="27" xfId="0" applyFont="true" applyBorder="true" applyAlignment="false" applyProtection="false">
      <alignment horizontal="general" vertical="bottom" textRotation="0" wrapText="false" indent="0" shrinkToFit="false"/>
      <protection locked="true" hidden="false"/>
    </xf>
    <xf numFmtId="164" fontId="73" fillId="0" borderId="27" xfId="0" applyFont="true" applyBorder="true" applyAlignment="false" applyProtection="false">
      <alignment horizontal="general" vertical="bottom" textRotation="0" wrapText="false" indent="0" shrinkToFit="false"/>
      <protection locked="true" hidden="false"/>
    </xf>
    <xf numFmtId="164" fontId="73" fillId="0" borderId="3" xfId="0" applyFont="true" applyBorder="true" applyAlignment="false" applyProtection="false">
      <alignment horizontal="general" vertical="bottom" textRotation="0" wrapText="false" indent="0" shrinkToFit="false"/>
      <protection locked="true" hidden="false"/>
    </xf>
    <xf numFmtId="164" fontId="74" fillId="0" borderId="0" xfId="0" applyFont="true" applyBorder="false" applyAlignment="false" applyProtection="false">
      <alignment horizontal="general" vertical="bottom" textRotation="0" wrapText="false" indent="0" shrinkToFit="false"/>
      <protection locked="true" hidden="false"/>
    </xf>
    <xf numFmtId="164" fontId="170" fillId="0" borderId="0" xfId="0" applyFont="true" applyBorder="false" applyAlignment="false" applyProtection="false">
      <alignment horizontal="general" vertical="bottom" textRotation="0" wrapText="fals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4" fontId="26" fillId="0" borderId="3" xfId="0" applyFont="true" applyBorder="true" applyAlignment="true" applyProtection="false">
      <alignment horizontal="center" vertical="center" textRotation="0" wrapText="true" indent="0" shrinkToFit="false"/>
      <protection locked="true" hidden="false"/>
    </xf>
    <xf numFmtId="164" fontId="26" fillId="0" borderId="4" xfId="0" applyFont="true" applyBorder="true" applyAlignment="true" applyProtection="false">
      <alignment horizontal="general" vertical="center" textRotation="0" wrapText="true" indent="0" shrinkToFit="false"/>
      <protection locked="true" hidden="false"/>
    </xf>
    <xf numFmtId="164" fontId="26"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3" fillId="0" borderId="4" xfId="0" applyFont="true" applyBorder="true" applyAlignment="true" applyProtection="false">
      <alignment horizontal="general" vertical="center" textRotation="0" wrapText="true" indent="0" shrinkToFit="false"/>
      <protection locked="true" hidden="false"/>
    </xf>
    <xf numFmtId="164" fontId="25" fillId="0" borderId="5" xfId="0" applyFont="true" applyBorder="true" applyAlignment="true" applyProtection="false">
      <alignment horizontal="center" vertical="center" textRotation="0" wrapText="true" indent="0" shrinkToFit="false"/>
      <protection locked="true" hidden="false"/>
    </xf>
    <xf numFmtId="164" fontId="22" fillId="0" borderId="5" xfId="0" applyFont="true" applyBorder="true" applyAlignment="true" applyProtection="false">
      <alignment horizontal="center" vertical="center" textRotation="0" wrapText="true" indent="0" shrinkToFit="false"/>
      <protection locked="true" hidden="false"/>
    </xf>
    <xf numFmtId="164" fontId="26" fillId="0" borderId="5" xfId="0" applyFont="true" applyBorder="true" applyAlignment="true" applyProtection="false">
      <alignment horizontal="center" vertical="center" textRotation="0" wrapText="true" indent="0" shrinkToFit="false"/>
      <protection locked="true" hidden="false"/>
    </xf>
    <xf numFmtId="164" fontId="73" fillId="0" borderId="0" xfId="0" applyFont="true" applyBorder="true" applyAlignment="true" applyProtection="false">
      <alignment horizontal="general" vertical="center" textRotation="0" wrapText="tru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64" fontId="171" fillId="0" borderId="0" xfId="0" applyFont="true" applyBorder="false" applyAlignment="true" applyProtection="false">
      <alignment horizontal="general" vertical="bottom" textRotation="0" wrapText="false" indent="0" shrinkToFit="false"/>
      <protection locked="true" hidden="false"/>
    </xf>
    <xf numFmtId="164" fontId="74" fillId="0" borderId="0" xfId="0" applyFont="true" applyBorder="false" applyAlignment="true" applyProtection="false">
      <alignment horizontal="general" vertical="bottom" textRotation="0" wrapText="false" indent="0" shrinkToFit="false"/>
      <protection locked="true" hidden="false"/>
    </xf>
    <xf numFmtId="164" fontId="0" fillId="39" borderId="6" xfId="0" applyFont="false" applyBorder="true" applyAlignment="true" applyProtection="false">
      <alignment horizontal="center" vertical="center" textRotation="0" wrapText="false" indent="0" shrinkToFit="false"/>
      <protection locked="true" hidden="false"/>
    </xf>
    <xf numFmtId="171" fontId="0" fillId="39" borderId="6" xfId="0" applyFont="false" applyBorder="true" applyAlignment="true" applyProtection="false">
      <alignment horizontal="left"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39" borderId="6" xfId="0" applyFont="false" applyBorder="true" applyAlignment="true" applyProtection="false">
      <alignment horizontal="center" vertical="bottom" textRotation="0" wrapText="false" indent="0" shrinkToFit="false"/>
      <protection locked="true" hidden="false"/>
    </xf>
    <xf numFmtId="164" fontId="24" fillId="0" borderId="6" xfId="0" applyFont="true" applyBorder="true" applyAlignment="false" applyProtection="false">
      <alignment horizontal="general" vertical="bottom" textRotation="0" wrapText="false" indent="0" shrinkToFit="false"/>
      <protection locked="true" hidden="false"/>
    </xf>
    <xf numFmtId="164" fontId="24" fillId="0" borderId="6" xfId="0" applyFont="true" applyBorder="true" applyAlignment="true" applyProtection="false">
      <alignment horizontal="left"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119" fillId="0" borderId="6" xfId="0" applyFont="true" applyBorder="true" applyAlignment="true" applyProtection="false">
      <alignment horizontal="left" vertical="bottom" textRotation="0" wrapText="false" indent="0" shrinkToFit="false"/>
      <protection locked="true" hidden="false"/>
    </xf>
    <xf numFmtId="171"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72" fillId="30" borderId="110" xfId="0" applyFont="true" applyBorder="true" applyAlignment="true" applyProtection="false">
      <alignment horizontal="center" vertical="center" textRotation="0" wrapText="true" indent="0" shrinkToFit="false"/>
      <protection locked="true" hidden="false"/>
    </xf>
    <xf numFmtId="164" fontId="129" fillId="0" borderId="32" xfId="0" applyFont="true" applyBorder="true" applyAlignment="true" applyProtection="false">
      <alignment horizontal="center" vertical="center" textRotation="0" wrapText="false" indent="0" shrinkToFit="false"/>
      <protection locked="true" hidden="false"/>
    </xf>
    <xf numFmtId="164" fontId="172" fillId="30" borderId="0" xfId="0" applyFont="true" applyBorder="true" applyAlignment="true" applyProtection="false">
      <alignment horizontal="center" vertical="center" textRotation="0" wrapText="true" indent="0" shrinkToFit="false"/>
      <protection locked="true" hidden="false"/>
    </xf>
    <xf numFmtId="164" fontId="15" fillId="0" borderId="32" xfId="0" applyFont="true" applyBorder="true" applyAlignment="tru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3"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15" fillId="0" borderId="7"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129" fillId="0" borderId="32" xfId="0" applyFont="true" applyBorder="true" applyAlignment="true" applyProtection="false">
      <alignment horizontal="center" vertical="bottom" textRotation="0" wrapText="false" indent="0" shrinkToFit="false"/>
      <protection locked="true" hidden="false"/>
    </xf>
    <xf numFmtId="164" fontId="31" fillId="0" borderId="7" xfId="0" applyFont="true" applyBorder="true" applyAlignment="true" applyProtection="false">
      <alignment horizontal="general" vertical="bottom" textRotation="0" wrapText="false" indent="0" shrinkToFit="false"/>
      <protection locked="true" hidden="false"/>
    </xf>
    <xf numFmtId="164" fontId="31" fillId="0" borderId="34" xfId="0" applyFont="true" applyBorder="true" applyAlignment="true" applyProtection="false">
      <alignment horizontal="general" vertical="bottom" textRotation="0" wrapText="tru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64" fontId="173" fillId="0" borderId="1" xfId="0" applyFont="true" applyBorder="true" applyAlignment="true" applyProtection="false">
      <alignment horizontal="general" vertical="center" textRotation="0" wrapText="true" indent="0" shrinkToFit="false"/>
      <protection locked="true" hidden="false"/>
    </xf>
    <xf numFmtId="164" fontId="173" fillId="0" borderId="3" xfId="0" applyFont="true" applyBorder="true" applyAlignment="true" applyProtection="false">
      <alignment horizontal="general" vertical="center" textRotation="0" wrapText="true" indent="0" shrinkToFit="false"/>
      <protection locked="true" hidden="false"/>
    </xf>
    <xf numFmtId="164" fontId="173" fillId="0" borderId="4" xfId="0" applyFont="true" applyBorder="true" applyAlignment="true" applyProtection="false">
      <alignment horizontal="general" vertical="center" textRotation="0" wrapText="true" indent="0" shrinkToFit="false"/>
      <protection locked="true" hidden="false"/>
    </xf>
    <xf numFmtId="164" fontId="173" fillId="0" borderId="5" xfId="0" applyFont="true" applyBorder="true" applyAlignment="true" applyProtection="false">
      <alignment horizontal="general" vertical="center" textRotation="0" wrapText="true" indent="0" shrinkToFit="false"/>
      <protection locked="true" hidden="false"/>
    </xf>
    <xf numFmtId="164" fontId="48" fillId="0" borderId="4" xfId="0" applyFont="true" applyBorder="true" applyAlignment="true" applyProtection="false">
      <alignment horizontal="general" vertical="center" textRotation="0" wrapText="true" indent="0" shrinkToFit="false"/>
      <protection locked="true" hidden="false"/>
    </xf>
    <xf numFmtId="164" fontId="48" fillId="0" borderId="5" xfId="0" applyFont="true" applyBorder="true" applyAlignment="true" applyProtection="false">
      <alignment horizontal="general" vertical="center" textRotation="0" wrapText="true" indent="0" shrinkToFit="false"/>
      <protection locked="true" hidden="false"/>
    </xf>
    <xf numFmtId="164" fontId="164" fillId="0" borderId="111" xfId="0" applyFont="true" applyBorder="true" applyAlignment="true" applyProtection="false">
      <alignment horizontal="center" vertical="center" textRotation="0" wrapText="false" indent="0" shrinkToFit="false"/>
      <protection locked="true" hidden="false"/>
    </xf>
    <xf numFmtId="164" fontId="164" fillId="30" borderId="111" xfId="0" applyFont="true" applyBorder="true" applyAlignment="true" applyProtection="false">
      <alignment horizontal="center" vertical="center" textRotation="0" wrapText="false" indent="0" shrinkToFit="false"/>
      <protection locked="true" hidden="false"/>
    </xf>
    <xf numFmtId="164" fontId="164" fillId="30" borderId="111" xfId="0" applyFont="true" applyBorder="true" applyAlignment="true" applyProtection="false">
      <alignment horizontal="center" vertical="center" textRotation="0" wrapText="true" indent="0" shrinkToFit="false"/>
      <protection locked="true" hidden="false"/>
    </xf>
    <xf numFmtId="164" fontId="174" fillId="0" borderId="0" xfId="0" applyFont="true" applyBorder="false" applyAlignment="false" applyProtection="false">
      <alignment horizontal="general" vertical="bottom" textRotation="0" wrapText="false" indent="0" shrinkToFit="false"/>
      <protection locked="true" hidden="false"/>
    </xf>
    <xf numFmtId="164" fontId="28" fillId="0" borderId="111" xfId="0" applyFont="true" applyBorder="true" applyAlignment="true" applyProtection="false">
      <alignment horizontal="general" vertical="center" textRotation="0" wrapText="false" indent="0" shrinkToFit="false"/>
      <protection locked="true" hidden="false"/>
    </xf>
    <xf numFmtId="170" fontId="28" fillId="0" borderId="111" xfId="0" applyFont="true" applyBorder="true" applyAlignment="true" applyProtection="false">
      <alignment horizontal="right" vertical="center"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172" fillId="30" borderId="112" xfId="0" applyFont="true" applyBorder="true" applyAlignment="true" applyProtection="false">
      <alignment horizontal="center" vertical="center" textRotation="0" wrapText="true" indent="0" shrinkToFit="false"/>
      <protection locked="true" hidden="false"/>
    </xf>
    <xf numFmtId="164" fontId="175" fillId="30" borderId="113" xfId="0" applyFont="true" applyBorder="true" applyAlignment="true" applyProtection="false">
      <alignment horizontal="center" vertical="center" textRotation="0" wrapText="true" indent="0" shrinkToFit="false"/>
      <protection locked="true" hidden="false"/>
    </xf>
    <xf numFmtId="164" fontId="28" fillId="0" borderId="111" xfId="0" applyFont="true" applyBorder="true" applyAlignment="true" applyProtection="false">
      <alignment horizontal="right" vertical="center" textRotation="0" wrapText="false" indent="0" shrinkToFit="false"/>
      <protection locked="true" hidden="false"/>
    </xf>
    <xf numFmtId="164" fontId="28" fillId="0" borderId="6" xfId="0" applyFont="true" applyBorder="true" applyAlignment="false" applyProtection="false">
      <alignment horizontal="general" vertical="bottom" textRotation="0" wrapText="false" indent="0" shrinkToFit="false"/>
      <protection locked="true" hidden="false"/>
    </xf>
    <xf numFmtId="164" fontId="176" fillId="0" borderId="6" xfId="0" applyFont="true" applyBorder="true" applyAlignment="true" applyProtection="false">
      <alignment horizontal="center" vertical="center" textRotation="0" wrapText="true" indent="0" shrinkToFit="false"/>
      <protection locked="true" hidden="false"/>
    </xf>
    <xf numFmtId="164" fontId="28" fillId="0" borderId="6" xfId="0" applyFont="true" applyBorder="true" applyAlignment="true" applyProtection="false">
      <alignment horizontal="general" vertical="center" textRotation="0" wrapText="true" indent="0" shrinkToFit="false"/>
      <protection locked="true" hidden="false"/>
    </xf>
    <xf numFmtId="164" fontId="28" fillId="0" borderId="6" xfId="0" applyFont="true" applyBorder="true" applyAlignment="true" applyProtection="false">
      <alignment horizontal="center" vertical="center" textRotation="0" wrapText="true" indent="0" shrinkToFit="false"/>
      <protection locked="true" hidden="false"/>
    </xf>
    <xf numFmtId="164" fontId="28" fillId="31" borderId="114" xfId="0" applyFont="true" applyBorder="true" applyAlignment="true" applyProtection="false">
      <alignment horizontal="general" vertical="center" textRotation="0" wrapText="false" indent="0" shrinkToFit="false"/>
      <protection locked="true" hidden="false"/>
    </xf>
    <xf numFmtId="164" fontId="175" fillId="30" borderId="110" xfId="0" applyFont="true" applyBorder="true" applyAlignment="true" applyProtection="false">
      <alignment horizontal="center" vertical="center" textRotation="0" wrapText="true" indent="0" shrinkToFit="false"/>
      <protection locked="true" hidden="false"/>
    </xf>
    <xf numFmtId="164" fontId="172" fillId="30" borderId="115" xfId="0" applyFont="true" applyBorder="true" applyAlignment="true" applyProtection="false">
      <alignment horizontal="center" vertical="center" textRotation="0" wrapText="true" indent="0" shrinkToFit="false"/>
      <protection locked="true" hidden="false"/>
    </xf>
    <xf numFmtId="164" fontId="175" fillId="30" borderId="116" xfId="0" applyFont="true" applyBorder="true" applyAlignment="true" applyProtection="false">
      <alignment horizontal="center" vertical="center" textRotation="0" wrapText="true" indent="0" shrinkToFit="false"/>
      <protection locked="true" hidden="false"/>
    </xf>
    <xf numFmtId="164" fontId="172" fillId="30" borderId="111" xfId="0" applyFont="true" applyBorder="true" applyAlignment="true" applyProtection="false">
      <alignment horizontal="center" vertical="center" textRotation="0" wrapText="true" indent="0" shrinkToFit="false"/>
      <protection locked="true" hidden="false"/>
    </xf>
    <xf numFmtId="164" fontId="175" fillId="30" borderId="111" xfId="0" applyFont="true" applyBorder="true" applyAlignment="true" applyProtection="false">
      <alignment horizontal="center" vertical="center" textRotation="0" wrapText="true" indent="0" shrinkToFit="false"/>
      <protection locked="true" hidden="false"/>
    </xf>
    <xf numFmtId="164" fontId="28" fillId="0" borderId="111" xfId="0" applyFont="true" applyBorder="true" applyAlignment="true" applyProtection="false">
      <alignment horizontal="general" vertical="center" textRotation="0" wrapText="false" indent="0" shrinkToFit="false"/>
      <protection locked="true" hidden="false"/>
    </xf>
    <xf numFmtId="164" fontId="28" fillId="0" borderId="111" xfId="0" applyFont="true" applyBorder="true" applyAlignment="true" applyProtection="false">
      <alignment horizontal="right" vertical="center" textRotation="0" wrapText="false" indent="0" shrinkToFit="false"/>
      <protection locked="true" hidden="false"/>
    </xf>
    <xf numFmtId="164" fontId="28" fillId="0" borderId="0" xfId="0" applyFont="true" applyBorder="true" applyAlignment="true" applyProtection="false">
      <alignment horizontal="general" vertical="center" textRotation="0" wrapText="false" indent="0" shrinkToFit="false"/>
      <protection locked="true" hidden="false"/>
    </xf>
    <xf numFmtId="164" fontId="0" fillId="0" borderId="111" xfId="0" applyFont="fals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true" applyAlignment="true" applyProtection="false">
      <alignment horizontal="right" vertical="center" textRotation="0" wrapText="false" indent="0" shrinkToFit="false"/>
      <protection locked="true" hidden="false"/>
    </xf>
    <xf numFmtId="164" fontId="175" fillId="30" borderId="0" xfId="0" applyFont="true" applyBorder="true" applyAlignment="true" applyProtection="false">
      <alignment horizontal="center" vertical="center" textRotation="0" wrapText="true" indent="0" shrinkToFit="false"/>
      <protection locked="true" hidden="false"/>
    </xf>
    <xf numFmtId="164" fontId="24" fillId="0" borderId="117" xfId="0" applyFont="true" applyBorder="true" applyAlignment="true" applyProtection="false">
      <alignment horizontal="left" vertical="center" textRotation="0" wrapText="true" indent="0" shrinkToFit="false"/>
      <protection locked="true" hidden="false"/>
    </xf>
    <xf numFmtId="164" fontId="24" fillId="24" borderId="117" xfId="0" applyFont="true" applyBorder="true" applyAlignment="true" applyProtection="false">
      <alignment horizontal="center" vertical="center" textRotation="0" wrapText="true" indent="0" shrinkToFit="false"/>
      <protection locked="true" hidden="false"/>
    </xf>
    <xf numFmtId="164" fontId="24" fillId="24" borderId="118" xfId="0" applyFont="true" applyBorder="true" applyAlignment="true" applyProtection="false">
      <alignment horizontal="center" vertical="center" textRotation="0" wrapText="true" indent="0" shrinkToFit="false"/>
      <protection locked="true" hidden="false"/>
    </xf>
    <xf numFmtId="164" fontId="0" fillId="0" borderId="119" xfId="0" applyFont="true" applyBorder="true" applyAlignment="true" applyProtection="false">
      <alignment horizontal="left" vertical="center" textRotation="0" wrapText="true" indent="0" shrinkToFit="false"/>
      <protection locked="true" hidden="false"/>
    </xf>
    <xf numFmtId="164" fontId="0" fillId="25" borderId="119"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178" fillId="0" borderId="119" xfId="0" applyFont="true" applyBorder="true" applyAlignment="true" applyProtection="false">
      <alignment horizontal="general" vertical="bottom" textRotation="0" wrapText="true" indent="0" shrinkToFit="false"/>
      <protection locked="true" hidden="false"/>
    </xf>
    <xf numFmtId="164" fontId="178" fillId="24" borderId="119" xfId="0" applyFont="true" applyBorder="true" applyAlignment="false" applyProtection="true">
      <alignment horizontal="general" vertical="bottom" textRotation="0" wrapText="false" indent="0" shrinkToFit="false"/>
      <protection locked="false" hidden="false"/>
    </xf>
    <xf numFmtId="166" fontId="0" fillId="0" borderId="6" xfId="0" applyFont="true" applyBorder="true" applyAlignment="true" applyProtection="false">
      <alignment horizontal="center" vertical="center" textRotation="0" wrapText="true" indent="0" shrinkToFit="false"/>
      <protection locked="true" hidden="false"/>
    </xf>
    <xf numFmtId="164" fontId="0" fillId="31" borderId="17" xfId="0" applyFont="true" applyBorder="true" applyAlignment="false" applyProtection="false">
      <alignment horizontal="general" vertical="bottom" textRotation="0" wrapText="false" indent="0" shrinkToFit="false"/>
      <protection locked="true" hidden="false"/>
    </xf>
    <xf numFmtId="164" fontId="178" fillId="0" borderId="119" xfId="0" applyFont="true" applyBorder="true" applyAlignment="true" applyProtection="true">
      <alignment horizontal="general" vertical="bottom" textRotation="0" wrapText="true" indent="0" shrinkToFit="false"/>
      <protection locked="false" hidden="false"/>
    </xf>
    <xf numFmtId="164" fontId="39" fillId="0" borderId="0" xfId="0" applyFont="true" applyBorder="true" applyAlignment="true" applyProtection="false">
      <alignment horizontal="center" vertical="center"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0" fillId="30" borderId="0" xfId="0" applyFont="false" applyBorder="true" applyAlignment="false" applyProtection="false">
      <alignment horizontal="general" vertical="bottom" textRotation="0" wrapText="false" indent="0" shrinkToFit="false"/>
      <protection locked="true" hidden="false"/>
    </xf>
    <xf numFmtId="164" fontId="0" fillId="31"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79" fillId="42" borderId="120" xfId="0" applyFont="true" applyBorder="true" applyAlignment="true" applyProtection="false">
      <alignment horizontal="left" vertical="center" textRotation="0" wrapText="false" indent="0" shrinkToFit="false"/>
      <protection locked="true" hidden="false"/>
    </xf>
    <xf numFmtId="164" fontId="179" fillId="42" borderId="121" xfId="0" applyFont="true" applyBorder="true" applyAlignment="true" applyProtection="false">
      <alignment horizontal="left" vertical="center" textRotation="0" wrapText="false" indent="0" shrinkToFit="false"/>
      <protection locked="true" hidden="false"/>
    </xf>
    <xf numFmtId="164" fontId="180" fillId="42" borderId="122"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1" fillId="0" borderId="3" xfId="0" applyFont="true" applyBorder="true" applyAlignment="true" applyProtection="false">
      <alignment horizontal="general" vertical="center" textRotation="0" wrapText="true" indent="0" shrinkToFit="false"/>
      <protection locked="true" hidden="false"/>
    </xf>
    <xf numFmtId="164" fontId="181" fillId="43" borderId="123" xfId="0" applyFont="true" applyBorder="true" applyAlignment="true" applyProtection="false">
      <alignment horizontal="left" vertical="center" textRotation="0" wrapText="false" indent="0" shrinkToFit="false"/>
      <protection locked="true" hidden="false"/>
    </xf>
    <xf numFmtId="164" fontId="130" fillId="44" borderId="124" xfId="0" applyFont="true" applyBorder="true" applyAlignment="true" applyProtection="false">
      <alignment horizontal="left" vertical="center" textRotation="0" wrapText="false" indent="0" shrinkToFit="false"/>
      <protection locked="true" hidden="false"/>
    </xf>
    <xf numFmtId="164" fontId="130" fillId="0" borderId="124" xfId="0" applyFont="true" applyBorder="true" applyAlignment="true" applyProtection="false">
      <alignment horizontal="left" vertical="center" textRotation="0" wrapText="false" indent="0" shrinkToFit="false"/>
      <protection locked="true" hidden="false"/>
    </xf>
    <xf numFmtId="164" fontId="181" fillId="43" borderId="125" xfId="0" applyFont="true" applyBorder="true" applyAlignment="true" applyProtection="false">
      <alignment horizontal="left" vertical="center" textRotation="0" wrapText="false" indent="0" shrinkToFit="false"/>
      <protection locked="true" hidden="false"/>
    </xf>
    <xf numFmtId="164" fontId="181" fillId="43" borderId="126" xfId="0" applyFont="true" applyBorder="true" applyAlignment="true" applyProtection="false">
      <alignment horizontal="left" vertical="center" textRotation="0" wrapText="false" indent="0" shrinkToFit="false"/>
      <protection locked="true" hidden="false"/>
    </xf>
    <xf numFmtId="164" fontId="182" fillId="0" borderId="0" xfId="0" applyFont="true" applyBorder="false" applyAlignment="false" applyProtection="false">
      <alignment horizontal="general" vertical="bottom" textRotation="0" wrapText="false" indent="0" shrinkToFit="false"/>
      <protection locked="true" hidden="false"/>
    </xf>
    <xf numFmtId="164" fontId="164" fillId="30" borderId="0" xfId="0" applyFont="true" applyBorder="true" applyAlignment="true" applyProtection="false">
      <alignment horizontal="center" vertical="center" textRotation="0" wrapText="tru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158" fillId="0" borderId="0" xfId="0" applyFont="true" applyBorder="false" applyAlignment="true" applyProtection="false">
      <alignment horizontal="general" vertical="bottom" textRotation="0" wrapText="false" indent="0" shrinkToFit="false"/>
      <protection locked="true" hidden="false"/>
    </xf>
    <xf numFmtId="164" fontId="157" fillId="0" borderId="0" xfId="0" applyFont="true" applyBorder="false" applyAlignment="tru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72" fontId="0" fillId="0" borderId="6" xfId="0" applyFont="false" applyBorder="true" applyAlignment="true" applyProtection="false">
      <alignment horizontal="center" vertical="bottom" textRotation="0" wrapText="false" indent="0" shrinkToFit="false"/>
      <protection locked="true" hidden="false"/>
    </xf>
    <xf numFmtId="174" fontId="0" fillId="0" borderId="6"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6" fontId="0" fillId="0" borderId="7"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72" fontId="0" fillId="0" borderId="6" xfId="0" applyFont="true" applyBorder="true" applyAlignment="true" applyProtection="true">
      <alignment horizontal="center" vertical="center" textRotation="0" wrapText="false" indent="0" shrinkToFit="false"/>
      <protection locked="false" hidden="false"/>
    </xf>
    <xf numFmtId="166" fontId="0" fillId="0" borderId="7" xfId="0" applyFont="true" applyBorder="true" applyAlignment="false" applyProtection="false">
      <alignment horizontal="general" vertical="bottom" textRotation="0" wrapText="false" indent="0" shrinkToFit="false"/>
      <protection locked="true" hidden="false"/>
    </xf>
    <xf numFmtId="166" fontId="0" fillId="0" borderId="7"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true" applyProtection="false">
      <alignment horizontal="left"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72" fontId="0" fillId="0" borderId="6" xfId="0" applyFont="false" applyBorder="true" applyAlignment="true" applyProtection="false">
      <alignment horizontal="center" vertical="center" textRotation="0" wrapText="false" indent="0" shrinkToFit="false"/>
      <protection locked="true" hidden="false"/>
    </xf>
    <xf numFmtId="166" fontId="161" fillId="0" borderId="7" xfId="0" applyFont="true" applyBorder="true" applyAlignment="false" applyProtection="false">
      <alignment horizontal="general" vertical="bottom" textRotation="0" wrapText="false" indent="0" shrinkToFit="false"/>
      <protection locked="true" hidden="false"/>
    </xf>
    <xf numFmtId="164" fontId="161" fillId="0" borderId="8" xfId="0" applyFont="true" applyBorder="true" applyAlignment="true" applyProtection="false">
      <alignment horizontal="left" vertical="center" textRotation="0" wrapText="false" indent="0" shrinkToFit="false"/>
      <protection locked="true" hidden="false"/>
    </xf>
    <xf numFmtId="172" fontId="0" fillId="0" borderId="6" xfId="0" applyFont="true" applyBorder="true" applyAlignment="true" applyProtection="true">
      <alignment horizontal="center" vertical="bottom" textRotation="0" wrapText="false" indent="0" shrinkToFit="false"/>
      <protection locked="false" hidden="false"/>
    </xf>
    <xf numFmtId="166" fontId="0" fillId="0" borderId="7" xfId="0" applyFont="true" applyBorder="true" applyAlignment="true" applyProtection="false">
      <alignment horizontal="general" vertical="center" textRotation="0" wrapText="fals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72" fontId="0" fillId="0" borderId="6"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74" fontId="0" fillId="0" borderId="6" xfId="0" applyFont="false" applyBorder="true" applyAlignment="true" applyProtection="false">
      <alignment horizontal="center" vertical="center" textRotation="0" wrapText="false" indent="0" shrinkToFit="false"/>
      <protection locked="true" hidden="false"/>
    </xf>
    <xf numFmtId="164" fontId="0" fillId="39" borderId="6" xfId="0" applyFont="true" applyBorder="true" applyAlignment="true" applyProtection="false">
      <alignment horizontal="center" vertical="center" textRotation="90" wrapText="false" indent="0" shrinkToFit="false"/>
      <protection locked="true" hidden="false"/>
    </xf>
    <xf numFmtId="164" fontId="0" fillId="39" borderId="6" xfId="0" applyFont="true" applyBorder="true" applyAlignment="false" applyProtection="false">
      <alignment horizontal="general" vertical="bottom" textRotation="0" wrapText="false" indent="0" shrinkToFit="false"/>
      <protection locked="true" hidden="false"/>
    </xf>
    <xf numFmtId="168" fontId="0" fillId="0" borderId="6" xfId="0" applyFont="false" applyBorder="true" applyAlignment="true" applyProtection="false">
      <alignment horizontal="center" vertical="bottom" textRotation="0" wrapText="false" indent="0" shrinkToFit="false"/>
      <protection locked="true" hidden="false"/>
    </xf>
    <xf numFmtId="164" fontId="184" fillId="39" borderId="6" xfId="0" applyFont="true" applyBorder="true" applyAlignment="true" applyProtection="false">
      <alignment horizontal="general" vertical="center" textRotation="0" wrapText="true" indent="0" shrinkToFit="false"/>
      <protection locked="true" hidden="false"/>
    </xf>
    <xf numFmtId="168" fontId="0" fillId="0" borderId="6" xfId="0" applyFont="false" applyBorder="true" applyAlignment="true" applyProtection="false">
      <alignment horizontal="center" vertical="center" textRotation="0" wrapText="false" indent="0" shrinkToFit="false"/>
      <protection locked="true" hidden="false"/>
    </xf>
    <xf numFmtId="164" fontId="0" fillId="39" borderId="8" xfId="0" applyFont="true" applyBorder="true" applyAlignment="true" applyProtection="false">
      <alignment horizontal="center" vertical="center" textRotation="0" wrapText="true" indent="0" shrinkToFit="false"/>
      <protection locked="true" hidden="false"/>
    </xf>
    <xf numFmtId="164" fontId="0" fillId="39" borderId="8" xfId="0" applyFont="true" applyBorder="true" applyAlignment="false" applyProtection="false">
      <alignment horizontal="general" vertical="bottom" textRotation="0" wrapText="false" indent="0" shrinkToFit="false"/>
      <protection locked="true" hidden="false"/>
    </xf>
    <xf numFmtId="164" fontId="184" fillId="39" borderId="8" xfId="0" applyFont="true" applyBorder="true" applyAlignment="true" applyProtection="false">
      <alignment horizontal="left" vertical="center" textRotation="0" wrapText="tru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8" fontId="0" fillId="0" borderId="37" xfId="0" applyFont="false" applyBorder="true" applyAlignment="true" applyProtection="false">
      <alignment horizontal="center" vertical="bottom" textRotation="0" wrapText="false" indent="0" shrinkToFit="false"/>
      <protection locked="true" hidden="false"/>
    </xf>
    <xf numFmtId="164" fontId="39" fillId="0" borderId="127" xfId="0" applyFont="true" applyBorder="true" applyAlignment="false" applyProtection="false">
      <alignment horizontal="general" vertical="bottom" textRotation="0" wrapText="false" indent="0" shrinkToFit="false"/>
      <protection locked="true" hidden="false"/>
    </xf>
    <xf numFmtId="164" fontId="39" fillId="0" borderId="128" xfId="0" applyFont="true" applyBorder="true" applyAlignment="false" applyProtection="false">
      <alignment horizontal="general" vertical="bottom" textRotation="0" wrapText="false" indent="0" shrinkToFit="false"/>
      <protection locked="true" hidden="false"/>
    </xf>
    <xf numFmtId="164" fontId="0" fillId="0" borderId="128" xfId="0" applyFont="false" applyBorder="true" applyAlignment="false" applyProtection="false">
      <alignment horizontal="general" vertical="bottom" textRotation="0" wrapText="false" indent="0" shrinkToFit="false"/>
      <protection locked="true" hidden="false"/>
    </xf>
    <xf numFmtId="164" fontId="0" fillId="0" borderId="127" xfId="0" applyFont="true" applyBorder="true" applyAlignment="false" applyProtection="false">
      <alignment horizontal="general" vertical="bottom" textRotation="0" wrapText="false" indent="0" shrinkToFit="false"/>
      <protection locked="true" hidden="false"/>
    </xf>
    <xf numFmtId="164" fontId="0" fillId="0" borderId="104" xfId="0" applyFont="false" applyBorder="true" applyAlignment="false" applyProtection="false">
      <alignment horizontal="general" vertical="bottom" textRotation="0" wrapText="false" indent="0" shrinkToFit="false"/>
      <protection locked="true" hidden="false"/>
    </xf>
    <xf numFmtId="164" fontId="0" fillId="0" borderId="129" xfId="0" applyFont="true" applyBorder="true" applyAlignment="true" applyProtection="false">
      <alignment horizontal="center" vertical="center" textRotation="0" wrapText="false" indent="0" shrinkToFit="false"/>
      <protection locked="true" hidden="false"/>
    </xf>
    <xf numFmtId="164" fontId="0" fillId="0" borderId="130" xfId="0" applyFont="true" applyBorder="true" applyAlignment="false" applyProtection="false">
      <alignment horizontal="general" vertical="bottom" textRotation="0" wrapText="false" indent="0" shrinkToFit="false"/>
      <protection locked="true" hidden="false"/>
    </xf>
    <xf numFmtId="164" fontId="0" fillId="0" borderId="131" xfId="0" applyFont="false" applyBorder="true" applyAlignment="false" applyProtection="false">
      <alignment horizontal="general" vertical="bottom" textRotation="0" wrapText="false" indent="0" shrinkToFit="false"/>
      <protection locked="true" hidden="false"/>
    </xf>
    <xf numFmtId="164" fontId="0" fillId="0" borderId="132" xfId="0" applyFont="false" applyBorder="true" applyAlignment="false" applyProtection="false">
      <alignment horizontal="general" vertical="bottom" textRotation="0" wrapText="false" indent="0" shrinkToFit="false"/>
      <protection locked="true" hidden="false"/>
    </xf>
    <xf numFmtId="164" fontId="0" fillId="0" borderId="108" xfId="0" applyFont="true" applyBorder="true" applyAlignment="false" applyProtection="false">
      <alignment horizontal="general" vertical="bottom" textRotation="0" wrapText="false" indent="0" shrinkToFit="false"/>
      <protection locked="true" hidden="false"/>
    </xf>
    <xf numFmtId="164" fontId="0" fillId="0" borderId="133" xfId="0" applyFont="false" applyBorder="true" applyAlignment="false" applyProtection="false">
      <alignment horizontal="general" vertical="bottom" textRotation="0" wrapText="false" indent="0" shrinkToFit="false"/>
      <protection locked="true" hidden="false"/>
    </xf>
    <xf numFmtId="164" fontId="0" fillId="0" borderId="108" xfId="0" applyFont="true" applyBorder="true" applyAlignment="true" applyProtection="false">
      <alignment horizontal="left" vertical="bottom" textRotation="0" wrapText="false" indent="0" shrinkToFit="false"/>
      <protection locked="true" hidden="false"/>
    </xf>
    <xf numFmtId="164" fontId="0" fillId="39" borderId="7" xfId="0" applyFont="true" applyBorder="true" applyAlignment="false" applyProtection="false">
      <alignment horizontal="general" vertical="bottom" textRotation="0" wrapText="false" indent="0" shrinkToFit="false"/>
      <protection locked="true" hidden="false"/>
    </xf>
    <xf numFmtId="164" fontId="0" fillId="39" borderId="8" xfId="0" applyFont="true" applyBorder="true" applyAlignment="true" applyProtection="false">
      <alignment horizontal="left" vertical="center" textRotation="0" wrapText="true" indent="0" shrinkToFit="false"/>
      <protection locked="true" hidden="false"/>
    </xf>
    <xf numFmtId="164" fontId="0" fillId="39" borderId="6" xfId="0" applyFont="true" applyBorder="true" applyAlignment="true" applyProtection="false">
      <alignment horizontal="center" vertical="center" textRotation="90" wrapText="true" indent="0" shrinkToFit="false"/>
      <protection locked="true" hidden="false"/>
    </xf>
    <xf numFmtId="164" fontId="0" fillId="0" borderId="134" xfId="0" applyFont="true" applyBorder="true" applyAlignment="false" applyProtection="false">
      <alignment horizontal="general" vertical="bottom" textRotation="0" wrapText="false" indent="0" shrinkToFit="false"/>
      <protection locked="true" hidden="false"/>
    </xf>
    <xf numFmtId="164" fontId="0" fillId="0" borderId="135" xfId="0" applyFont="false" applyBorder="true" applyAlignment="false" applyProtection="false">
      <alignment horizontal="general" vertical="bottom" textRotation="0" wrapText="false" indent="0" shrinkToFit="false"/>
      <protection locked="true" hidden="false"/>
    </xf>
    <xf numFmtId="164" fontId="0" fillId="0" borderId="136" xfId="0" applyFont="false" applyBorder="true" applyAlignment="false" applyProtection="false">
      <alignment horizontal="general" vertical="bottom" textRotation="0" wrapText="false" indent="0" shrinkToFit="false"/>
      <protection locked="true" hidden="false"/>
    </xf>
    <xf numFmtId="164" fontId="0" fillId="0" borderId="127" xfId="0" applyFont="true" applyBorder="true" applyAlignment="true" applyProtection="false">
      <alignment horizontal="center" vertical="center" textRotation="0" wrapText="false" indent="0" shrinkToFit="false"/>
      <protection locked="true" hidden="false"/>
    </xf>
    <xf numFmtId="164" fontId="0" fillId="0" borderId="130" xfId="0" applyFont="true" applyBorder="true" applyAlignment="true" applyProtection="false">
      <alignment horizontal="left" vertical="bottom" textRotation="0" wrapText="false" indent="0" shrinkToFit="false"/>
      <protection locked="true" hidden="false"/>
    </xf>
    <xf numFmtId="164" fontId="0" fillId="39" borderId="34" xfId="0" applyFont="tru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true" applyProtection="false">
      <alignment horizontal="left" vertical="center" textRotation="0" wrapText="true" indent="0" shrinkToFit="false"/>
      <protection locked="true" hidden="false"/>
    </xf>
    <xf numFmtId="168" fontId="0" fillId="0" borderId="34" xfId="0" applyFont="false" applyBorder="true" applyAlignment="true" applyProtection="false">
      <alignment horizontal="center" vertical="center" textRotation="0" wrapText="false" indent="0" shrinkToFit="false"/>
      <protection locked="true" hidden="false"/>
    </xf>
    <xf numFmtId="164" fontId="0" fillId="0" borderId="137" xfId="0" applyFont="true" applyBorder="true" applyAlignment="true" applyProtection="false">
      <alignment horizontal="center" vertical="center" textRotation="0" wrapText="false" indent="0" shrinkToFit="false"/>
      <protection locked="true" hidden="false"/>
    </xf>
    <xf numFmtId="164" fontId="0" fillId="39" borderId="6" xfId="0" applyFont="true" applyBorder="true" applyAlignment="true" applyProtection="false">
      <alignment horizontal="left" vertical="center" textRotation="0" wrapText="true" indent="0" shrinkToFit="false"/>
      <protection locked="true" hidden="false"/>
    </xf>
    <xf numFmtId="164" fontId="0" fillId="39" borderId="8" xfId="0" applyFont="true" applyBorder="true" applyAlignment="true" applyProtection="false">
      <alignment horizontal="general" vertical="center" textRotation="0" wrapText="true" indent="0" shrinkToFit="false"/>
      <protection locked="true" hidden="false"/>
    </xf>
    <xf numFmtId="164" fontId="0" fillId="0" borderId="37" xfId="0" applyFont="false" applyBorder="true" applyAlignment="true" applyProtection="false">
      <alignment horizontal="center" vertical="center" textRotation="90" wrapText="true" indent="0" shrinkToFit="false"/>
      <protection locked="true" hidden="false"/>
    </xf>
    <xf numFmtId="164" fontId="0" fillId="0" borderId="37" xfId="0" applyFont="false" applyBorder="true" applyAlignment="true" applyProtection="false">
      <alignment horizontal="left" vertical="center" textRotation="0" wrapText="true" indent="0" shrinkToFit="false"/>
      <protection locked="true" hidden="false"/>
    </xf>
    <xf numFmtId="168" fontId="0" fillId="0" borderId="37" xfId="0" applyFont="false" applyBorder="true" applyAlignment="true" applyProtection="false">
      <alignment horizontal="center" vertical="center" textRotation="0" wrapText="false" indent="0" shrinkToFit="false"/>
      <protection locked="true" hidden="false"/>
    </xf>
    <xf numFmtId="164" fontId="0" fillId="39" borderId="34" xfId="0" applyFont="true" applyBorder="true" applyAlignment="true" applyProtection="false">
      <alignment horizontal="left" vertical="center" textRotation="0" wrapText="false" indent="0" shrinkToFit="false"/>
      <protection locked="true" hidden="false"/>
    </xf>
    <xf numFmtId="164" fontId="0" fillId="39" borderId="8"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7" xfId="0" applyFont="false" applyBorder="true" applyAlignment="true" applyProtection="false">
      <alignment horizontal="left" vertical="center" textRotation="0" wrapText="false" indent="0" shrinkToFit="false"/>
      <protection locked="true" hidden="false"/>
    </xf>
    <xf numFmtId="164" fontId="0" fillId="0" borderId="34" xfId="0" applyFont="false" applyBorder="true" applyAlignment="true" applyProtection="false">
      <alignment horizontal="left" vertical="center" textRotation="0" wrapText="false" indent="0" shrinkToFit="false"/>
      <protection locked="true" hidden="false"/>
    </xf>
    <xf numFmtId="164" fontId="0" fillId="39" borderId="6"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90" wrapText="tru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8" fontId="0" fillId="0" borderId="34"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center" textRotation="90" wrapText="false" indent="0" shrinkToFit="false"/>
      <protection locked="true" hidden="false"/>
    </xf>
    <xf numFmtId="164" fontId="0" fillId="39" borderId="7" xfId="0" applyFont="true" applyBorder="true" applyAlignment="true" applyProtection="false">
      <alignment horizontal="left" vertical="center" textRotation="0" wrapText="false" indent="0" shrinkToFit="false"/>
      <protection locked="true" hidden="false"/>
    </xf>
    <xf numFmtId="166" fontId="0" fillId="0" borderId="6" xfId="0" applyFont="true" applyBorder="true" applyAlignment="true" applyProtection="false">
      <alignment horizontal="center" vertical="center" textRotation="0" wrapText="false" indent="0" shrinkToFit="false"/>
      <protection locked="true" hidden="false"/>
    </xf>
    <xf numFmtId="164" fontId="161" fillId="39" borderId="6" xfId="0" applyFont="true" applyBorder="true" applyAlignment="false" applyProtection="false">
      <alignment horizontal="general" vertical="bottom" textRotation="0" wrapText="false" indent="0" shrinkToFit="false"/>
      <protection locked="true" hidden="false"/>
    </xf>
    <xf numFmtId="164" fontId="184" fillId="39" borderId="6" xfId="0" applyFont="true" applyBorder="true" applyAlignment="false" applyProtection="false">
      <alignment horizontal="general" vertical="bottom" textRotation="0" wrapText="false" indent="0" shrinkToFit="false"/>
      <protection locked="true" hidden="false"/>
    </xf>
    <xf numFmtId="164" fontId="161" fillId="39" borderId="8" xfId="0" applyFont="true" applyBorder="true" applyAlignment="false" applyProtection="false">
      <alignment horizontal="general" vertical="bottom"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4" fontId="0" fillId="24" borderId="6" xfId="0" applyFont="false" applyBorder="true" applyAlignment="true" applyProtection="false">
      <alignment horizontal="center" vertical="bottom" textRotation="0" wrapText="false" indent="0" shrinkToFit="false"/>
      <protection locked="true" hidden="false"/>
    </xf>
    <xf numFmtId="169" fontId="0" fillId="45" borderId="6" xfId="0" applyFont="fals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left" vertical="center" textRotation="0" wrapText="false" indent="0" shrinkToFit="false"/>
      <protection locked="true" hidden="false"/>
    </xf>
    <xf numFmtId="164" fontId="0" fillId="0" borderId="8" xfId="0" applyFont="false" applyBorder="true" applyAlignment="true" applyProtection="false">
      <alignment horizontal="left" vertical="bottom" textRotation="0" wrapText="false" indent="0" shrinkToFit="false"/>
      <protection locked="true" hidden="false"/>
    </xf>
    <xf numFmtId="168" fontId="0" fillId="0" borderId="6" xfId="0" applyFont="true" applyBorder="true" applyAlignment="true" applyProtection="true">
      <alignment horizontal="center" vertical="center" textRotation="0" wrapText="false" indent="0" shrinkToFit="false"/>
      <protection locked="false" hidden="false"/>
    </xf>
    <xf numFmtId="164" fontId="161"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84"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8" fontId="0" fillId="0" borderId="6" xfId="0" applyFont="false" applyBorder="true" applyAlignment="true" applyProtection="false">
      <alignment horizontal="center" vertical="center" textRotation="0" wrapText="true" indent="0" shrinkToFit="false"/>
      <protection locked="true" hidden="false"/>
    </xf>
    <xf numFmtId="164" fontId="0" fillId="0" borderId="8" xfId="0" applyFont="fals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true" applyProtection="true">
      <alignment horizontal="center" vertical="center" textRotation="0" wrapText="false" indent="0" shrinkToFit="false"/>
      <protection locked="false" hidden="false"/>
    </xf>
    <xf numFmtId="164" fontId="23" fillId="25" borderId="138" xfId="0" applyFont="true" applyBorder="true" applyAlignment="true" applyProtection="false">
      <alignment horizontal="general" vertical="center" textRotation="0" wrapText="true" indent="0" shrinkToFit="false"/>
      <protection locked="true" hidden="false"/>
    </xf>
    <xf numFmtId="164" fontId="22" fillId="25" borderId="139" xfId="0" applyFont="true" applyBorder="true" applyAlignment="true" applyProtection="false">
      <alignment horizontal="center" vertical="center" textRotation="0" wrapText="true" indent="0" shrinkToFit="false"/>
      <protection locked="true" hidden="false"/>
    </xf>
    <xf numFmtId="164" fontId="22" fillId="25" borderId="140" xfId="0" applyFont="true" applyBorder="true" applyAlignment="true" applyProtection="false">
      <alignment horizontal="center" vertical="center" textRotation="0" wrapText="true" indent="0" shrinkToFit="false"/>
      <protection locked="true" hidden="false"/>
    </xf>
    <xf numFmtId="164" fontId="22" fillId="25" borderId="1" xfId="0" applyFont="true" applyBorder="true" applyAlignment="true" applyProtection="false">
      <alignment horizontal="center" vertical="center" textRotation="0" wrapText="true" indent="0" shrinkToFit="false"/>
      <protection locked="true" hidden="false"/>
    </xf>
    <xf numFmtId="164" fontId="22" fillId="25" borderId="141" xfId="0" applyFont="true" applyBorder="true" applyAlignment="true" applyProtection="false">
      <alignment horizontal="center" vertical="center" textRotation="0" wrapText="true" indent="0" shrinkToFit="false"/>
      <protection locked="true" hidden="false"/>
    </xf>
    <xf numFmtId="164" fontId="22" fillId="46" borderId="142" xfId="0" applyFont="true" applyBorder="true" applyAlignment="true" applyProtection="false">
      <alignment horizontal="center" vertical="center" textRotation="0" wrapText="true" indent="0" shrinkToFit="false"/>
      <protection locked="true" hidden="false"/>
    </xf>
    <xf numFmtId="164" fontId="73" fillId="46" borderId="41" xfId="0" applyFont="true" applyBorder="true" applyAlignment="true" applyProtection="false">
      <alignment horizontal="center" vertical="center" textRotation="0" wrapText="true" indent="0" shrinkToFit="false"/>
      <protection locked="true" hidden="false"/>
    </xf>
    <xf numFmtId="169" fontId="73" fillId="46" borderId="65" xfId="0" applyFont="true" applyBorder="true" applyAlignment="true" applyProtection="false">
      <alignment horizontal="center" vertical="center" textRotation="0" wrapText="true" indent="0" shrinkToFit="false"/>
      <protection locked="true" hidden="false"/>
    </xf>
    <xf numFmtId="164" fontId="23" fillId="46" borderId="65" xfId="0" applyFont="true" applyBorder="true" applyAlignment="true" applyProtection="false">
      <alignment horizontal="center" vertical="center" textRotation="0" wrapText="true" indent="0" shrinkToFit="false"/>
      <protection locked="true" hidden="false"/>
    </xf>
    <xf numFmtId="164" fontId="23" fillId="47" borderId="32" xfId="0" applyFont="true" applyBorder="true" applyAlignment="true" applyProtection="false">
      <alignment horizontal="center" vertical="center" textRotation="0" wrapText="true" indent="0" shrinkToFit="false"/>
      <protection locked="true" hidden="false"/>
    </xf>
    <xf numFmtId="164" fontId="23" fillId="47" borderId="66" xfId="0" applyFont="true" applyBorder="true" applyAlignment="true" applyProtection="false">
      <alignment horizontal="center" vertical="center" textRotation="0" wrapText="true" indent="0" shrinkToFit="false"/>
      <protection locked="true" hidden="false"/>
    </xf>
    <xf numFmtId="169" fontId="23" fillId="46" borderId="51" xfId="0" applyFont="true" applyBorder="true" applyAlignment="true" applyProtection="false">
      <alignment horizontal="center" vertical="center" textRotation="0" wrapText="true" indent="0" shrinkToFit="false"/>
      <protection locked="true" hidden="false"/>
    </xf>
    <xf numFmtId="164" fontId="23" fillId="46" borderId="46" xfId="0" applyFont="true" applyBorder="true" applyAlignment="true" applyProtection="false">
      <alignment horizontal="center" vertical="center" textRotation="0" wrapText="true" indent="0" shrinkToFit="false"/>
      <protection locked="true" hidden="false"/>
    </xf>
    <xf numFmtId="169" fontId="23" fillId="46" borderId="6" xfId="0" applyFont="true" applyBorder="true" applyAlignment="true" applyProtection="false">
      <alignment horizontal="center" vertical="center" textRotation="0" wrapText="true" indent="0" shrinkToFit="false"/>
      <protection locked="true" hidden="false"/>
    </xf>
    <xf numFmtId="164" fontId="23" fillId="46" borderId="7" xfId="0" applyFont="true" applyBorder="true" applyAlignment="true" applyProtection="false">
      <alignment horizontal="center" vertical="center" textRotation="0" wrapText="true" indent="0" shrinkToFit="false"/>
      <protection locked="true" hidden="false"/>
    </xf>
    <xf numFmtId="164" fontId="23" fillId="47" borderId="7" xfId="0" applyFont="true" applyBorder="true" applyAlignment="true" applyProtection="false">
      <alignment horizontal="center" vertical="center" textRotation="0" wrapText="true" indent="0" shrinkToFit="false"/>
      <protection locked="true" hidden="false"/>
    </xf>
    <xf numFmtId="164" fontId="23" fillId="47" borderId="50" xfId="0" applyFont="true" applyBorder="true" applyAlignment="true" applyProtection="false">
      <alignment horizontal="center" vertical="center" textRotation="0" wrapText="true" indent="0" shrinkToFit="false"/>
      <protection locked="true" hidden="false"/>
    </xf>
    <xf numFmtId="169" fontId="23" fillId="46" borderId="78" xfId="0" applyFont="true" applyBorder="true" applyAlignment="true" applyProtection="false">
      <alignment horizontal="center" vertical="center" textRotation="0" wrapText="true" indent="0" shrinkToFit="false"/>
      <protection locked="true" hidden="false"/>
    </xf>
    <xf numFmtId="164" fontId="23" fillId="47" borderId="34" xfId="0" applyFont="true" applyBorder="true" applyAlignment="true" applyProtection="false">
      <alignment horizontal="center" vertical="center" textRotation="0" wrapText="true" indent="0" shrinkToFit="false"/>
      <protection locked="true" hidden="false"/>
    </xf>
    <xf numFmtId="164" fontId="97" fillId="46" borderId="46" xfId="0" applyFont="true" applyBorder="true" applyAlignment="true" applyProtection="false">
      <alignment horizontal="center" vertical="center" textRotation="0" wrapText="true" indent="0" shrinkToFit="false"/>
      <protection locked="true" hidden="false"/>
    </xf>
    <xf numFmtId="164" fontId="97" fillId="46" borderId="63" xfId="0" applyFont="true" applyBorder="true" applyAlignment="true" applyProtection="false">
      <alignment horizontal="center" vertical="center" textRotation="0" wrapText="true" indent="0" shrinkToFit="false"/>
      <protection locked="true" hidden="false"/>
    </xf>
    <xf numFmtId="164" fontId="23" fillId="46" borderId="16" xfId="0" applyFont="true" applyBorder="true" applyAlignment="true" applyProtection="false">
      <alignment horizontal="center" vertical="center" textRotation="0" wrapText="true" indent="0" shrinkToFit="false"/>
      <protection locked="true" hidden="false"/>
    </xf>
    <xf numFmtId="164" fontId="23" fillId="47" borderId="69" xfId="0" applyFont="true" applyBorder="true" applyAlignment="true" applyProtection="false">
      <alignment horizontal="center" vertical="center" textRotation="0" wrapText="true" indent="0" shrinkToFit="false"/>
      <protection locked="true" hidden="false"/>
    </xf>
    <xf numFmtId="164" fontId="23" fillId="47" borderId="70" xfId="0" applyFont="true" applyBorder="true" applyAlignment="true" applyProtection="false">
      <alignment horizontal="center" vertical="center" textRotation="0" wrapText="true" indent="0" shrinkToFit="false"/>
      <protection locked="true" hidden="false"/>
    </xf>
    <xf numFmtId="164" fontId="23" fillId="46" borderId="4" xfId="0" applyFont="true" applyBorder="true" applyAlignment="true" applyProtection="false">
      <alignment horizontal="center" vertical="center" textRotation="0" wrapText="true" indent="0" shrinkToFit="false"/>
      <protection locked="true" hidden="false"/>
    </xf>
    <xf numFmtId="164" fontId="22" fillId="28" borderId="143" xfId="0" applyFont="true" applyBorder="true" applyAlignment="true" applyProtection="false">
      <alignment horizontal="center" vertical="center" textRotation="0" wrapText="true" indent="0" shrinkToFit="false"/>
      <protection locked="true" hidden="false"/>
    </xf>
    <xf numFmtId="164" fontId="23" fillId="28" borderId="41" xfId="0" applyFont="true" applyBorder="true" applyAlignment="true" applyProtection="false">
      <alignment horizontal="center" vertical="center" textRotation="0" wrapText="true" indent="0" shrinkToFit="false"/>
      <protection locked="true" hidden="false"/>
    </xf>
    <xf numFmtId="168" fontId="23" fillId="46" borderId="53" xfId="0" applyFont="true" applyBorder="true" applyAlignment="true" applyProtection="false">
      <alignment horizontal="center" vertical="center" textRotation="0" wrapText="true" indent="0" shrinkToFit="false"/>
      <protection locked="true" hidden="false"/>
    </xf>
    <xf numFmtId="164" fontId="23" fillId="28" borderId="53" xfId="0" applyFont="true" applyBorder="true" applyAlignment="true" applyProtection="false">
      <alignment horizontal="center" vertical="center" textRotation="0" wrapText="true" indent="0" shrinkToFit="false"/>
      <protection locked="true" hidden="false"/>
    </xf>
    <xf numFmtId="164" fontId="23" fillId="28" borderId="46" xfId="0" applyFont="true" applyBorder="true" applyAlignment="true" applyProtection="false">
      <alignment horizontal="center" vertical="center" textRotation="0" wrapText="true" indent="0" shrinkToFit="false"/>
      <protection locked="true" hidden="false"/>
    </xf>
    <xf numFmtId="164" fontId="64" fillId="24" borderId="6" xfId="0" applyFont="true" applyBorder="true" applyAlignment="true" applyProtection="false">
      <alignment horizontal="general" vertical="center" textRotation="0" wrapText="true" indent="0" shrinkToFit="false"/>
      <protection locked="true" hidden="false"/>
    </xf>
    <xf numFmtId="164" fontId="15" fillId="30" borderId="68" xfId="0" applyFont="true" applyBorder="true" applyAlignment="true" applyProtection="false">
      <alignment horizontal="center" vertical="center" textRotation="0" wrapText="true" indent="0" shrinkToFit="false"/>
      <protection locked="true" hidden="false"/>
    </xf>
    <xf numFmtId="164" fontId="23" fillId="28" borderId="63" xfId="0" applyFont="true" applyBorder="true" applyAlignment="true" applyProtection="false">
      <alignment horizontal="center" vertical="center" textRotation="0" wrapText="true" indent="0" shrinkToFit="false"/>
      <protection locked="true" hidden="false"/>
    </xf>
    <xf numFmtId="164" fontId="23" fillId="47" borderId="14" xfId="0" applyFont="true" applyBorder="true" applyAlignment="true" applyProtection="false">
      <alignment horizontal="center" vertical="center" textRotation="0" wrapText="true" indent="0" shrinkToFit="false"/>
      <protection locked="true" hidden="false"/>
    </xf>
    <xf numFmtId="164" fontId="64" fillId="24" borderId="68" xfId="0" applyFont="true" applyBorder="true" applyAlignment="true" applyProtection="false">
      <alignment horizontal="general" vertical="center" textRotation="0" wrapText="true" indent="0" shrinkToFit="false"/>
      <protection locked="true" hidden="false"/>
    </xf>
    <xf numFmtId="164" fontId="23" fillId="47" borderId="37" xfId="0" applyFont="true" applyBorder="true" applyAlignment="true" applyProtection="false">
      <alignment horizontal="center" vertical="center" textRotation="0" wrapText="true" indent="0" shrinkToFit="false"/>
      <protection locked="true" hidden="false"/>
    </xf>
    <xf numFmtId="164" fontId="22" fillId="48" borderId="26" xfId="0" applyFont="true" applyBorder="true" applyAlignment="true" applyProtection="false">
      <alignment horizontal="center" vertical="center" textRotation="0" wrapText="true" indent="0" shrinkToFit="false"/>
      <protection locked="true" hidden="false"/>
    </xf>
    <xf numFmtId="164" fontId="23" fillId="48" borderId="41" xfId="0" applyFont="true" applyBorder="true" applyAlignment="true" applyProtection="false">
      <alignment horizontal="center" vertical="center" textRotation="0" wrapText="true" indent="0" shrinkToFit="false"/>
      <protection locked="true" hidden="false"/>
    </xf>
    <xf numFmtId="168" fontId="23" fillId="46" borderId="65" xfId="0" applyFont="true" applyBorder="true" applyAlignment="true" applyProtection="false">
      <alignment horizontal="center" vertical="center" textRotation="0" wrapText="true" indent="0" shrinkToFit="false"/>
      <protection locked="true" hidden="false"/>
    </xf>
    <xf numFmtId="164" fontId="23" fillId="48" borderId="65" xfId="0" applyFont="true" applyBorder="true" applyAlignment="true" applyProtection="false">
      <alignment horizontal="center" vertical="center" textRotation="0" wrapText="true" indent="0" shrinkToFit="false"/>
      <protection locked="true" hidden="false"/>
    </xf>
    <xf numFmtId="164" fontId="23" fillId="47" borderId="72" xfId="0" applyFont="true" applyBorder="true" applyAlignment="true" applyProtection="false">
      <alignment horizontal="center" vertical="center" textRotation="0" wrapText="true" indent="0" shrinkToFit="false"/>
      <protection locked="true" hidden="false"/>
    </xf>
    <xf numFmtId="164" fontId="64" fillId="24" borderId="19" xfId="0" applyFont="true" applyBorder="true" applyAlignment="true" applyProtection="false">
      <alignment horizontal="general" vertical="center" textRotation="0" wrapText="true" indent="0" shrinkToFit="false"/>
      <protection locked="true" hidden="false"/>
    </xf>
    <xf numFmtId="164" fontId="15" fillId="30" borderId="65" xfId="0" applyFont="true" applyBorder="true" applyAlignment="true" applyProtection="false">
      <alignment horizontal="center" vertical="center" textRotation="0" wrapText="true" indent="0" shrinkToFit="false"/>
      <protection locked="true" hidden="false"/>
    </xf>
    <xf numFmtId="164" fontId="23" fillId="47" borderId="144" xfId="0" applyFont="true" applyBorder="true" applyAlignment="true" applyProtection="false">
      <alignment horizontal="center" vertical="center" textRotation="0" wrapText="true" indent="0" shrinkToFit="false"/>
      <protection locked="true" hidden="false"/>
    </xf>
    <xf numFmtId="164" fontId="23" fillId="48" borderId="46" xfId="0" applyFont="true" applyBorder="true" applyAlignment="true" applyProtection="false">
      <alignment horizontal="center" vertical="center" textRotation="0" wrapText="true" indent="0" shrinkToFit="false"/>
      <protection locked="true" hidden="false"/>
    </xf>
    <xf numFmtId="164" fontId="97" fillId="48" borderId="67" xfId="0" applyFont="true" applyBorder="true" applyAlignment="true" applyProtection="false">
      <alignment horizontal="center" vertical="center" textRotation="0" wrapText="true" indent="0" shrinkToFit="false"/>
      <protection locked="true" hidden="false"/>
    </xf>
    <xf numFmtId="164" fontId="23" fillId="46" borderId="68" xfId="0" applyFont="true" applyBorder="true" applyAlignment="true" applyProtection="false">
      <alignment horizontal="center" vertical="center" textRotation="0" wrapText="true" indent="0" shrinkToFit="false"/>
      <protection locked="true" hidden="false"/>
    </xf>
    <xf numFmtId="164" fontId="23" fillId="48" borderId="68" xfId="0" applyFont="true" applyBorder="true" applyAlignment="true" applyProtection="false">
      <alignment horizontal="center" vertical="center" textRotation="0" wrapText="true" indent="0" shrinkToFit="false"/>
      <protection locked="true" hidden="false"/>
    </xf>
    <xf numFmtId="164" fontId="22" fillId="25" borderId="145" xfId="0" applyFont="true" applyBorder="true" applyAlignment="true" applyProtection="false">
      <alignment horizontal="center" vertical="center" textRotation="0" wrapText="true" indent="0" shrinkToFit="false"/>
      <protection locked="true" hidden="false"/>
    </xf>
    <xf numFmtId="169" fontId="22" fillId="25" borderId="146" xfId="0" applyFont="true" applyBorder="true" applyAlignment="true" applyProtection="false">
      <alignment horizontal="center" vertical="center" textRotation="0" wrapText="true" indent="0" shrinkToFit="false"/>
      <protection locked="true" hidden="false"/>
    </xf>
    <xf numFmtId="164" fontId="22" fillId="49" borderId="51" xfId="0" applyFont="true" applyBorder="true" applyAlignment="true" applyProtection="false">
      <alignment horizontal="center" vertical="center" textRotation="0" wrapText="true" indent="0" shrinkToFit="false"/>
      <protection locked="true" hidden="false"/>
    </xf>
    <xf numFmtId="164" fontId="23" fillId="49" borderId="5" xfId="0" applyFont="true" applyBorder="true" applyAlignment="true" applyProtection="false">
      <alignment horizontal="center" vertical="center" textRotation="0" wrapText="true" indent="0" shrinkToFit="false"/>
      <protection locked="true" hidden="false"/>
    </xf>
    <xf numFmtId="169" fontId="23" fillId="46" borderId="5" xfId="0" applyFont="true" applyBorder="true" applyAlignment="true" applyProtection="false">
      <alignment horizontal="center" vertical="center" textRotation="0" wrapText="true" indent="0" shrinkToFit="false"/>
      <protection locked="true" hidden="false"/>
    </xf>
    <xf numFmtId="164" fontId="23" fillId="47" borderId="92" xfId="0" applyFont="true" applyBorder="true" applyAlignment="true" applyProtection="false">
      <alignment horizontal="center" vertical="center" textRotation="0" wrapText="true" indent="0" shrinkToFit="false"/>
      <protection locked="true" hidden="false"/>
    </xf>
    <xf numFmtId="164" fontId="23" fillId="47" borderId="27" xfId="0" applyFont="true" applyBorder="true" applyAlignment="true" applyProtection="false">
      <alignment horizontal="center" vertical="center" textRotation="0" wrapText="true" indent="0" shrinkToFit="false"/>
      <protection locked="true" hidden="false"/>
    </xf>
    <xf numFmtId="164" fontId="73" fillId="47" borderId="27" xfId="0" applyFont="true" applyBorder="true" applyAlignment="true" applyProtection="false">
      <alignment horizontal="center" vertical="center" textRotation="0" wrapText="true" indent="0" shrinkToFit="false"/>
      <protection locked="true" hidden="false"/>
    </xf>
    <xf numFmtId="164" fontId="73" fillId="49" borderId="1" xfId="0" applyFont="true" applyBorder="true" applyAlignment="true" applyProtection="false">
      <alignment horizontal="center" vertical="center" textRotation="0" wrapText="true" indent="0" shrinkToFit="false"/>
      <protection locked="true" hidden="false"/>
    </xf>
    <xf numFmtId="164" fontId="23" fillId="24" borderId="1" xfId="0" applyFont="true" applyBorder="true" applyAlignment="true" applyProtection="false">
      <alignment horizontal="center" vertical="center" textRotation="0" wrapText="true" indent="0" shrinkToFit="false"/>
      <protection locked="true" hidden="false"/>
    </xf>
    <xf numFmtId="164" fontId="23" fillId="47" borderId="26" xfId="0" applyFont="true" applyBorder="true" applyAlignment="true" applyProtection="false">
      <alignment horizontal="center" vertical="center" textRotation="0" wrapText="true" indent="0" shrinkToFit="false"/>
      <protection locked="true" hidden="false"/>
    </xf>
    <xf numFmtId="169" fontId="22" fillId="25"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right" vertical="bottom" textRotation="90" wrapText="false" indent="0" shrinkToFit="false"/>
      <protection locked="true" hidden="false"/>
    </xf>
    <xf numFmtId="164" fontId="187" fillId="19" borderId="1" xfId="38" applyFont="true" applyBorder="true" applyAlignment="fals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right" vertical="center" textRotation="9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5" fillId="5" borderId="1" xfId="24" applyFont="true" applyBorder="true" applyAlignment="true" applyProtection="false">
      <alignment horizontal="center" vertical="center" textRotation="90" wrapText="true" indent="0" shrinkToFit="false"/>
      <protection locked="true" hidden="false"/>
    </xf>
    <xf numFmtId="164" fontId="0" fillId="0" borderId="52" xfId="0" applyFont="true" applyBorder="true" applyAlignment="false" applyProtection="false">
      <alignment horizontal="general" vertical="bottom" textRotation="0" wrapText="false" indent="0" shrinkToFit="false"/>
      <protection locked="true" hidden="false"/>
    </xf>
    <xf numFmtId="164" fontId="130" fillId="2" borderId="60" xfId="21" applyFont="true" applyBorder="true" applyAlignment="true" applyProtection="true">
      <alignment horizontal="left" vertical="bottom" textRotation="0" wrapText="false" indent="0" shrinkToFit="false"/>
      <protection locked="true" hidden="false"/>
    </xf>
    <xf numFmtId="164" fontId="130" fillId="2" borderId="83" xfId="21" applyFont="true" applyBorder="true" applyAlignment="true" applyProtection="true">
      <alignment horizontal="center" vertical="bottom" textRotation="0" wrapText="false" indent="0" shrinkToFit="false"/>
      <protection locked="true" hidden="false"/>
    </xf>
    <xf numFmtId="164" fontId="0" fillId="0" borderId="61" xfId="0" applyFont="false" applyBorder="true" applyAlignment="false" applyProtection="false">
      <alignment horizontal="general" vertical="bottom" textRotation="0" wrapText="false" indent="0" shrinkToFit="false"/>
      <protection locked="true" hidden="false"/>
    </xf>
    <xf numFmtId="169" fontId="5" fillId="5" borderId="1" xfId="24" applyFont="false" applyBorder="true" applyAlignment="false" applyProtection="false">
      <alignment horizontal="center" vertical="center" textRotation="0" wrapText="tru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6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center" vertical="center" textRotation="0" wrapText="true" indent="0" shrinkToFit="false"/>
      <protection locked="true" hidden="false"/>
    </xf>
    <xf numFmtId="171" fontId="0" fillId="0" borderId="6" xfId="19" applyFont="true" applyBorder="true" applyAlignment="true" applyProtection="true">
      <alignment horizontal="center" vertical="center" textRotation="0" wrapText="true" indent="0" shrinkToFit="false"/>
      <protection locked="true" hidden="false"/>
    </xf>
    <xf numFmtId="171" fontId="0" fillId="0" borderId="7" xfId="19" applyFont="true" applyBorder="true" applyAlignment="true" applyProtection="true">
      <alignment horizontal="center" vertical="center" textRotation="0" wrapText="true" indent="0" shrinkToFit="false"/>
      <protection locked="true" hidden="false"/>
    </xf>
    <xf numFmtId="164" fontId="0" fillId="0" borderId="16" xfId="0" applyFont="true" applyBorder="true" applyAlignment="true" applyProtection="false">
      <alignment horizontal="center" vertical="bottom" textRotation="0" wrapText="tru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9" fontId="0" fillId="0" borderId="15" xfId="0" applyFont="false" applyBorder="true" applyAlignment="true" applyProtection="false">
      <alignment horizontal="right" vertical="top" textRotation="0" wrapText="false" indent="0" shrinkToFit="false"/>
      <protection locked="true" hidden="false"/>
    </xf>
    <xf numFmtId="169" fontId="0" fillId="0" borderId="8" xfId="0" applyFont="false" applyBorder="true" applyAlignment="true" applyProtection="false">
      <alignment horizontal="center" vertical="center" textRotation="0" wrapText="false" indent="0" shrinkToFit="false"/>
      <protection locked="true" hidden="false"/>
    </xf>
    <xf numFmtId="169" fontId="4" fillId="2" borderId="6" xfId="21" applyFont="false" applyBorder="true" applyAlignment="true" applyProtection="true">
      <alignment horizontal="center"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188" fillId="0" borderId="0" xfId="0" applyFont="true" applyBorder="true" applyAlignment="true" applyProtection="false">
      <alignment horizontal="left" vertical="bottom" textRotation="0" wrapText="true" indent="0" shrinkToFit="false"/>
      <protection locked="true" hidden="false"/>
    </xf>
    <xf numFmtId="164" fontId="0" fillId="0" borderId="3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9" fontId="0" fillId="0" borderId="0" xfId="0" applyFont="true" applyBorder="true" applyAlignment="true" applyProtection="false">
      <alignment horizontal="general" vertical="top" textRotation="0" wrapText="true" indent="0" shrinkToFit="false"/>
      <protection locked="true" hidden="false"/>
    </xf>
    <xf numFmtId="171" fontId="0" fillId="0" borderId="0" xfId="19" applyFont="false" applyBorder="true" applyAlignment="false" applyProtection="true">
      <alignment horizontal="general" vertical="bottom" textRotation="0" wrapText="false" indent="0" shrinkToFit="false"/>
      <protection locked="true" hidden="false"/>
    </xf>
    <xf numFmtId="164" fontId="188" fillId="0" borderId="0" xfId="0" applyFont="true" applyBorder="true" applyAlignment="true" applyProtection="false">
      <alignment horizontal="general" vertical="bottom" textRotation="0" wrapText="false" indent="0" shrinkToFit="false"/>
      <protection locked="true" hidden="false"/>
    </xf>
    <xf numFmtId="164" fontId="0" fillId="0" borderId="30" xfId="0" applyFont="true" applyBorder="true" applyAlignment="true" applyProtection="false">
      <alignment horizontal="right" vertical="bottom" textRotation="0" wrapText="tru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4" fontId="0" fillId="0" borderId="33" xfId="0" applyFont="false" applyBorder="true" applyAlignment="true" applyProtection="false">
      <alignment horizontal="center" vertical="center" textRotation="0" wrapText="false" indent="0" shrinkToFit="false"/>
      <protection locked="true" hidden="false"/>
    </xf>
    <xf numFmtId="171" fontId="0" fillId="0" borderId="6" xfId="19" applyFont="false" applyBorder="true" applyAlignment="true" applyProtection="true">
      <alignment horizontal="general" vertical="center" textRotation="0" wrapText="false" indent="0" shrinkToFit="false"/>
      <protection locked="true" hidden="false"/>
    </xf>
    <xf numFmtId="171" fontId="0" fillId="0" borderId="33" xfId="19" applyFont="false" applyBorder="true" applyAlignment="true" applyProtection="true">
      <alignment horizontal="general" vertical="center" textRotation="0" wrapText="false" indent="0" shrinkToFit="false"/>
      <protection locked="true" hidden="false"/>
    </xf>
    <xf numFmtId="164" fontId="0" fillId="0" borderId="30" xfId="0" applyFont="false" applyBorder="true" applyAlignment="true" applyProtection="false">
      <alignment horizontal="right" vertical="bottom" textRotation="0" wrapText="false" indent="0" shrinkToFit="false"/>
      <protection locked="true" hidden="false"/>
    </xf>
    <xf numFmtId="171" fontId="0" fillId="0" borderId="6" xfId="19" applyFont="true" applyBorder="true" applyAlignment="true" applyProtection="true">
      <alignment horizontal="center" vertical="center"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9" fontId="0" fillId="0" borderId="33" xfId="0" applyFont="false" applyBorder="true" applyAlignment="true" applyProtection="false">
      <alignment horizontal="right" vertical="top"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9" xfId="0" applyFont="true" applyBorder="true" applyAlignment="true" applyProtection="false">
      <alignment horizontal="left" vertical="bottom" textRotation="0" wrapText="true" indent="0" shrinkToFit="false"/>
      <protection locked="true" hidden="false"/>
    </xf>
    <xf numFmtId="171" fontId="0" fillId="0" borderId="39" xfId="19" applyFont="true" applyBorder="true" applyAlignment="true" applyProtection="true">
      <alignment horizontal="right" vertical="bottom" textRotation="0" wrapText="tru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130" fillId="2" borderId="0" xfId="21" applyFont="true" applyBorder="true" applyAlignment="true" applyProtection="true">
      <alignment horizontal="left" vertical="bottom" textRotation="0" wrapText="true" indent="0" shrinkToFit="false"/>
      <protection locked="true" hidden="false"/>
    </xf>
    <xf numFmtId="164" fontId="130" fillId="2" borderId="30" xfId="21" applyFont="true" applyBorder="true" applyAlignment="true" applyProtection="true">
      <alignment horizontal="center" vertical="bottom" textRotation="0" wrapText="false" indent="0" shrinkToFit="false"/>
      <protection locked="true" hidden="false"/>
    </xf>
    <xf numFmtId="164" fontId="0" fillId="0" borderId="147" xfId="0" applyFont="true" applyBorder="true" applyAlignment="true" applyProtection="false">
      <alignment horizontal="left" vertical="center" textRotation="0" wrapText="true" indent="0" shrinkToFit="false"/>
      <protection locked="true" hidden="false"/>
    </xf>
    <xf numFmtId="169" fontId="0" fillId="0" borderId="15" xfId="0" applyFont="false" applyBorder="true" applyAlignment="true" applyProtection="false">
      <alignment horizontal="right" vertical="top" textRotation="0" wrapText="false" indent="0" shrinkToFit="false"/>
      <protection locked="true" hidden="false"/>
    </xf>
    <xf numFmtId="169" fontId="0" fillId="0" borderId="8" xfId="0" applyFont="false" applyBorder="true" applyAlignment="true" applyProtection="false">
      <alignment horizontal="center" vertical="center" textRotation="0" wrapText="tru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9" fontId="0" fillId="0" borderId="31" xfId="0" applyFont="false" applyBorder="true" applyAlignment="true" applyProtection="false">
      <alignment horizontal="right" vertical="top"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9" fontId="0" fillId="0" borderId="0" xfId="0" applyFont="false" applyBorder="true" applyAlignment="true" applyProtection="false">
      <alignment horizontal="left" vertical="bottom" textRotation="0" wrapText="false" indent="0" shrinkToFit="false"/>
      <protection locked="true" hidden="false"/>
    </xf>
    <xf numFmtId="169" fontId="0" fillId="0" borderId="0" xfId="0" applyFont="true" applyBorder="true" applyAlignment="true" applyProtection="false">
      <alignment horizontal="right" vertical="bottom" textRotation="0" wrapText="true" indent="0" shrinkToFit="false"/>
      <protection locked="true" hidden="false"/>
    </xf>
    <xf numFmtId="171" fontId="0" fillId="0" borderId="6" xfId="19" applyFont="false" applyBorder="true" applyAlignment="true" applyProtection="true">
      <alignment horizontal="center" vertical="center" textRotation="0" wrapText="false" indent="0" shrinkToFit="false"/>
      <protection locked="true" hidden="false"/>
    </xf>
    <xf numFmtId="171" fontId="0" fillId="0" borderId="7" xfId="19" applyFont="false" applyBorder="true" applyAlignment="true" applyProtection="true">
      <alignment horizontal="center" vertical="center" textRotation="0" wrapText="false" indent="0" shrinkToFit="false"/>
      <protection locked="true" hidden="false"/>
    </xf>
    <xf numFmtId="169" fontId="0"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right" vertical="center" textRotation="0" wrapText="true" indent="0" shrinkToFit="false"/>
      <protection locked="true" hidden="false"/>
    </xf>
    <xf numFmtId="169" fontId="0" fillId="0" borderId="33" xfId="0" applyFont="false" applyBorder="true" applyAlignment="true" applyProtection="false">
      <alignment horizontal="right" vertical="top" textRotation="0" wrapText="false" indent="0" shrinkToFit="false"/>
      <protection locked="true" hidden="false"/>
    </xf>
    <xf numFmtId="164" fontId="188" fillId="0" borderId="30" xfId="0" applyFont="true" applyBorder="true" applyAlignment="true" applyProtection="false">
      <alignment horizontal="left" vertical="bottom" textRotation="0" wrapText="false" indent="0" shrinkToFit="false"/>
      <protection locked="true" hidden="false"/>
    </xf>
    <xf numFmtId="171" fontId="0" fillId="0" borderId="0" xfId="19" applyFont="true" applyBorder="true" applyAlignment="true" applyProtection="true">
      <alignment horizontal="left" vertical="bottom" textRotation="0" wrapText="true" indent="0" shrinkToFit="false"/>
      <protection locked="true" hidden="false"/>
    </xf>
    <xf numFmtId="164" fontId="173" fillId="0" borderId="0" xfId="0" applyFont="true" applyBorder="false" applyAlignment="true" applyProtection="false">
      <alignment horizontal="general" vertical="center" textRotation="0" wrapText="false" indent="0" shrinkToFit="false"/>
      <protection locked="true" hidden="false"/>
    </xf>
    <xf numFmtId="169" fontId="0" fillId="0" borderId="39" xfId="0" applyFont="true" applyBorder="true" applyAlignment="true" applyProtection="false">
      <alignment horizontal="right" vertical="bottom" textRotation="0" wrapText="tru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left" vertical="bottom" textRotation="0" wrapText="false" indent="0" shrinkToFit="false"/>
      <protection locked="true" hidden="false"/>
    </xf>
    <xf numFmtId="164" fontId="0" fillId="0" borderId="37" xfId="0" applyFont="true" applyBorder="true" applyAlignment="true" applyProtection="false">
      <alignment horizontal="center" vertical="center" textRotation="0" wrapText="false" indent="0" shrinkToFit="false"/>
      <protection locked="true" hidden="false"/>
    </xf>
    <xf numFmtId="169" fontId="0" fillId="0" borderId="15" xfId="0" applyFont="true" applyBorder="true" applyAlignment="true" applyProtection="false">
      <alignment horizontal="right" vertical="top" textRotation="0" wrapText="false" indent="0" shrinkToFit="false"/>
      <protection locked="true" hidden="false"/>
    </xf>
    <xf numFmtId="169" fontId="0" fillId="0" borderId="19" xfId="0" applyFont="false" applyBorder="true" applyAlignment="true" applyProtection="false">
      <alignment horizontal="center" vertical="center" textRotation="0" wrapText="false" indent="0" shrinkToFit="false"/>
      <protection locked="true" hidden="false"/>
    </xf>
    <xf numFmtId="169" fontId="4" fillId="2" borderId="19" xfId="21" applyFont="false" applyBorder="true" applyAlignment="true" applyProtection="true">
      <alignment horizontal="center" vertical="center" textRotation="0" wrapText="false" indent="0" shrinkToFit="false"/>
      <protection locked="true" hidden="false"/>
    </xf>
    <xf numFmtId="164" fontId="0" fillId="0" borderId="16" xfId="0" applyFont="true" applyBorder="true" applyAlignment="true" applyProtection="false">
      <alignment horizontal="center" vertical="bottom" textRotation="0" wrapText="false" indent="0" shrinkToFit="false"/>
      <protection locked="true" hidden="false"/>
    </xf>
    <xf numFmtId="171" fontId="0" fillId="0" borderId="0" xfId="19" applyFont="tru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true" indent="0" shrinkToFit="false"/>
      <protection locked="true" hidden="false"/>
    </xf>
    <xf numFmtId="169" fontId="0" fillId="0" borderId="31" xfId="0" applyFont="false" applyBorder="true" applyAlignment="true" applyProtection="false">
      <alignment horizontal="right" vertical="top" textRotation="0" wrapText="true" indent="0" shrinkToFit="false"/>
      <protection locked="true" hidden="false"/>
    </xf>
    <xf numFmtId="164" fontId="0" fillId="0" borderId="6" xfId="0" applyFont="true" applyBorder="true" applyAlignment="true" applyProtection="false">
      <alignment horizontal="center" vertical="bottom" textRotation="0" wrapText="true" indent="0" shrinkToFit="false"/>
      <protection locked="true" hidden="false"/>
    </xf>
    <xf numFmtId="169" fontId="0" fillId="0" borderId="0"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9" fontId="0" fillId="0" borderId="39" xfId="0" applyFont="true" applyBorder="true" applyAlignment="true" applyProtection="false">
      <alignment horizontal="left" vertical="bottom" textRotation="0" wrapText="true" indent="0" shrinkToFit="false"/>
      <protection locked="true" hidden="false"/>
    </xf>
    <xf numFmtId="171" fontId="0" fillId="0" borderId="6" xfId="19" applyFont="false" applyBorder="true" applyAlignment="true" applyProtection="tru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9" fontId="0" fillId="0" borderId="8" xfId="0" applyFont="true" applyBorder="true" applyAlignment="true" applyProtection="false">
      <alignment horizontal="center" vertical="center" textRotation="0" wrapText="false" indent="0" shrinkToFit="false"/>
      <protection locked="true" hidden="false"/>
    </xf>
    <xf numFmtId="164" fontId="0" fillId="0" borderId="19" xfId="0" applyFont="false" applyBorder="true" applyAlignment="true" applyProtection="false">
      <alignment horizontal="center" vertical="center" textRotation="0" wrapText="false" indent="0" shrinkToFit="false"/>
      <protection locked="true" hidden="false"/>
    </xf>
    <xf numFmtId="164" fontId="0" fillId="0" borderId="30" xfId="0" applyFont="true" applyBorder="true" applyAlignment="true" applyProtection="false">
      <alignment horizontal="left" vertical="center" textRotation="0" wrapText="true" indent="0" shrinkToFit="false"/>
      <protection locked="true" hidden="false"/>
    </xf>
    <xf numFmtId="169" fontId="0" fillId="0" borderId="33" xfId="0" applyFont="false" applyBorder="true" applyAlignment="true" applyProtection="false">
      <alignment horizontal="right" vertical="top"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71" fontId="0" fillId="0" borderId="39" xfId="19" applyFont="true" applyBorder="true" applyAlignment="true" applyProtection="tru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top" textRotation="0" wrapText="false" indent="0" shrinkToFit="false"/>
      <protection locked="true" hidden="false"/>
    </xf>
    <xf numFmtId="164" fontId="4" fillId="0" borderId="0" xfId="21" applyFont="fals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general" vertical="bottom" textRotation="0" wrapText="false" indent="0" shrinkToFit="false"/>
      <protection locked="true" hidden="false"/>
    </xf>
    <xf numFmtId="164" fontId="0" fillId="0" borderId="37" xfId="0" applyFont="true" applyBorder="true" applyAlignment="true" applyProtection="false">
      <alignment horizontal="general" vertical="bottom" textRotation="0" wrapText="false" indent="0" shrinkToFit="false"/>
      <protection locked="true" hidden="false"/>
    </xf>
    <xf numFmtId="171" fontId="0" fillId="0" borderId="37" xfId="0" applyFont="true" applyBorder="true" applyAlignment="true" applyProtection="false">
      <alignment horizontal="general" vertical="bottom" textRotation="0" wrapText="false" indent="0" shrinkToFit="false"/>
      <protection locked="true" hidden="false"/>
    </xf>
    <xf numFmtId="169" fontId="0" fillId="0" borderId="15" xfId="0" applyFont="true" applyBorder="true" applyAlignment="true" applyProtection="false">
      <alignment horizontal="center" vertical="center" textRotation="0" wrapText="false" indent="0" shrinkToFit="false"/>
      <protection locked="true" hidden="false"/>
    </xf>
    <xf numFmtId="169" fontId="0" fillId="0" borderId="31" xfId="0" applyFont="true" applyBorder="true" applyAlignment="true" applyProtection="false">
      <alignment horizontal="right" vertical="top" textRotation="0" wrapText="true" indent="0" shrinkToFit="false"/>
      <protection locked="true" hidden="false"/>
    </xf>
    <xf numFmtId="164" fontId="0" fillId="0" borderId="30" xfId="0" applyFont="true" applyBorder="true" applyAlignment="true" applyProtection="false">
      <alignment horizontal="right" vertical="bottom" textRotation="0" wrapText="false" indent="0" shrinkToFit="false"/>
      <protection locked="true" hidden="false"/>
    </xf>
    <xf numFmtId="171" fontId="0" fillId="0" borderId="6" xfId="0" applyFont="false" applyBorder="true" applyAlignment="true" applyProtection="false">
      <alignment horizontal="center" vertical="bottom" textRotation="0" wrapText="false" indent="0" shrinkToFit="false"/>
      <protection locked="true" hidden="false"/>
    </xf>
    <xf numFmtId="169" fontId="0" fillId="0" borderId="0" xfId="0" applyFont="false" applyBorder="true" applyAlignment="true" applyProtection="false">
      <alignment horizontal="general" vertical="top" textRotation="0" wrapText="false" indent="0" shrinkToFit="false"/>
      <protection locked="true" hidden="false"/>
    </xf>
    <xf numFmtId="169" fontId="0" fillId="0" borderId="33" xfId="0" applyFont="true" applyBorder="true" applyAlignment="true" applyProtection="false">
      <alignment horizontal="right" vertical="top" textRotation="0" wrapText="true" indent="0" shrinkToFit="false"/>
      <protection locked="true" hidden="false"/>
    </xf>
    <xf numFmtId="164" fontId="119" fillId="0" borderId="39" xfId="0" applyFont="true" applyBorder="true" applyAlignment="true" applyProtection="false">
      <alignment horizontal="general" vertical="bottom" textRotation="0" wrapText="true" indent="0" shrinkToFit="false"/>
      <protection locked="true" hidden="false"/>
    </xf>
    <xf numFmtId="164" fontId="0" fillId="0" borderId="91" xfId="0" applyFont="false" applyBorder="true" applyAlignment="false" applyProtection="false">
      <alignment horizontal="general" vertical="bottom" textRotation="0" wrapText="false" indent="0" shrinkToFit="false"/>
      <protection locked="true" hidden="false"/>
    </xf>
    <xf numFmtId="164" fontId="0" fillId="0" borderId="92" xfId="0" applyFont="true" applyBorder="true" applyAlignment="true" applyProtection="false">
      <alignment horizontal="left" vertical="bottom" textRotation="0" wrapText="true" indent="0" shrinkToFit="false"/>
      <protection locked="true" hidden="false"/>
    </xf>
    <xf numFmtId="164" fontId="0" fillId="0" borderId="92" xfId="0" applyFont="true" applyBorder="true" applyAlignment="true" applyProtection="false">
      <alignment horizontal="general" vertical="bottom" textRotation="0" wrapText="true" indent="0" shrinkToFit="false"/>
      <protection locked="true" hidden="false"/>
    </xf>
    <xf numFmtId="164" fontId="0" fillId="0" borderId="92" xfId="0" applyFont="false" applyBorder="true" applyAlignment="true" applyProtection="false">
      <alignment horizontal="center" vertical="center" textRotation="0" wrapText="false" indent="0" shrinkToFit="false"/>
      <protection locked="true" hidden="false"/>
    </xf>
    <xf numFmtId="164" fontId="4" fillId="0" borderId="92" xfId="21" applyFont="false" applyBorder="true" applyAlignment="true" applyProtection="true">
      <alignment horizontal="center" vertical="center"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5" fillId="6" borderId="1" xfId="25" applyFont="true" applyBorder="true" applyAlignment="true" applyProtection="false">
      <alignment horizontal="center" vertical="center" textRotation="90" wrapText="true" indent="0" shrinkToFit="false"/>
      <protection locked="true" hidden="false"/>
    </xf>
    <xf numFmtId="164" fontId="0" fillId="0" borderId="52" xfId="0" applyFont="true" applyBorder="true" applyAlignment="false" applyProtection="false">
      <alignment horizontal="general" vertical="bottom" textRotation="0" wrapText="false" indent="0" shrinkToFit="false"/>
      <protection locked="true" hidden="false"/>
    </xf>
    <xf numFmtId="164" fontId="4" fillId="2" borderId="60" xfId="21" applyFont="true" applyBorder="true" applyAlignment="true" applyProtection="true">
      <alignment horizontal="left" vertical="bottom" textRotation="0" wrapText="false" indent="0" shrinkToFit="false"/>
      <protection locked="true" hidden="false"/>
    </xf>
    <xf numFmtId="164" fontId="4" fillId="2" borderId="83" xfId="21" applyFont="true" applyBorder="true" applyAlignment="true" applyProtection="true">
      <alignment horizontal="center" vertical="bottom" textRotation="0" wrapText="false" indent="0" shrinkToFit="false"/>
      <protection locked="true" hidden="false"/>
    </xf>
    <xf numFmtId="164" fontId="0" fillId="0" borderId="60" xfId="0" applyFont="false" applyBorder="true" applyAlignment="false" applyProtection="false">
      <alignment horizontal="general" vertical="bottom" textRotation="0" wrapText="false" indent="0" shrinkToFit="false"/>
      <protection locked="true" hidden="false"/>
    </xf>
    <xf numFmtId="169" fontId="5" fillId="6" borderId="1" xfId="25" applyFont="false" applyBorder="true" applyAlignment="fals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true" applyProtection="false">
      <alignment horizontal="center" vertical="center" textRotation="0" wrapText="true" indent="0" shrinkToFit="false"/>
      <protection locked="true" hidden="false"/>
    </xf>
    <xf numFmtId="164" fontId="0" fillId="0" borderId="34" xfId="0" applyFont="true" applyBorder="true" applyAlignment="true" applyProtection="false">
      <alignment horizontal="center" vertical="bottom" textRotation="0" wrapText="true" indent="0" shrinkToFit="false"/>
      <protection locked="true" hidden="false"/>
    </xf>
    <xf numFmtId="164" fontId="0" fillId="0" borderId="147" xfId="0" applyFont="true" applyBorder="true" applyAlignment="true" applyProtection="false">
      <alignment horizontal="left" vertical="bottom" textRotation="0" wrapText="true" indent="0" shrinkToFit="false"/>
      <protection locked="true" hidden="false"/>
    </xf>
    <xf numFmtId="169" fontId="0" fillId="0" borderId="34" xfId="0" applyFont="false" applyBorder="true" applyAlignment="true" applyProtection="false">
      <alignment horizontal="center" vertical="center" textRotation="0" wrapText="false" indent="0" shrinkToFit="false"/>
      <protection locked="true" hidden="false"/>
    </xf>
    <xf numFmtId="164" fontId="0" fillId="0" borderId="30" xfId="0" applyFont="true" applyBorder="true" applyAlignment="true" applyProtection="false">
      <alignment horizontal="left" vertical="bottom" textRotation="0" wrapText="true" indent="0" shrinkToFit="false"/>
      <protection locked="true" hidden="false"/>
    </xf>
    <xf numFmtId="164" fontId="119" fillId="0" borderId="0" xfId="0" applyFont="true" applyBorder="true" applyAlignment="true" applyProtection="true">
      <alignment horizontal="general" vertical="bottom" textRotation="0" wrapText="false" indent="0" shrinkToFit="false"/>
      <protection locked="true" hidden="false"/>
    </xf>
    <xf numFmtId="169" fontId="0" fillId="0" borderId="31" xfId="0" applyFont="false" applyBorder="true" applyAlignment="true" applyProtection="false">
      <alignment horizontal="right" vertical="top"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71" fontId="0" fillId="0" borderId="39" xfId="19" applyFont="true" applyBorder="true" applyAlignment="true" applyProtection="true">
      <alignment horizontal="left"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4" fillId="2" borderId="0" xfId="21" applyFont="true" applyBorder="true" applyAlignment="true" applyProtection="true">
      <alignment horizontal="left" vertical="bottom" textRotation="0" wrapText="false" indent="0" shrinkToFit="false"/>
      <protection locked="true" hidden="false"/>
    </xf>
    <xf numFmtId="164" fontId="4" fillId="2" borderId="30" xfId="21" applyFont="true" applyBorder="true" applyAlignment="true" applyProtection="true">
      <alignment horizontal="center" vertical="bottom" textRotation="0" wrapText="fals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9" fontId="0" fillId="0" borderId="15" xfId="0" applyFont="false" applyBorder="true" applyAlignment="true" applyProtection="false">
      <alignment horizontal="left" vertical="bottom" textRotation="0" wrapText="false" indent="0" shrinkToFit="false"/>
      <protection locked="true" hidden="false"/>
    </xf>
    <xf numFmtId="169" fontId="0" fillId="0" borderId="6" xfId="0" applyFont="false" applyBorder="true" applyAlignment="true" applyProtection="false">
      <alignment horizontal="center" vertical="center" textRotation="0" wrapText="false" indent="0" shrinkToFit="false"/>
      <protection locked="true" hidden="false"/>
    </xf>
    <xf numFmtId="171" fontId="0" fillId="0" borderId="6" xfId="19" applyFont="true" applyBorder="true" applyAlignment="true" applyProtection="true">
      <alignment horizontal="center"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71" fontId="0" fillId="0" borderId="148" xfId="19" applyFont="true" applyBorder="true" applyAlignment="true" applyProtection="true">
      <alignment horizontal="left" vertical="bottom" textRotation="0" wrapText="false" indent="0" shrinkToFit="false"/>
      <protection locked="true" hidden="false"/>
    </xf>
    <xf numFmtId="164" fontId="0" fillId="0" borderId="14" xfId="0" applyFont="true" applyBorder="true" applyAlignment="true" applyProtection="false">
      <alignment horizontal="left" vertical="center" textRotation="0" wrapText="true" indent="0" shrinkToFit="false"/>
      <protection locked="true" hidden="false"/>
    </xf>
    <xf numFmtId="169" fontId="0" fillId="0" borderId="15" xfId="0" applyFont="false" applyBorder="true" applyAlignment="true" applyProtection="false">
      <alignment horizontal="right" vertical="top" textRotation="0" wrapText="true" indent="0" shrinkToFit="false"/>
      <protection locked="true" hidden="false"/>
    </xf>
    <xf numFmtId="171" fontId="0" fillId="0" borderId="7" xfId="19" applyFont="true" applyBorder="true" applyAlignment="true" applyProtection="true">
      <alignment horizontal="center" vertical="center" textRotation="0" wrapText="false" indent="0" shrinkToFit="false"/>
      <protection locked="true" hidden="false"/>
    </xf>
    <xf numFmtId="164" fontId="0" fillId="0" borderId="91" xfId="0" applyFont="false" applyBorder="true" applyAlignment="false" applyProtection="false">
      <alignment horizontal="general" vertical="bottom" textRotation="0" wrapText="false" indent="0" shrinkToFit="false"/>
      <protection locked="true" hidden="false"/>
    </xf>
    <xf numFmtId="164" fontId="0" fillId="0" borderId="92" xfId="0" applyFont="false" applyBorder="true" applyAlignment="true" applyProtection="false">
      <alignment horizontal="general" vertical="bottom" textRotation="0" wrapText="true" indent="0" shrinkToFit="false"/>
      <protection locked="true" hidden="false"/>
    </xf>
    <xf numFmtId="164" fontId="0" fillId="0" borderId="92" xfId="0" applyFont="false" applyBorder="true" applyAlignment="false" applyProtection="false">
      <alignment horizontal="general" vertical="bottom" textRotation="0" wrapText="false" indent="0" shrinkToFit="false"/>
      <protection locked="true" hidden="false"/>
    </xf>
    <xf numFmtId="164" fontId="6" fillId="8" borderId="1" xfId="27" applyFont="true" applyBorder="true" applyAlignment="true" applyProtection="false">
      <alignment horizontal="center" vertical="center" textRotation="90" wrapText="true" indent="0" shrinkToFit="false"/>
      <protection locked="true" hidden="false"/>
    </xf>
    <xf numFmtId="169" fontId="6" fillId="8" borderId="1" xfId="27" applyFont="false" applyBorder="true" applyAlignment="true" applyProtection="false">
      <alignment horizontal="center" vertical="center" textRotation="0" wrapText="true" indent="0" shrinkToFit="false"/>
      <protection locked="true" hidden="false"/>
    </xf>
    <xf numFmtId="169" fontId="0" fillId="0" borderId="37" xfId="0" applyFont="true" applyBorder="true" applyAlignment="true" applyProtection="false">
      <alignment horizontal="left" vertical="bottom" textRotation="0" wrapText="true" indent="0" shrinkToFit="false"/>
      <protection locked="true" hidden="false"/>
    </xf>
    <xf numFmtId="169" fontId="0" fillId="0" borderId="15" xfId="0" applyFont="false" applyBorder="true" applyAlignment="true" applyProtection="false">
      <alignment horizontal="general" vertical="top" textRotation="0" wrapText="false" indent="0" shrinkToFit="false"/>
      <protection locked="true" hidden="false"/>
    </xf>
    <xf numFmtId="174" fontId="0" fillId="0" borderId="33" xfId="0" applyFont="false" applyBorder="true" applyAlignment="true" applyProtection="false">
      <alignment horizontal="right" vertical="top" textRotation="0" wrapText="false" indent="0" shrinkToFit="false"/>
      <protection locked="true" hidden="false"/>
    </xf>
    <xf numFmtId="164" fontId="0" fillId="0" borderId="6" xfId="19" applyFont="true" applyBorder="true" applyAlignment="true" applyProtection="true">
      <alignment horizontal="center" vertical="center" textRotation="0" wrapText="false" indent="0" shrinkToFit="false"/>
      <protection locked="true" hidden="false"/>
    </xf>
    <xf numFmtId="164" fontId="0" fillId="0" borderId="7" xfId="19" applyFont="true" applyBorder="true" applyAlignment="true" applyProtection="true">
      <alignment horizontal="center" vertical="center" textRotation="0" wrapText="false" indent="0" shrinkToFit="false"/>
      <protection locked="true" hidden="false"/>
    </xf>
    <xf numFmtId="169" fontId="0" fillId="0" borderId="8" xfId="0" applyFont="false" applyBorder="true" applyAlignment="true" applyProtection="false">
      <alignment horizontal="right" vertical="top" textRotation="0" wrapText="false" indent="0" shrinkToFit="false"/>
      <protection locked="true" hidden="false"/>
    </xf>
    <xf numFmtId="172" fontId="0" fillId="0" borderId="39" xfId="19" applyFont="true" applyBorder="true" applyAlignment="true" applyProtection="true">
      <alignment horizontal="left" vertical="bottom" textRotation="0" wrapText="true" indent="0" shrinkToFit="false"/>
      <protection locked="true" hidden="false"/>
    </xf>
    <xf numFmtId="168" fontId="0" fillId="0" borderId="39" xfId="0" applyFont="true" applyBorder="true" applyAlignment="true" applyProtection="false">
      <alignment horizontal="left" vertical="bottom" textRotation="0" wrapText="true" indent="0" shrinkToFit="false"/>
      <protection locked="true" hidden="false"/>
    </xf>
    <xf numFmtId="164" fontId="6" fillId="7" borderId="1" xfId="26" applyFont="true" applyBorder="true" applyAlignment="true" applyProtection="false">
      <alignment horizontal="center" vertical="center" textRotation="90" wrapText="true" indent="0" shrinkToFit="false"/>
      <protection locked="true" hidden="false"/>
    </xf>
    <xf numFmtId="169" fontId="6" fillId="7" borderId="1" xfId="26" applyFont="false" applyBorder="true" applyAlignment="true" applyProtection="false">
      <alignment horizontal="center" vertical="center" textRotation="0" wrapText="true" indent="0" shrinkToFit="false"/>
      <protection locked="true" hidden="false"/>
    </xf>
    <xf numFmtId="164" fontId="0" fillId="0" borderId="147"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left" vertical="center" textRotation="0" wrapText="false" indent="0" shrinkToFit="false"/>
      <protection locked="true" hidden="false"/>
    </xf>
    <xf numFmtId="164" fontId="188" fillId="0" borderId="30" xfId="0" applyFont="true" applyBorder="true" applyAlignment="true" applyProtection="false">
      <alignment horizontal="left" vertical="bottom" textRotation="0" wrapText="true" indent="0" shrinkToFit="false"/>
      <protection locked="true" hidden="false"/>
    </xf>
    <xf numFmtId="173" fontId="0" fillId="0" borderId="0" xfId="0" applyFont="true" applyBorder="true" applyAlignment="true" applyProtection="false">
      <alignment horizontal="left" vertical="bottom" textRotation="0" wrapText="true" indent="0" shrinkToFit="false"/>
      <protection locked="true" hidden="false"/>
    </xf>
    <xf numFmtId="164" fontId="0" fillId="0" borderId="39" xfId="0" applyFont="true" applyBorder="true" applyAlignment="true" applyProtection="false">
      <alignment horizontal="left" vertical="bottom" textRotation="0" wrapText="false" indent="0" shrinkToFit="false"/>
      <protection locked="true" hidden="false"/>
    </xf>
    <xf numFmtId="171" fontId="0" fillId="0" borderId="6" xfId="0" applyFont="false" applyBorder="true" applyAlignment="true" applyProtection="false">
      <alignment horizontal="center" vertical="center"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119" fillId="0" borderId="0" xfId="0" applyFont="true" applyBorder="true" applyAlignment="true" applyProtection="false">
      <alignment horizontal="left" vertical="bottom" textRotation="0" wrapText="true" indent="0" shrinkToFit="false"/>
      <protection locked="true" hidden="false"/>
    </xf>
    <xf numFmtId="174" fontId="0" fillId="0" borderId="31" xfId="0" applyFont="false" applyBorder="true" applyAlignment="true" applyProtection="false">
      <alignment horizontal="right" vertical="top" textRotation="0" wrapText="false" indent="0" shrinkToFit="false"/>
      <protection locked="true" hidden="false"/>
    </xf>
    <xf numFmtId="171" fontId="0" fillId="0" borderId="0" xfId="19" applyFont="true" applyBorder="true" applyAlignment="true" applyProtection="true">
      <alignment horizontal="center" vertical="center" textRotation="0" wrapText="false" indent="0" shrinkToFit="false"/>
      <protection locked="true" hidden="false"/>
    </xf>
    <xf numFmtId="172" fontId="0" fillId="0" borderId="0" xfId="0" applyFont="true" applyBorder="true" applyAlignment="true" applyProtection="false">
      <alignment horizontal="left" vertical="bottom" textRotation="0" wrapText="true" indent="0" shrinkToFit="false"/>
      <protection locked="true" hidden="false"/>
    </xf>
    <xf numFmtId="169" fontId="0" fillId="0" borderId="0" xfId="19" applyFont="true" applyBorder="true" applyAlignment="true" applyProtection="true">
      <alignment horizontal="left" vertical="bottom" textRotation="0" wrapText="true" indent="0" shrinkToFit="false"/>
      <protection locked="true" hidden="false"/>
    </xf>
    <xf numFmtId="164" fontId="0" fillId="0" borderId="14" xfId="0" applyFont="true" applyBorder="true" applyAlignment="true" applyProtection="false">
      <alignment horizontal="left" vertical="center" textRotation="0" wrapText="false" indent="0" shrinkToFit="false"/>
      <protection locked="true" hidden="false"/>
    </xf>
    <xf numFmtId="164" fontId="0" fillId="0" borderId="37" xfId="0" applyFont="false" applyBorder="true" applyAlignment="true" applyProtection="false">
      <alignment horizontal="center" vertical="center" textRotation="0" wrapText="false" indent="0" shrinkToFit="false"/>
      <protection locked="true" hidden="false"/>
    </xf>
    <xf numFmtId="164" fontId="0" fillId="0" borderId="3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31" xfId="0" applyFont="false" applyBorder="true" applyAlignment="true" applyProtection="false">
      <alignment horizontal="right" vertical="center" textRotation="0" wrapText="false" indent="0" shrinkToFit="false"/>
      <protection locked="true" hidden="false"/>
    </xf>
    <xf numFmtId="164" fontId="0" fillId="0" borderId="149" xfId="0" applyFont="true" applyBorder="true" applyAlignment="true" applyProtection="false">
      <alignment horizontal="left" vertical="center" textRotation="0" wrapText="true" indent="0" shrinkToFit="false"/>
      <protection locked="true" hidden="false"/>
    </xf>
    <xf numFmtId="169" fontId="161" fillId="0" borderId="0" xfId="0" applyFont="true" applyBorder="true" applyAlignment="true" applyProtection="false">
      <alignment horizontal="left" vertical="center" textRotation="0" wrapText="true" indent="0" shrinkToFit="false"/>
      <protection locked="true" hidden="false"/>
    </xf>
    <xf numFmtId="164" fontId="0" fillId="0" borderId="32" xfId="0" applyFont="true" applyBorder="true" applyAlignment="true" applyProtection="false">
      <alignment horizontal="left" vertical="center" textRotation="0" wrapText="true" indent="0" shrinkToFit="false"/>
      <protection locked="true" hidden="false"/>
    </xf>
    <xf numFmtId="174" fontId="0" fillId="0" borderId="33" xfId="0" applyFont="false" applyBorder="true" applyAlignment="true" applyProtection="false">
      <alignment horizontal="general" vertical="top" textRotation="0" wrapText="true" indent="0" shrinkToFit="false"/>
      <protection locked="true" hidden="false"/>
    </xf>
    <xf numFmtId="169" fontId="0" fillId="0" borderId="15" xfId="0" applyFont="false" applyBorder="true" applyAlignment="true" applyProtection="false">
      <alignment horizontal="center"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28" fillId="0" borderId="6" xfId="0" applyFont="true" applyBorder="true" applyAlignment="true" applyProtection="false">
      <alignment horizontal="center" vertical="bottom" textRotation="0" wrapText="true" indent="0" shrinkToFit="false"/>
      <protection locked="true" hidden="false"/>
    </xf>
    <xf numFmtId="169" fontId="0" fillId="0" borderId="31" xfId="0" applyFont="false" applyBorder="true" applyAlignment="true" applyProtection="false">
      <alignment horizontal="center" vertical="bottom" textRotation="0" wrapText="false" indent="0" shrinkToFit="false"/>
      <protection locked="true" hidden="false"/>
    </xf>
    <xf numFmtId="169" fontId="0" fillId="0" borderId="33" xfId="0" applyFont="false" applyBorder="true" applyAlignment="true" applyProtection="false">
      <alignment horizontal="center" vertical="bottom" textRotation="0" wrapText="true" indent="0" shrinkToFit="false"/>
      <protection locked="true" hidden="false"/>
    </xf>
    <xf numFmtId="164" fontId="28" fillId="0" borderId="6" xfId="0" applyFont="true" applyBorder="true" applyAlignment="true" applyProtection="false">
      <alignment horizontal="general" vertical="bottom" textRotation="0" wrapText="false" indent="0" shrinkToFit="false"/>
      <protection locked="true" hidden="false"/>
    </xf>
    <xf numFmtId="164" fontId="28" fillId="0" borderId="6" xfId="0" applyFont="true" applyBorder="true" applyAlignment="true" applyProtection="false">
      <alignment horizontal="center" vertical="bottom" textRotation="0" wrapText="false" indent="0" shrinkToFit="false"/>
      <protection locked="true" hidden="false"/>
    </xf>
    <xf numFmtId="169" fontId="0" fillId="0" borderId="39" xfId="0" applyFont="true" applyBorder="true" applyAlignment="true" applyProtection="false">
      <alignment horizontal="right" vertical="center" textRotation="0" wrapText="true" indent="0" shrinkToFit="false"/>
      <protection locked="true" hidden="false"/>
    </xf>
    <xf numFmtId="164" fontId="6" fillId="9" borderId="1" xfId="28" applyFont="true" applyBorder="true" applyAlignment="true" applyProtection="false">
      <alignment horizontal="center" vertical="center" textRotation="90" wrapText="true" indent="0" shrinkToFit="false"/>
      <protection locked="true" hidden="false"/>
    </xf>
    <xf numFmtId="164" fontId="0" fillId="0" borderId="60" xfId="0" applyFont="true" applyBorder="true" applyAlignment="false" applyProtection="false">
      <alignment horizontal="general" vertical="bottom" textRotation="0" wrapText="false" indent="0" shrinkToFit="false"/>
      <protection locked="true" hidden="false"/>
    </xf>
    <xf numFmtId="174" fontId="6" fillId="9" borderId="1" xfId="28" applyFont="false" applyBorder="true" applyAlignment="false" applyProtection="false">
      <alignment horizontal="center" vertical="center" textRotation="0" wrapText="true" indent="0" shrinkToFit="false"/>
      <protection locked="true" hidden="false"/>
    </xf>
    <xf numFmtId="169" fontId="0" fillId="0" borderId="15" xfId="0" applyFont="false" applyBorder="true" applyAlignment="true" applyProtection="false">
      <alignment horizontal="center" vertical="top" textRotation="0" wrapText="false" indent="0" shrinkToFit="false"/>
      <protection locked="true" hidden="false"/>
    </xf>
    <xf numFmtId="164" fontId="0" fillId="0" borderId="30" xfId="0" applyFont="false" applyBorder="true" applyAlignment="true" applyProtection="false">
      <alignment horizontal="left" vertical="bottom" textRotation="0" wrapText="true" indent="0" shrinkToFit="false"/>
      <protection locked="true" hidden="false"/>
    </xf>
    <xf numFmtId="174" fontId="0" fillId="0" borderId="0" xfId="0" applyFont="false" applyBorder="true" applyAlignment="true" applyProtection="false">
      <alignment horizontal="left" vertical="bottom" textRotation="0" wrapText="true" indent="0" shrinkToFit="false"/>
      <protection locked="true" hidden="false"/>
    </xf>
    <xf numFmtId="164" fontId="0" fillId="0" borderId="30" xfId="0" applyFont="false" applyBorder="true" applyAlignment="true" applyProtection="false">
      <alignment horizontal="left" vertical="bottom" textRotation="0" wrapText="false" indent="0" shrinkToFit="false"/>
      <protection locked="true" hidden="false"/>
    </xf>
    <xf numFmtId="169" fontId="0" fillId="0" borderId="0" xfId="0" applyFont="true" applyBorder="true" applyAlignment="true" applyProtection="false">
      <alignment horizontal="left" vertical="center" textRotation="0" wrapText="true" indent="0" shrinkToFit="false"/>
      <protection locked="true" hidden="false"/>
    </xf>
    <xf numFmtId="164" fontId="0" fillId="0" borderId="30"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9" fontId="0" fillId="0" borderId="31" xfId="0" applyFont="false" applyBorder="tru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9" fontId="0" fillId="0" borderId="33" xfId="0" applyFont="false" applyBorder="true" applyAlignment="true" applyProtection="false">
      <alignment horizontal="center" vertical="top" textRotation="0" wrapText="false" indent="0" shrinkToFit="false"/>
      <protection locked="true" hidden="false"/>
    </xf>
    <xf numFmtId="171" fontId="0" fillId="0" borderId="39" xfId="19" applyFont="true" applyBorder="true" applyAlignment="true" applyProtection="true">
      <alignment horizontal="left" vertical="bottom" textRotation="0" wrapText="true" indent="0" shrinkToFit="false"/>
      <protection locked="true" hidden="false"/>
    </xf>
    <xf numFmtId="169" fontId="0" fillId="0" borderId="39" xfId="0" applyFont="false" applyBorder="true" applyAlignment="true" applyProtection="false">
      <alignment horizontal="left" vertical="bottom" textRotation="0" wrapText="false" indent="0" shrinkToFit="false"/>
      <protection locked="true" hidden="false"/>
    </xf>
    <xf numFmtId="164" fontId="0" fillId="0" borderId="147" xfId="0" applyFont="true" applyBorder="true" applyAlignment="true" applyProtection="false">
      <alignment horizontal="left" vertical="bottom" textRotation="0" wrapText="true" indent="0" shrinkToFit="false"/>
      <protection locked="true" hidden="false"/>
    </xf>
    <xf numFmtId="174" fontId="0" fillId="0" borderId="6" xfId="0" applyFont="false" applyBorder="true" applyAlignment="true" applyProtection="false">
      <alignment horizontal="center" vertical="center" textRotation="0" wrapText="false" indent="0" shrinkToFit="false"/>
      <protection locked="true" hidden="false"/>
    </xf>
    <xf numFmtId="174" fontId="4" fillId="2" borderId="6" xfId="21" applyFont="false" applyBorder="true" applyAlignment="true" applyProtection="true">
      <alignment horizontal="center" vertical="center" textRotation="0" wrapText="false" indent="0" shrinkToFit="false"/>
      <protection locked="true" hidden="false"/>
    </xf>
    <xf numFmtId="164" fontId="160" fillId="0" borderId="0" xfId="0" applyFont="true" applyBorder="false" applyAlignment="false" applyProtection="false">
      <alignment horizontal="general" vertical="bottom" textRotation="0" wrapText="false" indent="0" shrinkToFit="false"/>
      <protection locked="true" hidden="false"/>
    </xf>
    <xf numFmtId="164" fontId="0" fillId="0" borderId="30" xfId="0" applyFont="false" applyBorder="true" applyAlignment="true" applyProtection="false">
      <alignment horizontal="general" vertical="bottom" textRotation="0" wrapText="false" indent="0" shrinkToFit="false"/>
      <protection locked="true" hidden="false"/>
    </xf>
    <xf numFmtId="169" fontId="119" fillId="0" borderId="0" xfId="0" applyFont="true" applyBorder="true" applyAlignment="true" applyProtection="false">
      <alignment horizontal="right" vertical="bottom" textRotation="0" wrapText="false" indent="0" shrinkToFit="false"/>
      <protection locked="true" hidden="false"/>
    </xf>
    <xf numFmtId="164" fontId="119" fillId="0" borderId="0" xfId="0" applyFont="true" applyBorder="true" applyAlignment="false" applyProtection="false">
      <alignment horizontal="general" vertical="bottom" textRotation="0" wrapText="false" indent="0" shrinkToFit="false"/>
      <protection locked="true" hidden="false"/>
    </xf>
    <xf numFmtId="164" fontId="119" fillId="0" borderId="0" xfId="0" applyFont="true" applyBorder="true" applyAlignment="true" applyProtection="false">
      <alignment horizontal="left" vertical="bottom" textRotation="0" wrapText="false" indent="0" shrinkToFit="false"/>
      <protection locked="true" hidden="false"/>
    </xf>
    <xf numFmtId="169" fontId="119" fillId="0" borderId="0" xfId="0" applyFont="true" applyBorder="true" applyAlignment="true" applyProtection="false">
      <alignment horizontal="right" vertical="bottom" textRotation="0" wrapText="true" indent="0" shrinkToFit="false"/>
      <protection locked="true" hidden="false"/>
    </xf>
    <xf numFmtId="174" fontId="0" fillId="0" borderId="39" xfId="0" applyFont="true" applyBorder="true" applyAlignment="true" applyProtection="false">
      <alignment horizontal="right" vertical="bottom" textRotation="0" wrapText="true" indent="0" shrinkToFit="false"/>
      <protection locked="true" hidden="false"/>
    </xf>
    <xf numFmtId="174" fontId="0" fillId="0" borderId="15" xfId="0" applyFont="false" applyBorder="true" applyAlignment="true" applyProtection="false">
      <alignment horizontal="right" vertical="top" textRotation="0" wrapText="false" indent="0" shrinkToFit="false"/>
      <protection locked="true" hidden="false"/>
    </xf>
    <xf numFmtId="174" fontId="0" fillId="0" borderId="8" xfId="0" applyFont="false" applyBorder="true" applyAlignment="true" applyProtection="false">
      <alignment horizontal="center" vertical="center" textRotation="0" wrapText="false" indent="0" shrinkToFit="false"/>
      <protection locked="true" hidden="false"/>
    </xf>
    <xf numFmtId="164" fontId="0" fillId="0" borderId="32" xfId="0" applyFont="true" applyBorder="true" applyAlignment="true" applyProtection="false">
      <alignment horizontal="general" vertical="bottom" textRotation="0" wrapText="false" indent="0" shrinkToFit="false"/>
      <protection locked="true" hidden="false"/>
    </xf>
    <xf numFmtId="164" fontId="0" fillId="0" borderId="39" xfId="0" applyFont="true" applyBorder="true" applyAlignment="true" applyProtection="false">
      <alignment horizontal="general" vertical="bottom" textRotation="0" wrapText="false" indent="0" shrinkToFit="false"/>
      <protection locked="true" hidden="false"/>
    </xf>
    <xf numFmtId="173" fontId="0" fillId="0" borderId="39" xfId="0" applyFont="false" applyBorder="true" applyAlignment="true" applyProtection="false">
      <alignment horizontal="left" vertical="bottom" textRotation="0" wrapText="false" indent="0" shrinkToFit="false"/>
      <protection locked="true" hidden="false"/>
    </xf>
    <xf numFmtId="164" fontId="4" fillId="2" borderId="0" xfId="21" applyFont="true" applyBorder="true" applyAlignment="true" applyProtection="true">
      <alignment horizontal="left" vertical="bottom" textRotation="0" wrapText="true" indent="0" shrinkToFit="false"/>
      <protection locked="true" hidden="false"/>
    </xf>
    <xf numFmtId="164" fontId="4" fillId="2" borderId="30" xfId="21"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24" fillId="0" borderId="14" xfId="0" applyFont="true" applyBorder="true" applyAlignment="true" applyProtection="false">
      <alignment horizontal="general" vertical="center" textRotation="0" wrapText="false" indent="0" shrinkToFit="false"/>
      <protection locked="true" hidden="false"/>
    </xf>
    <xf numFmtId="164" fontId="0" fillId="0" borderId="37" xfId="0" applyFont="true" applyBorder="true" applyAlignment="true" applyProtection="false">
      <alignment horizontal="general" vertical="center" textRotation="0" wrapText="false" indent="0" shrinkToFit="false"/>
      <protection locked="true" hidden="false"/>
    </xf>
    <xf numFmtId="169" fontId="4" fillId="2" borderId="8" xfId="21" applyFont="false" applyBorder="true" applyAlignment="true" applyProtection="true">
      <alignment horizontal="center" vertical="center" textRotation="0" wrapText="false" indent="0" shrinkToFit="false"/>
      <protection locked="true" hidden="false"/>
    </xf>
    <xf numFmtId="164" fontId="0" fillId="0" borderId="30" xfId="0" applyFont="true" applyBorder="true" applyAlignment="true" applyProtection="false">
      <alignment horizontal="general" vertical="center" textRotation="0" wrapText="false" indent="0" shrinkToFit="false"/>
      <protection locked="true" hidden="false"/>
    </xf>
    <xf numFmtId="164" fontId="0" fillId="0" borderId="30" xfId="0" applyFont="true" applyBorder="true" applyAlignment="true" applyProtection="false">
      <alignment horizontal="right" vertical="center" textRotation="0" wrapText="false" indent="0" shrinkToFit="false"/>
      <protection locked="true" hidden="false"/>
    </xf>
    <xf numFmtId="169" fontId="0" fillId="0" borderId="0" xfId="0" applyFont="false" applyBorder="true" applyAlignment="true" applyProtection="false">
      <alignment horizontal="right" vertical="top" textRotation="0" wrapText="false" indent="0"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24" fillId="0" borderId="30" xfId="0" applyFont="true" applyBorder="true" applyAlignment="true" applyProtection="false">
      <alignment horizontal="general" vertical="center" textRotation="0" wrapText="false" indent="0" shrinkToFit="false"/>
      <protection locked="true" hidden="false"/>
    </xf>
    <xf numFmtId="169" fontId="0" fillId="0" borderId="33" xfId="0" applyFont="true" applyBorder="true" applyAlignment="true" applyProtection="false">
      <alignment horizontal="right" vertical="top" textRotation="0" wrapText="false" indent="0" shrinkToFit="false"/>
      <protection locked="true" hidden="false"/>
    </xf>
    <xf numFmtId="169" fontId="0" fillId="0" borderId="0" xfId="0" applyFont="true" applyBorder="true" applyAlignment="true" applyProtection="false">
      <alignment horizontal="center" vertical="bottom" textRotation="0" wrapText="true" indent="0" shrinkToFit="false"/>
      <protection locked="true" hidden="false"/>
    </xf>
    <xf numFmtId="169" fontId="0" fillId="0" borderId="39" xfId="0" applyFont="true" applyBorder="true" applyAlignment="true" applyProtection="false">
      <alignment horizontal="right" vertical="bottom" textRotation="0" wrapText="false" indent="0" shrinkToFit="false"/>
      <protection locked="true" hidden="false"/>
    </xf>
    <xf numFmtId="164" fontId="7" fillId="19" borderId="1" xfId="38" applyFont="true" applyBorder="true" applyAlignment="false" applyProtection="false">
      <alignment horizontal="center" vertical="center" textRotation="0" wrapText="true" indent="0" shrinkToFit="false"/>
      <protection locked="true" hidden="false"/>
    </xf>
    <xf numFmtId="174" fontId="7" fillId="19" borderId="1" xfId="38" applyFont="false" applyBorder="false" applyAlignment="fals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187" fillId="20" borderId="1" xfId="39" applyFont="true" applyBorder="true" applyAlignment="false" applyProtection="false">
      <alignment horizontal="center" vertical="center" textRotation="0" wrapText="true" indent="0" shrinkToFit="false"/>
      <protection locked="true" hidden="false"/>
    </xf>
    <xf numFmtId="164" fontId="6" fillId="10" borderId="1" xfId="29" applyFont="true" applyBorder="true" applyAlignment="true" applyProtection="false">
      <alignment horizontal="center" vertical="center" textRotation="90" wrapText="true" indent="0" shrinkToFit="false"/>
      <protection locked="true" hidden="false"/>
    </xf>
    <xf numFmtId="164" fontId="4" fillId="3" borderId="109" xfId="22" applyFont="true" applyBorder="true" applyAlignment="true" applyProtection="true">
      <alignment horizontal="left" vertical="bottom" textRotation="0" wrapText="false" indent="0" shrinkToFit="false"/>
      <protection locked="true" hidden="false"/>
    </xf>
    <xf numFmtId="164" fontId="4" fillId="3" borderId="83" xfId="22" applyFont="true" applyBorder="true" applyAlignment="true" applyProtection="tru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center" textRotation="0" wrapText="true" indent="0" shrinkToFit="false"/>
      <protection locked="true" hidden="false"/>
    </xf>
    <xf numFmtId="169" fontId="6" fillId="10" borderId="1" xfId="29" applyFont="false" applyBorder="true" applyAlignment="false" applyProtection="false">
      <alignment horizontal="center" vertical="center" textRotation="0" wrapText="true" indent="0" shrinkToFit="false"/>
      <protection locked="true" hidden="false"/>
    </xf>
    <xf numFmtId="164" fontId="38" fillId="0" borderId="6" xfId="0" applyFont="true" applyBorder="true" applyAlignment="true" applyProtection="false">
      <alignment horizontal="center" vertical="center" textRotation="0" wrapText="true" indent="0" shrinkToFit="false"/>
      <protection locked="true" hidden="false"/>
    </xf>
    <xf numFmtId="169" fontId="0" fillId="0" borderId="7" xfId="0" applyFont="false" applyBorder="true" applyAlignment="true" applyProtection="false">
      <alignment horizontal="center" vertical="center" textRotation="0" wrapText="false" indent="0" shrinkToFit="false"/>
      <protection locked="true" hidden="false"/>
    </xf>
    <xf numFmtId="169" fontId="39" fillId="3" borderId="6" xfId="22" applyFont="true" applyBorder="true" applyAlignment="true" applyProtection="true">
      <alignment horizontal="center" vertical="center" textRotation="0" wrapText="false" indent="0" shrinkToFit="false"/>
      <protection locked="true" hidden="false"/>
    </xf>
    <xf numFmtId="171" fontId="0" fillId="0" borderId="0" xfId="19" applyFont="true" applyBorder="true" applyAlignment="true" applyProtection="true">
      <alignment horizontal="right" vertical="bottom" textRotation="0" wrapText="false" indent="0" shrinkToFit="false"/>
      <protection locked="true" hidden="false"/>
    </xf>
    <xf numFmtId="171" fontId="38" fillId="0" borderId="6" xfId="0" applyFont="true" applyBorder="true" applyAlignment="true" applyProtection="false">
      <alignment horizontal="center" vertical="center" textRotation="0" wrapText="true" indent="0" shrinkToFit="false"/>
      <protection locked="true" hidden="false"/>
    </xf>
    <xf numFmtId="164" fontId="175" fillId="0" borderId="0" xfId="0" applyFont="true" applyBorder="false" applyAlignment="false" applyProtection="false">
      <alignment horizontal="general" vertical="bottom" textRotation="0" wrapText="false" indent="0" shrinkToFit="false"/>
      <protection locked="true" hidden="false"/>
    </xf>
    <xf numFmtId="169" fontId="0" fillId="0" borderId="148"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4" fillId="3" borderId="0" xfId="22" applyFont="true" applyBorder="true" applyAlignment="true" applyProtection="true">
      <alignment horizontal="left" vertical="bottom" textRotation="0" wrapText="false" indent="0" shrinkToFit="false"/>
      <protection locked="true" hidden="false"/>
    </xf>
    <xf numFmtId="164" fontId="4" fillId="3" borderId="30" xfId="22" applyFont="true" applyBorder="true" applyAlignment="true" applyProtection="true">
      <alignment horizontal="center" vertical="bottom" textRotation="0" wrapText="false" indent="0" shrinkToFit="false"/>
      <protection locked="true" hidden="false"/>
    </xf>
    <xf numFmtId="164" fontId="0" fillId="0" borderId="39" xfId="0" applyFont="false" applyBorder="true" applyAlignment="true" applyProtection="false">
      <alignment horizontal="left" vertical="center" textRotation="0" wrapText="false" indent="0" shrinkToFit="false"/>
      <protection locked="true" hidden="false"/>
    </xf>
    <xf numFmtId="164" fontId="0" fillId="0" borderId="6" xfId="15" applyFont="true" applyBorder="true" applyAlignment="true" applyProtection="true">
      <alignment horizontal="center" vertical="center" textRotation="0" wrapText="true" indent="0" shrinkToFit="false"/>
      <protection locked="true" hidden="false"/>
    </xf>
    <xf numFmtId="171" fontId="0" fillId="0" borderId="16" xfId="19" applyFont="true" applyBorder="true" applyAlignment="true" applyProtection="true">
      <alignment horizontal="center" vertical="center" textRotation="0" wrapText="true" indent="0" shrinkToFit="false"/>
      <protection locked="true" hidden="false"/>
    </xf>
    <xf numFmtId="164" fontId="175" fillId="0" borderId="0" xfId="0" applyFont="true" applyBorder="true" applyAlignment="false" applyProtection="false">
      <alignment horizontal="general" vertical="bottom" textRotation="0" wrapText="false" indent="0" shrinkToFit="false"/>
      <protection locked="true" hidden="false"/>
    </xf>
    <xf numFmtId="171" fontId="0" fillId="0" borderId="37" xfId="19" applyFont="true" applyBorder="true" applyAlignment="true" applyProtection="true">
      <alignment horizontal="general" vertical="center" textRotation="0" wrapText="true" indent="0" shrinkToFit="false"/>
      <protection locked="true" hidden="false"/>
    </xf>
    <xf numFmtId="171" fontId="0" fillId="0" borderId="0" xfId="19" applyFont="true" applyBorder="true" applyAlignment="true" applyProtection="true">
      <alignment horizontal="general" vertical="center" textRotation="0" wrapText="true" indent="0" shrinkToFit="false"/>
      <protection locked="true" hidden="false"/>
    </xf>
    <xf numFmtId="171" fontId="0" fillId="0" borderId="148" xfId="19" applyFont="true" applyBorder="true" applyAlignment="true" applyProtection="true">
      <alignment horizontal="general" vertical="bottom" textRotation="0" wrapText="false" indent="0" shrinkToFit="false"/>
      <protection locked="true" hidden="false"/>
    </xf>
    <xf numFmtId="169" fontId="0" fillId="0" borderId="150" xfId="0" applyFont="fals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center" vertical="bottom" textRotation="0" wrapText="false" indent="0" shrinkToFit="false"/>
      <protection locked="true" hidden="false"/>
    </xf>
    <xf numFmtId="169" fontId="0" fillId="0" borderId="151" xfId="0" applyFont="false" applyBorder="true" applyAlignment="true" applyProtection="false">
      <alignment horizontal="right" vertical="top" textRotation="0" wrapText="true" indent="0" shrinkToFit="false"/>
      <protection locked="true" hidden="false"/>
    </xf>
    <xf numFmtId="164" fontId="0" fillId="0" borderId="16" xfId="0" applyFont="true" applyBorder="true" applyAlignment="true" applyProtection="false">
      <alignment horizontal="left" vertical="center" textRotation="0" wrapText="true" indent="0" shrinkToFit="false"/>
      <protection locked="true" hidden="false"/>
    </xf>
    <xf numFmtId="164" fontId="0" fillId="0" borderId="33" xfId="0" applyFont="false" applyBorder="true" applyAlignment="true" applyProtection="false">
      <alignment horizontal="general" vertical="top" textRotation="0" wrapText="true" indent="0" shrinkToFit="false"/>
      <protection locked="true" hidden="false"/>
    </xf>
    <xf numFmtId="164" fontId="0" fillId="0" borderId="152" xfId="0" applyFont="true" applyBorder="true" applyAlignment="true" applyProtection="false">
      <alignment horizontal="left" vertical="bottom" textRotation="0" wrapText="true" indent="0" shrinkToFit="false"/>
      <protection locked="true" hidden="false"/>
    </xf>
    <xf numFmtId="169" fontId="0" fillId="0" borderId="0" xfId="19" applyFont="true" applyBorder="true" applyAlignment="true" applyProtection="true">
      <alignment horizontal="left" vertical="bottom" textRotation="0" wrapText="false" indent="0" shrinkToFit="false"/>
      <protection locked="true" hidden="false"/>
    </xf>
    <xf numFmtId="169" fontId="0" fillId="0" borderId="33" xfId="0" applyFont="true" applyBorder="true" applyAlignment="true" applyProtection="false">
      <alignment horizontal="right" vertical="top" textRotation="0" wrapText="true" indent="0" shrinkToFit="false"/>
      <protection locked="true" hidden="false"/>
    </xf>
    <xf numFmtId="164" fontId="0" fillId="0" borderId="32" xfId="0" applyFont="false" applyBorder="true" applyAlignment="true" applyProtection="false">
      <alignment horizontal="left" vertical="bottom" textRotation="0" wrapText="true" indent="0" shrinkToFit="false"/>
      <protection locked="true" hidden="false"/>
    </xf>
    <xf numFmtId="164" fontId="0" fillId="0" borderId="92" xfId="0" applyFont="false" applyBorder="true" applyAlignment="true" applyProtection="false">
      <alignment horizontal="right" vertical="top" textRotation="0" wrapText="false" indent="0" shrinkToFit="false"/>
      <protection locked="true" hidden="false"/>
    </xf>
    <xf numFmtId="164" fontId="6" fillId="11" borderId="1" xfId="30" applyFont="true" applyBorder="true" applyAlignment="true" applyProtection="false">
      <alignment horizontal="center" vertical="center" textRotation="90" wrapText="true" indent="0" shrinkToFit="false"/>
      <protection locked="true" hidden="false"/>
    </xf>
    <xf numFmtId="164" fontId="4" fillId="3" borderId="60" xfId="22" applyFont="true" applyBorder="true" applyAlignment="true" applyProtection="true">
      <alignment horizontal="left" vertical="bottom" textRotation="0" wrapText="true" indent="0" shrinkToFit="false"/>
      <protection locked="true" hidden="false"/>
    </xf>
    <xf numFmtId="164" fontId="4" fillId="3" borderId="83" xfId="22" applyFont="true" applyBorder="true" applyAlignment="true" applyProtection="true">
      <alignment horizontal="center" vertical="center" textRotation="0" wrapText="false" indent="0" shrinkToFit="false"/>
      <protection locked="true" hidden="false"/>
    </xf>
    <xf numFmtId="169" fontId="6" fillId="11" borderId="1" xfId="30" applyFont="false" applyBorder="true" applyAlignment="true" applyProtection="false">
      <alignment horizontal="center" vertical="center" textRotation="0" wrapText="true" indent="0" shrinkToFit="false"/>
      <protection locked="true" hidden="false"/>
    </xf>
    <xf numFmtId="164" fontId="184" fillId="0" borderId="6" xfId="0" applyFont="true" applyBorder="true" applyAlignment="true" applyProtection="false">
      <alignment horizontal="center" vertical="center" textRotation="0" wrapText="false" indent="0" shrinkToFit="false"/>
      <protection locked="true" hidden="false"/>
    </xf>
    <xf numFmtId="171" fontId="0" fillId="0" borderId="6" xfId="0" applyFont="true" applyBorder="true" applyAlignment="true" applyProtection="false">
      <alignment horizontal="center" vertical="center" textRotation="0" wrapText="false" indent="0" shrinkToFit="false"/>
      <protection locked="true" hidden="false"/>
    </xf>
    <xf numFmtId="164" fontId="42" fillId="0" borderId="32"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71"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69" fontId="0" fillId="0" borderId="39" xfId="0" applyFont="false" applyBorder="true" applyAlignment="true" applyProtection="false">
      <alignment horizontal="right" vertical="bottom"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71" fontId="0" fillId="0" borderId="0" xfId="0" applyFont="false" applyBorder="true" applyAlignment="true" applyProtection="false">
      <alignment horizontal="right" vertical="bottom" textRotation="0" wrapText="false" indent="0" shrinkToFit="false"/>
      <protection locked="true" hidden="false"/>
    </xf>
    <xf numFmtId="164" fontId="0" fillId="0" borderId="30" xfId="0" applyFont="true" applyBorder="true" applyAlignment="true" applyProtection="false">
      <alignment horizontal="general" vertical="center" textRotation="0" wrapText="true" indent="0" shrinkToFit="false"/>
      <protection locked="true" hidden="false"/>
    </xf>
    <xf numFmtId="169" fontId="0" fillId="0" borderId="0" xfId="0" applyFont="false" applyBorder="true" applyAlignment="true" applyProtection="false">
      <alignment horizontal="general" vertical="top" textRotation="0" wrapText="true" indent="0" shrinkToFit="false"/>
      <protection locked="true" hidden="false"/>
    </xf>
    <xf numFmtId="166"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true" applyBorder="true" applyAlignment="true" applyProtection="false">
      <alignment horizontal="general" vertical="top" textRotation="0" wrapText="true" indent="0" shrinkToFit="false"/>
      <protection locked="true" hidden="false"/>
    </xf>
    <xf numFmtId="164" fontId="0" fillId="0" borderId="31" xfId="0" applyFont="false" applyBorder="true" applyAlignment="true" applyProtection="false">
      <alignment horizontal="general" vertical="top" textRotation="0" wrapText="true" indent="0" shrinkToFit="false"/>
      <protection locked="true" hidden="false"/>
    </xf>
    <xf numFmtId="169" fontId="0" fillId="0" borderId="31" xfId="0" applyFont="false" applyBorder="true" applyAlignment="true" applyProtection="false">
      <alignment horizontal="center" vertical="top" textRotation="0" wrapText="true" indent="0" shrinkToFit="false"/>
      <protection locked="true" hidden="false"/>
    </xf>
    <xf numFmtId="164" fontId="0" fillId="0" borderId="30" xfId="0" applyFont="true" applyBorder="true" applyAlignment="tru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top" textRotation="0" wrapText="true" indent="0" shrinkToFit="false"/>
      <protection locked="true" hidden="false"/>
    </xf>
    <xf numFmtId="169" fontId="0" fillId="0" borderId="33" xfId="0" applyFont="true" applyBorder="true" applyAlignment="true" applyProtection="false">
      <alignment horizontal="center" vertical="top" textRotation="0" wrapText="tru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true" applyAlignment="true" applyProtection="false">
      <alignment horizontal="righ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right" vertical="top" textRotation="0" wrapText="false" indent="0" shrinkToFit="false"/>
      <protection locked="true" hidden="false"/>
    </xf>
    <xf numFmtId="164" fontId="0" fillId="0" borderId="30" xfId="0" applyFont="true" applyBorder="true" applyAlignment="true" applyProtection="false">
      <alignment horizontal="left" vertical="center" textRotation="0" wrapText="true" indent="0" shrinkToFit="false"/>
      <protection locked="true" hidden="false"/>
    </xf>
    <xf numFmtId="164" fontId="0" fillId="0" borderId="92" xfId="0" applyFont="true" applyBorder="true" applyAlignment="true" applyProtection="false">
      <alignment horizontal="left" vertical="bottom" textRotation="0" wrapText="false" indent="0" shrinkToFit="false"/>
      <protection locked="true" hidden="false"/>
    </xf>
    <xf numFmtId="164" fontId="0" fillId="0" borderId="92" xfId="0" applyFont="true" applyBorder="true" applyAlignment="true" applyProtection="false">
      <alignment horizontal="right" vertical="bottom" textRotation="0" wrapText="true" indent="0" shrinkToFit="false"/>
      <protection locked="true" hidden="false"/>
    </xf>
    <xf numFmtId="164" fontId="0" fillId="0" borderId="92" xfId="0" applyFont="false" applyBorder="true" applyAlignment="true" applyProtection="false">
      <alignment horizontal="right" vertical="top" textRotation="0" wrapText="true" indent="0" shrinkToFit="false"/>
      <protection locked="true" hidden="false"/>
    </xf>
    <xf numFmtId="164" fontId="0" fillId="0" borderId="92" xfId="0" applyFont="false" applyBorder="true" applyAlignment="true" applyProtection="false">
      <alignment horizontal="general" vertical="center" textRotation="0" wrapText="false" indent="0" shrinkToFit="false"/>
      <protection locked="true" hidden="false"/>
    </xf>
    <xf numFmtId="164" fontId="4" fillId="0" borderId="92" xfId="22" applyFont="false" applyBorder="true" applyAlignment="true" applyProtection="true">
      <alignment horizontal="general" vertical="center" textRotation="0" wrapText="false" indent="0" shrinkToFit="false"/>
      <protection locked="true" hidden="false"/>
    </xf>
    <xf numFmtId="164" fontId="4" fillId="0" borderId="0" xfId="22"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top"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6" fillId="12" borderId="1" xfId="31" applyFont="true" applyBorder="true" applyAlignment="true" applyProtection="false">
      <alignment horizontal="center" vertical="center" textRotation="90" wrapText="true" indent="0" shrinkToFit="false"/>
      <protection locked="true" hidden="false"/>
    </xf>
    <xf numFmtId="164" fontId="4" fillId="3" borderId="60" xfId="22" applyFont="true" applyBorder="true" applyAlignment="true" applyProtection="true">
      <alignment horizontal="left" vertical="bottom" textRotation="0" wrapText="false" indent="0" shrinkToFit="false"/>
      <protection locked="true" hidden="false"/>
    </xf>
    <xf numFmtId="169" fontId="6" fillId="12" borderId="1" xfId="31" applyFont="false" applyBorder="true" applyAlignment="false" applyProtection="false">
      <alignment horizontal="center" vertical="center" textRotation="0" wrapText="true" indent="0" shrinkToFit="false"/>
      <protection locked="true" hidden="false"/>
    </xf>
    <xf numFmtId="164" fontId="0" fillId="0" borderId="37" xfId="0" applyFont="true" applyBorder="true" applyAlignment="true" applyProtection="false">
      <alignment horizontal="right" vertical="bottom" textRotation="0" wrapText="true" indent="0" shrinkToFit="false"/>
      <protection locked="true" hidden="false"/>
    </xf>
    <xf numFmtId="164" fontId="0" fillId="0" borderId="6" xfId="0" applyFont="false" applyBorder="true" applyAlignment="true" applyProtection="false">
      <alignment horizontal="general" vertical="center" textRotation="0" wrapText="false" indent="0" shrinkToFit="false"/>
      <protection locked="true" hidden="false"/>
    </xf>
    <xf numFmtId="164" fontId="0" fillId="0" borderId="3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13" borderId="1" xfId="32" applyFont="true" applyBorder="true" applyAlignment="true" applyProtection="false">
      <alignment horizontal="center" vertical="center" textRotation="90" wrapText="true" indent="0" shrinkToFit="false"/>
      <protection locked="true" hidden="false"/>
    </xf>
    <xf numFmtId="169" fontId="6" fillId="13" borderId="1" xfId="32" applyFont="false" applyBorder="true" applyAlignment="fals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4" fontId="0" fillId="0" borderId="30" xfId="0"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30" xfId="0" applyFont="false" applyBorder="true" applyAlignment="true" applyProtection="false">
      <alignment horizontal="general" vertical="bottom" textRotation="0" wrapText="true" indent="0" shrinkToFit="false"/>
      <protection locked="true" hidden="false"/>
    </xf>
    <xf numFmtId="164" fontId="161" fillId="0" borderId="6" xfId="0" applyFont="true" applyBorder="true" applyAlignment="true" applyProtection="false">
      <alignment horizontal="left" vertical="bottom" textRotation="0" wrapText="false" indent="0" shrinkToFit="false"/>
      <protection locked="true" hidden="false"/>
    </xf>
    <xf numFmtId="169" fontId="0" fillId="0" borderId="153" xfId="0" applyFont="false" applyBorder="true" applyAlignment="true" applyProtection="false">
      <alignment horizontal="right" vertical="top" textRotation="0" wrapText="false" indent="0" shrinkToFit="false"/>
      <protection locked="true" hidden="false"/>
    </xf>
    <xf numFmtId="164" fontId="161" fillId="0" borderId="6" xfId="0" applyFont="true" applyBorder="true" applyAlignment="true" applyProtection="false">
      <alignment horizontal="general" vertical="bottom" textRotation="0" wrapText="true" indent="0" shrinkToFit="false"/>
      <protection locked="true" hidden="false"/>
    </xf>
    <xf numFmtId="174" fontId="0" fillId="0" borderId="37"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true" applyProtection="false">
      <alignment horizontal="center" vertical="center" textRotation="0" wrapText="false" indent="0" shrinkToFit="false"/>
      <protection locked="true" hidden="false"/>
    </xf>
    <xf numFmtId="164" fontId="24" fillId="0" borderId="30" xfId="0" applyFont="true" applyBorder="true" applyAlignment="true" applyProtection="false">
      <alignment horizontal="general" vertical="bottom" textRotation="0" wrapText="false" indent="0" shrinkToFit="false"/>
      <protection locked="true" hidden="false"/>
    </xf>
    <xf numFmtId="164" fontId="24" fillId="0" borderId="0" xfId="0" applyFont="true" applyBorder="true" applyAlignment="true" applyProtection="false">
      <alignment horizontal="general" vertical="bottom" textRotation="0" wrapText="false" indent="0" shrinkToFit="false"/>
      <protection locked="true" hidden="false"/>
    </xf>
    <xf numFmtId="169" fontId="24" fillId="0" borderId="31"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true" applyProtection="false">
      <alignment horizontal="right" vertical="top" textRotation="0" wrapText="true" indent="0" shrinkToFit="false"/>
      <protection locked="true" hidden="false"/>
    </xf>
    <xf numFmtId="169" fontId="24" fillId="0" borderId="39" xfId="0" applyFont="true" applyBorder="true" applyAlignment="true" applyProtection="false">
      <alignment horizontal="center" vertical="center" textRotation="0" wrapText="true" indent="0" shrinkToFit="false"/>
      <protection locked="true" hidden="false"/>
    </xf>
    <xf numFmtId="169" fontId="0" fillId="0" borderId="39" xfId="0" applyFont="false" applyBorder="true" applyAlignment="true" applyProtection="false">
      <alignment horizontal="center" vertical="center" textRotation="0" wrapText="false" indent="0" shrinkToFit="false"/>
      <protection locked="true" hidden="false"/>
    </xf>
    <xf numFmtId="164" fontId="0" fillId="0" borderId="32" xfId="0" applyFont="true" applyBorder="true" applyAlignment="true" applyProtection="false">
      <alignment horizontal="general" vertical="bottom" textRotation="0" wrapText="true" indent="0" shrinkToFit="false"/>
      <protection locked="true" hidden="false"/>
    </xf>
    <xf numFmtId="164" fontId="7" fillId="20" borderId="1" xfId="39" applyFont="true" applyBorder="true" applyAlignment="false" applyProtection="false">
      <alignment horizontal="center" vertical="center" textRotation="0" wrapText="true" indent="0" shrinkToFit="false"/>
      <protection locked="true" hidden="false"/>
    </xf>
    <xf numFmtId="169" fontId="7" fillId="20" borderId="1" xfId="39" applyFont="false" applyBorder="false" applyAlignment="fals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21" borderId="1" xfId="40" applyFont="true" applyBorder="true" applyAlignment="true" applyProtection="false">
      <alignment horizontal="center" vertical="center" textRotation="0" wrapText="true" indent="0" shrinkToFit="false"/>
      <protection locked="true" hidden="false"/>
    </xf>
    <xf numFmtId="164" fontId="189" fillId="0" borderId="0" xfId="0" applyFont="true" applyBorder="false" applyAlignment="true" applyProtection="false">
      <alignment horizontal="center" vertical="center" textRotation="0" wrapText="false" indent="0" shrinkToFit="false"/>
      <protection locked="true" hidden="false"/>
    </xf>
    <xf numFmtId="164" fontId="5" fillId="14" borderId="1" xfId="33" applyFont="true" applyBorder="true" applyAlignment="true" applyProtection="false">
      <alignment horizontal="center" vertical="center" textRotation="90" wrapText="false" indent="0" shrinkToFit="false"/>
      <protection locked="true" hidden="false"/>
    </xf>
    <xf numFmtId="164" fontId="4" fillId="4" borderId="60" xfId="23" applyFont="true" applyBorder="true" applyAlignment="false" applyProtection="true">
      <alignment horizontal="general" vertical="top" textRotation="0" wrapText="false" indent="0" shrinkToFit="false"/>
      <protection locked="true" hidden="false"/>
    </xf>
    <xf numFmtId="164" fontId="4" fillId="4" borderId="83" xfId="23" applyFont="true" applyBorder="true" applyAlignment="false" applyProtection="true">
      <alignment horizontal="general" vertical="top" textRotation="0" wrapText="false" indent="0" shrinkToFit="false"/>
      <protection locked="true" hidden="false"/>
    </xf>
    <xf numFmtId="164" fontId="0" fillId="0" borderId="60" xfId="0" applyFont="false" applyBorder="true" applyAlignment="true" applyProtection="false">
      <alignment horizontal="center" vertical="center" textRotation="0" wrapText="true" indent="0" shrinkToFit="false"/>
      <protection locked="true" hidden="false"/>
    </xf>
    <xf numFmtId="169" fontId="5" fillId="14" borderId="1" xfId="33" applyFont="false" applyBorder="true" applyAlignment="true" applyProtection="false">
      <alignment horizontal="center" vertical="center" textRotation="0" wrapText="false" indent="0" shrinkToFit="false"/>
      <protection locked="true" hidden="false"/>
    </xf>
    <xf numFmtId="169" fontId="4" fillId="4" borderId="6" xfId="23" applyFont="false" applyBorder="true" applyAlignment="true" applyProtection="true">
      <alignment horizontal="general" vertical="center" textRotation="0" wrapText="false" indent="0" shrinkToFit="false"/>
      <protection locked="true" hidden="false"/>
    </xf>
    <xf numFmtId="172" fontId="0" fillId="0" borderId="0" xfId="0" applyFont="false" applyBorder="true" applyAlignment="true" applyProtection="false">
      <alignment horizontal="left" vertical="bottom" textRotation="0" wrapText="fals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189" fillId="0" borderId="0" xfId="0" applyFont="true" applyBorder="true" applyAlignment="true" applyProtection="false">
      <alignment horizontal="center" vertical="center" textRotation="0" wrapText="false" indent="0" shrinkToFit="false"/>
      <protection locked="true" hidden="false"/>
    </xf>
    <xf numFmtId="164" fontId="4" fillId="4" borderId="0" xfId="23" applyFont="true" applyBorder="true" applyAlignment="false" applyProtection="true">
      <alignment horizontal="general" vertical="top" textRotation="0" wrapText="false" indent="0" shrinkToFit="false"/>
      <protection locked="true" hidden="false"/>
    </xf>
    <xf numFmtId="164" fontId="4" fillId="4" borderId="30" xfId="23" applyFont="true" applyBorder="true" applyAlignment="false" applyProtection="true">
      <alignment horizontal="general" vertical="top" textRotation="0" wrapText="false" indent="0" shrinkToFit="false"/>
      <protection locked="true" hidden="false"/>
    </xf>
    <xf numFmtId="164" fontId="0" fillId="0" borderId="39" xfId="0" applyFont="true" applyBorder="true" applyAlignment="true" applyProtection="false">
      <alignment horizontal="left" vertical="center" textRotation="0" wrapText="false" indent="0" shrinkToFit="false"/>
      <protection locked="true" hidden="false"/>
    </xf>
    <xf numFmtId="164" fontId="0" fillId="0" borderId="39"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32" xfId="0" applyFont="true" applyBorder="true" applyAlignment="true" applyProtection="false">
      <alignment horizontal="center" vertical="center" textRotation="0" wrapText="true" indent="0" shrinkToFit="false"/>
      <protection locked="true" hidden="false"/>
    </xf>
    <xf numFmtId="164" fontId="0" fillId="0" borderId="33" xfId="0" applyFont="true" applyBorder="true" applyAlignment="true" applyProtection="false">
      <alignment horizontal="center" vertical="center" textRotation="0" wrapText="true" indent="0" shrinkToFit="false"/>
      <protection locked="true" hidden="false"/>
    </xf>
    <xf numFmtId="171" fontId="0" fillId="0" borderId="30" xfId="19" applyFont="true" applyBorder="true" applyAlignment="true" applyProtection="true">
      <alignment horizontal="center" vertical="center" textRotation="0" wrapText="tru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190" fillId="0" borderId="0" xfId="0" applyFont="true" applyBorder="false" applyAlignment="tru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0" fillId="0" borderId="92" xfId="0" applyFont="false" applyBorder="true" applyAlignment="true" applyProtection="false">
      <alignment horizontal="general" vertical="top" textRotation="0" wrapText="false" indent="0" shrinkToFit="false"/>
      <protection locked="true" hidden="false"/>
    </xf>
    <xf numFmtId="164" fontId="5" fillId="15" borderId="1" xfId="34" applyFont="true" applyBorder="true" applyAlignment="true" applyProtection="false">
      <alignment horizontal="center" vertical="center" textRotation="90" wrapText="false" indent="0" shrinkToFit="false"/>
      <protection locked="true" hidden="false"/>
    </xf>
    <xf numFmtId="164" fontId="0" fillId="0" borderId="60" xfId="0" applyFont="false" applyBorder="true" applyAlignment="true" applyProtection="false">
      <alignment horizontal="left" vertical="center" textRotation="0" wrapText="false" indent="0" shrinkToFit="false"/>
      <protection locked="true" hidden="false"/>
    </xf>
    <xf numFmtId="169" fontId="5" fillId="15" borderId="1" xfId="34" applyFont="false" applyBorder="true" applyAlignment="true" applyProtection="false">
      <alignment horizontal="center" vertical="center" textRotation="0" wrapText="false" indent="0" shrinkToFit="false"/>
      <protection locked="true" hidden="false"/>
    </xf>
    <xf numFmtId="164" fontId="38" fillId="0" borderId="7" xfId="0" applyFont="true" applyBorder="true" applyAlignment="true" applyProtection="false">
      <alignment horizontal="center" vertical="center" textRotation="0" wrapText="true" indent="0" shrinkToFit="false"/>
      <protection locked="true" hidden="false"/>
    </xf>
    <xf numFmtId="164" fontId="0" fillId="30" borderId="0" xfId="0" applyFont="false" applyBorder="true" applyAlignment="true" applyProtection="false">
      <alignment horizontal="center" vertical="center"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70" fontId="0" fillId="0" borderId="39" xfId="0" applyFont="false" applyBorder="true" applyAlignment="true" applyProtection="false">
      <alignment horizontal="left" vertical="bottom" textRotation="0" wrapText="false" indent="0" shrinkToFit="false"/>
      <protection locked="true" hidden="false"/>
    </xf>
    <xf numFmtId="170" fontId="0" fillId="0" borderId="0" xfId="0" applyFont="false" applyBorder="true" applyAlignment="true" applyProtection="false">
      <alignment horizontal="general" vertical="top" textRotation="0" wrapText="fals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0" fillId="0" borderId="154" xfId="0" applyFont="false" applyBorder="true" applyAlignment="false" applyProtection="false">
      <alignment horizontal="general" vertical="bottom" textRotation="0" wrapText="false" indent="0" shrinkToFit="false"/>
      <protection locked="true" hidden="false"/>
    </xf>
    <xf numFmtId="184"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19"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8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right" vertical="bottom" textRotation="0" wrapText="false" indent="0" shrinkToFit="false"/>
      <protection locked="true" hidden="false"/>
    </xf>
    <xf numFmtId="169" fontId="0" fillId="0" borderId="39" xfId="0" applyFont="false" applyBorder="true" applyAlignment="true" applyProtection="false">
      <alignment horizontal="general" vertical="top"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38" fillId="0" borderId="39" xfId="0" applyFont="true" applyBorder="true" applyAlignment="true" applyProtection="false">
      <alignment horizontal="right" vertical="bottom" textRotation="0" wrapText="false" indent="0" shrinkToFit="false"/>
      <protection locked="true" hidden="false"/>
    </xf>
    <xf numFmtId="164" fontId="5" fillId="16" borderId="1" xfId="35" applyFont="true" applyBorder="true" applyAlignment="true" applyProtection="false">
      <alignment horizontal="center" vertical="center" textRotation="90" wrapText="false" indent="0" shrinkToFit="false"/>
      <protection locked="true" hidden="false"/>
    </xf>
    <xf numFmtId="169" fontId="5" fillId="16" borderId="1" xfId="35" applyFont="false" applyBorder="true" applyAlignment="true" applyProtection="false">
      <alignment horizontal="center" vertical="center" textRotation="0" wrapText="false" indent="0" shrinkToFit="false"/>
      <protection locked="true" hidden="false"/>
    </xf>
    <xf numFmtId="164" fontId="4" fillId="0" borderId="0" xfId="42" applyFont="false" applyBorder="true" applyAlignment="true" applyProtection="false">
      <alignment horizontal="general" vertical="bottom" textRotation="0" wrapText="false" indent="0" shrinkToFit="false"/>
      <protection locked="true" hidden="false"/>
    </xf>
    <xf numFmtId="164" fontId="4" fillId="0" borderId="31" xfId="42" applyFont="false" applyBorder="true" applyAlignment="true" applyProtection="false">
      <alignment horizontal="general" vertical="bottom" textRotation="0" wrapText="false" indent="0" shrinkToFit="false"/>
      <protection locked="true" hidden="false"/>
    </xf>
    <xf numFmtId="164" fontId="181" fillId="39" borderId="16" xfId="42" applyFont="true" applyBorder="true" applyAlignment="true" applyProtection="false">
      <alignment horizontal="center" vertical="bottom" textRotation="0" wrapText="false" indent="0" shrinkToFit="false"/>
      <protection locked="true" hidden="false"/>
    </xf>
    <xf numFmtId="174" fontId="0" fillId="0" borderId="6" xfId="15" applyFont="false" applyBorder="true" applyAlignment="true" applyProtection="true">
      <alignment horizontal="center" vertical="bottom" textRotation="0" wrapText="false" indent="0" shrinkToFit="false"/>
      <protection locked="true" hidden="false"/>
    </xf>
    <xf numFmtId="164" fontId="4" fillId="0" borderId="39" xfId="42" applyFont="false" applyBorder="true" applyAlignment="true" applyProtection="false">
      <alignment horizontal="general" vertical="bottom" textRotation="0" wrapText="false" indent="0" shrinkToFit="false"/>
      <protection locked="true" hidden="false"/>
    </xf>
    <xf numFmtId="164" fontId="4" fillId="0" borderId="32" xfId="42" applyFont="false" applyBorder="true" applyAlignment="true" applyProtection="false">
      <alignment horizontal="center" vertical="center" textRotation="0" wrapText="false" indent="0" shrinkToFit="false"/>
      <protection locked="true" hidden="false"/>
    </xf>
    <xf numFmtId="164" fontId="4" fillId="0" borderId="39" xfId="42" applyFont="false" applyBorder="true" applyAlignment="true" applyProtection="false">
      <alignment horizontal="center" vertical="center" textRotation="0" wrapText="true" indent="0" shrinkToFit="false"/>
      <protection locked="true" hidden="false"/>
    </xf>
    <xf numFmtId="164" fontId="4" fillId="0" borderId="33" xfId="42" applyFont="false" applyBorder="true" applyAlignment="true" applyProtection="false">
      <alignment horizontal="center" vertical="center" textRotation="0" wrapText="true" indent="0" shrinkToFit="false"/>
      <protection locked="true" hidden="false"/>
    </xf>
    <xf numFmtId="164" fontId="181" fillId="39" borderId="6" xfId="42" applyFont="true" applyBorder="true" applyAlignment="true" applyProtection="false">
      <alignment horizontal="center" vertical="center" textRotation="0" wrapText="false" indent="0" shrinkToFit="false"/>
      <protection locked="true" hidden="false"/>
    </xf>
    <xf numFmtId="164" fontId="4" fillId="0" borderId="16" xfId="42" applyFont="false" applyBorder="true" applyAlignment="true" applyProtection="false">
      <alignment horizontal="center" vertical="bottom" textRotation="0" wrapText="false" indent="0" shrinkToFit="false"/>
      <protection locked="true" hidden="false"/>
    </xf>
    <xf numFmtId="164" fontId="4" fillId="50" borderId="8" xfId="42" applyFont="false" applyBorder="true" applyAlignment="true" applyProtection="false">
      <alignment horizontal="center" vertical="center" textRotation="0" wrapText="false" indent="0" shrinkToFit="false"/>
      <protection locked="true" hidden="false"/>
    </xf>
    <xf numFmtId="164" fontId="4" fillId="51" borderId="6" xfId="42" applyFont="false" applyBorder="true" applyAlignment="true" applyProtection="false">
      <alignment horizontal="center" vertical="center" textRotation="0" wrapText="false" indent="0" shrinkToFit="false"/>
      <protection locked="true" hidden="false"/>
    </xf>
    <xf numFmtId="164" fontId="4" fillId="27" borderId="6" xfId="42" applyFont="false" applyBorder="true" applyAlignment="true" applyProtection="false">
      <alignment horizontal="center" vertical="center" textRotation="0" wrapText="false" indent="0" shrinkToFit="false"/>
      <protection locked="true" hidden="false"/>
    </xf>
    <xf numFmtId="170" fontId="0" fillId="0" borderId="6" xfId="0" applyFont="false" applyBorder="true" applyAlignment="true" applyProtection="false">
      <alignment horizontal="center" vertical="bottom" textRotation="0" wrapText="false" indent="0" shrinkToFit="false"/>
      <protection locked="true" hidden="false"/>
    </xf>
    <xf numFmtId="164" fontId="4" fillId="0" borderId="17" xfId="42" applyFont="false" applyBorder="true" applyAlignment="true" applyProtection="false">
      <alignment horizontal="center" vertical="bottom" textRotation="0" wrapText="true" indent="0" shrinkToFit="false"/>
      <protection locked="true" hidden="false"/>
    </xf>
    <xf numFmtId="164" fontId="4" fillId="52" borderId="6" xfId="42" applyFont="false" applyBorder="true" applyAlignment="true" applyProtection="false">
      <alignment horizontal="center" vertical="center" textRotation="0" wrapText="false" indent="0" shrinkToFit="false"/>
      <protection locked="true" hidden="false"/>
    </xf>
    <xf numFmtId="164" fontId="4" fillId="53" borderId="6" xfId="42" applyFont="false" applyBorder="true" applyAlignment="true" applyProtection="false">
      <alignment horizontal="center" vertical="center" textRotation="0" wrapText="false" indent="0" shrinkToFit="false"/>
      <protection locked="true" hidden="false"/>
    </xf>
    <xf numFmtId="164" fontId="4" fillId="54" borderId="6" xfId="42" applyFont="false" applyBorder="true" applyAlignment="true" applyProtection="false">
      <alignment horizontal="center" vertical="center" textRotation="0" wrapText="false" indent="0" shrinkToFit="false"/>
      <protection locked="true" hidden="false"/>
    </xf>
    <xf numFmtId="184" fontId="0" fillId="0" borderId="148" xfId="0" applyFont="false" applyBorder="true" applyAlignment="true" applyProtection="false">
      <alignment horizontal="left" vertical="bottom" textRotation="0" wrapText="false" indent="0" shrinkToFit="false"/>
      <protection locked="true" hidden="false"/>
    </xf>
    <xf numFmtId="164" fontId="4" fillId="0" borderId="17" xfId="42" applyFont="false" applyBorder="true" applyAlignment="true" applyProtection="false">
      <alignment horizontal="center" vertical="bottom" textRotation="0" wrapText="false" indent="0" shrinkToFit="false"/>
      <protection locked="true" hidden="false"/>
    </xf>
    <xf numFmtId="164" fontId="4" fillId="55" borderId="6" xfId="42" applyFont="true" applyBorder="true" applyAlignment="true" applyProtection="false">
      <alignment horizontal="center" vertical="center" textRotation="0" wrapText="false" indent="0" shrinkToFit="false"/>
      <protection locked="true" hidden="false"/>
    </xf>
    <xf numFmtId="164" fontId="4" fillId="56" borderId="6" xfId="42" applyFont="false" applyBorder="true" applyAlignment="true" applyProtection="false">
      <alignment horizontal="center" vertical="center" textRotation="0" wrapText="false" indent="0" shrinkToFit="false"/>
      <protection locked="true" hidden="false"/>
    </xf>
    <xf numFmtId="164" fontId="53" fillId="0" borderId="0" xfId="0" applyFont="true" applyBorder="true" applyAlignment="true" applyProtection="false">
      <alignment horizontal="right" vertical="top" textRotation="0" wrapText="false" indent="0" shrinkToFit="false"/>
      <protection locked="true" hidden="false"/>
    </xf>
    <xf numFmtId="164" fontId="4" fillId="0" borderId="19" xfId="42" applyFont="false" applyBorder="true" applyAlignment="true" applyProtection="false">
      <alignment horizontal="center" vertical="bottom" textRotation="0" wrapText="false" indent="0" shrinkToFit="false"/>
      <protection locked="true" hidden="false"/>
    </xf>
    <xf numFmtId="164" fontId="0" fillId="50" borderId="6" xfId="0" applyFont="false" applyBorder="true" applyAlignment="true" applyProtection="false">
      <alignment horizontal="center" vertical="bottom" textRotation="0" wrapText="false" indent="0" shrinkToFit="false"/>
      <protection locked="true" hidden="false"/>
    </xf>
    <xf numFmtId="164" fontId="4" fillId="55" borderId="6" xfId="0" applyFont="true" applyBorder="true" applyAlignment="true" applyProtection="false">
      <alignment horizontal="center" vertical="bottom" textRotation="0" wrapText="false" indent="0" shrinkToFit="false"/>
      <protection locked="true" hidden="false"/>
    </xf>
    <xf numFmtId="164" fontId="0" fillId="56" borderId="6" xfId="0" applyFont="false" applyBorder="true" applyAlignment="true" applyProtection="false">
      <alignment horizontal="center" vertical="bottom" textRotation="0" wrapText="false" indent="0" shrinkToFit="false"/>
      <protection locked="true" hidden="false"/>
    </xf>
    <xf numFmtId="164" fontId="0" fillId="54" borderId="6" xfId="0" applyFont="false" applyBorder="true" applyAlignment="true" applyProtection="false">
      <alignment horizontal="center" vertical="bottom" textRotation="0" wrapText="false" indent="0" shrinkToFit="false"/>
      <protection locked="true" hidden="false"/>
    </xf>
    <xf numFmtId="169" fontId="0" fillId="0" borderId="31" xfId="0" applyFont="false" applyBorder="true" applyAlignment="true" applyProtection="false">
      <alignment horizontal="general" vertical="top" textRotation="0" wrapText="false" indent="0" shrinkToFit="false"/>
      <protection locked="true" hidden="false"/>
    </xf>
    <xf numFmtId="169" fontId="0" fillId="0" borderId="31" xfId="0" applyFont="false" applyBorder="true" applyAlignment="true" applyProtection="false">
      <alignment horizontal="left" vertical="top" textRotation="0" wrapText="false" indent="0" shrinkToFit="false"/>
      <protection locked="true" hidden="false"/>
    </xf>
    <xf numFmtId="169" fontId="0" fillId="0" borderId="33" xfId="0" applyFont="false" applyBorder="true" applyAlignment="true" applyProtection="false">
      <alignment horizontal="left" vertical="top" textRotation="0" wrapText="false" indent="0" shrinkToFit="false"/>
      <protection locked="true" hidden="false"/>
    </xf>
    <xf numFmtId="164" fontId="5" fillId="17" borderId="26" xfId="36" applyFont="true" applyBorder="true" applyAlignment="true" applyProtection="false">
      <alignment horizontal="center" vertical="center" textRotation="90" wrapText="false" indent="0" shrinkToFit="false"/>
      <protection locked="true" hidden="false"/>
    </xf>
    <xf numFmtId="164" fontId="0" fillId="0" borderId="61" xfId="0" applyFont="false" applyBorder="true" applyAlignment="true" applyProtection="false">
      <alignment horizontal="left" vertical="center" textRotation="0" wrapText="false" indent="0" shrinkToFit="false"/>
      <protection locked="true" hidden="false"/>
    </xf>
    <xf numFmtId="169" fontId="5" fillId="17" borderId="3" xfId="36" applyFont="false" applyBorder="true" applyAlignment="true" applyProtection="false">
      <alignment horizontal="center" vertical="center" textRotation="0" wrapText="false" indent="0" shrinkToFit="false"/>
      <protection locked="true" hidden="false"/>
    </xf>
    <xf numFmtId="164" fontId="0" fillId="0" borderId="6" xfId="19" applyFont="true" applyBorder="true" applyAlignment="true" applyProtection="true">
      <alignment horizontal="center" vertical="center" textRotation="0" wrapText="true" indent="0" shrinkToFit="false"/>
      <protection locked="true" hidden="false"/>
    </xf>
    <xf numFmtId="164" fontId="0" fillId="0" borderId="62" xfId="0" applyFont="false" applyBorder="true" applyAlignment="true" applyProtection="false">
      <alignment horizontal="center" vertical="center" textRotation="0" wrapText="false" indent="0" shrinkToFit="false"/>
      <protection locked="true" hidden="false"/>
    </xf>
    <xf numFmtId="169" fontId="0" fillId="0" borderId="8" xfId="0" applyFont="false" applyBorder="true" applyAlignment="true" applyProtection="false">
      <alignment horizontal="right" vertical="top" textRotation="0" wrapText="false" indent="0" shrinkToFit="false"/>
      <protection locked="true" hidden="false"/>
    </xf>
    <xf numFmtId="164" fontId="0" fillId="0" borderId="62" xfId="0" applyFont="false" applyBorder="true" applyAlignment="true" applyProtection="false">
      <alignment horizontal="center" vertical="bottom" textRotation="0" wrapText="false" indent="0" shrinkToFit="false"/>
      <protection locked="true" hidden="false"/>
    </xf>
    <xf numFmtId="172" fontId="0" fillId="0" borderId="39" xfId="19" applyFont="true" applyBorder="true" applyAlignment="true" applyProtection="true">
      <alignment horizontal="left" vertical="bottom" textRotation="0" wrapText="false" indent="0" shrinkToFit="false"/>
      <protection locked="true" hidden="false"/>
    </xf>
    <xf numFmtId="164" fontId="0" fillId="0" borderId="16" xfId="19" applyFont="true" applyBorder="true" applyAlignment="true" applyProtection="true">
      <alignment horizontal="center" vertical="center" textRotation="0" wrapText="true" indent="0" shrinkToFit="false"/>
      <protection locked="true" hidden="false"/>
    </xf>
    <xf numFmtId="164" fontId="0" fillId="0" borderId="62" xfId="0" applyFont="false" applyBorder="true" applyAlignment="true" applyProtection="false">
      <alignment horizontal="left" vertical="center" textRotation="0" wrapText="false" indent="0" shrinkToFit="false"/>
      <protection locked="true" hidden="false"/>
    </xf>
    <xf numFmtId="172" fontId="0" fillId="0" borderId="39" xfId="0" applyFont="false" applyBorder="true" applyAlignment="true" applyProtection="false">
      <alignment horizontal="left" vertical="bottom" textRotation="0" wrapText="false" indent="0" shrinkToFit="false"/>
      <protection locked="true" hidden="false"/>
    </xf>
    <xf numFmtId="164" fontId="0" fillId="0" borderId="92" xfId="0" applyFont="false" applyBorder="true" applyAlignment="false" applyProtection="false">
      <alignment horizontal="general" vertical="bottom" textRotation="0" wrapText="false" indent="0" shrinkToFit="false"/>
      <protection locked="true" hidden="false"/>
    </xf>
    <xf numFmtId="173" fontId="0" fillId="0" borderId="92" xfId="0" applyFont="true" applyBorder="true" applyAlignment="true" applyProtection="false">
      <alignment horizontal="left" vertical="bottom" textRotation="0" wrapText="false" indent="0" shrinkToFit="false"/>
      <protection locked="true" hidden="false"/>
    </xf>
    <xf numFmtId="164" fontId="0" fillId="0" borderId="92" xfId="0" applyFont="false" applyBorder="true" applyAlignment="true" applyProtection="false">
      <alignment horizontal="right" vertical="top" textRotation="0" wrapText="false" indent="0" shrinkToFit="false"/>
      <protection locked="true" hidden="false"/>
    </xf>
    <xf numFmtId="164" fontId="4" fillId="0" borderId="92" xfId="23" applyFont="false" applyBorder="true" applyAlignment="false" applyProtection="true">
      <alignment horizontal="general" vertical="top"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8" fillId="21" borderId="1" xfId="40" applyFont="true" applyBorder="true" applyAlignment="false" applyProtection="false">
      <alignment horizontal="center" vertical="center" textRotation="0" wrapText="true" indent="0" shrinkToFit="false"/>
      <protection locked="true" hidden="false"/>
    </xf>
    <xf numFmtId="169" fontId="8" fillId="21" borderId="1" xfId="4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92" fillId="31" borderId="1" xfId="0" applyFont="true" applyBorder="true" applyAlignment="true" applyProtection="false">
      <alignment horizontal="center" vertical="center" textRotation="0" wrapText="false" indent="0" shrinkToFit="false"/>
      <protection locked="true" hidden="false"/>
    </xf>
    <xf numFmtId="168" fontId="193" fillId="0" borderId="0" xfId="0" applyFont="true" applyBorder="true" applyAlignment="true" applyProtection="false">
      <alignment horizontal="general" vertical="center" textRotation="0" wrapText="false" indent="0" shrinkToFit="false"/>
      <protection locked="true" hidden="false"/>
    </xf>
    <xf numFmtId="164" fontId="192" fillId="0" borderId="0" xfId="0" applyFont="true" applyBorder="true" applyAlignment="true" applyProtection="false">
      <alignment horizontal="center" vertical="center" textRotation="0" wrapText="false" indent="0" shrinkToFit="false"/>
      <protection locked="true" hidden="false"/>
    </xf>
    <xf numFmtId="168" fontId="193" fillId="0" borderId="0" xfId="0" applyFont="true" applyBorder="true" applyAlignment="true" applyProtection="false">
      <alignment horizontal="center" vertical="center" textRotation="0" wrapText="false" indent="0" shrinkToFit="false"/>
      <protection locked="true" hidden="false"/>
    </xf>
    <xf numFmtId="164" fontId="189" fillId="38" borderId="1" xfId="0" applyFont="true" applyBorder="true" applyAlignment="true" applyProtection="false">
      <alignment horizontal="center" vertical="center" textRotation="0" wrapText="false" indent="0" shrinkToFit="false"/>
      <protection locked="true" hidden="false"/>
    </xf>
    <xf numFmtId="164" fontId="8" fillId="0" borderId="40" xfId="0" applyFont="true" applyBorder="true" applyAlignment="true" applyProtection="false">
      <alignment horizontal="center" vertical="bottom" textRotation="0" wrapText="false" indent="0" shrinkToFit="false"/>
      <protection locked="true" hidden="false"/>
    </xf>
    <xf numFmtId="164" fontId="161" fillId="0" borderId="58" xfId="0" applyFont="true" applyBorder="true" applyAlignment="true" applyProtection="false">
      <alignment horizontal="center" vertical="center" textRotation="0" wrapText="false" indent="0" shrinkToFit="false"/>
      <protection locked="true" hidden="false"/>
    </xf>
    <xf numFmtId="164" fontId="161" fillId="0" borderId="67" xfId="0" applyFont="true" applyBorder="true" applyAlignment="true" applyProtection="false">
      <alignment horizontal="center" vertical="center" textRotation="0" wrapText="false" indent="0" shrinkToFit="false"/>
      <protection locked="true" hidden="false"/>
    </xf>
    <xf numFmtId="164" fontId="161" fillId="0" borderId="68" xfId="0" applyFont="true" applyBorder="true" applyAlignment="true" applyProtection="false">
      <alignment horizontal="center" vertical="center" textRotation="0" wrapText="false" indent="0" shrinkToFit="false"/>
      <protection locked="true" hidden="false"/>
    </xf>
    <xf numFmtId="164" fontId="161" fillId="0" borderId="75" xfId="0" applyFont="true" applyBorder="true" applyAlignment="true" applyProtection="false">
      <alignment horizontal="center" vertical="center" textRotation="0" wrapText="true" indent="0" shrinkToFit="false"/>
      <protection locked="true" hidden="false"/>
    </xf>
    <xf numFmtId="164" fontId="161" fillId="0" borderId="58" xfId="0" applyFont="true" applyBorder="true" applyAlignment="true" applyProtection="false">
      <alignment horizontal="center" vertical="center" textRotation="0" wrapText="true" indent="0" shrinkToFit="false"/>
      <protection locked="true" hidden="false"/>
    </xf>
    <xf numFmtId="164" fontId="194" fillId="19" borderId="1" xfId="38" applyFont="true" applyBorder="true" applyAlignment="true" applyProtection="false">
      <alignment horizontal="center" vertical="center" textRotation="90" wrapText="true" indent="0" shrinkToFit="false"/>
      <protection locked="true" hidden="false"/>
    </xf>
    <xf numFmtId="164" fontId="5" fillId="5" borderId="1" xfId="24" applyFont="true" applyBorder="true" applyAlignment="true" applyProtection="false">
      <alignment horizontal="center" vertical="center" textRotation="0" wrapText="true" indent="0" shrinkToFit="false"/>
      <protection locked="true" hidden="false"/>
    </xf>
    <xf numFmtId="172" fontId="23" fillId="0" borderId="65" xfId="0" applyFont="true" applyBorder="true" applyAlignment="true" applyProtection="false">
      <alignment horizontal="left" vertical="center" textRotation="0" wrapText="false" indent="0" shrinkToFit="false"/>
      <protection locked="true" hidden="false"/>
    </xf>
    <xf numFmtId="172" fontId="23" fillId="0" borderId="72" xfId="0" applyFont="true" applyBorder="true" applyAlignment="true" applyProtection="false">
      <alignment horizontal="center" vertical="center" textRotation="0" wrapText="true" indent="0" shrinkToFit="false"/>
      <protection locked="true" hidden="false"/>
    </xf>
    <xf numFmtId="169" fontId="73" fillId="0" borderId="52" xfId="0" applyFont="true" applyBorder="true" applyAlignment="true" applyProtection="false">
      <alignment horizontal="right" vertical="center" textRotation="0" wrapText="false" indent="0" shrinkToFit="false"/>
      <protection locked="true" hidden="false"/>
    </xf>
    <xf numFmtId="164" fontId="0" fillId="0" borderId="60" xfId="0" applyFont="true" applyBorder="true" applyAlignment="true" applyProtection="false">
      <alignment horizontal="center" vertical="center" textRotation="0" wrapText="false" indent="0" shrinkToFit="false"/>
      <protection locked="true" hidden="false"/>
    </xf>
    <xf numFmtId="174" fontId="73" fillId="0" borderId="61" xfId="0" applyFont="true" applyBorder="true" applyAlignment="true" applyProtection="false">
      <alignment horizontal="left" vertical="center" textRotation="0" wrapText="false" indent="0" shrinkToFit="false"/>
      <protection locked="true" hidden="false"/>
    </xf>
    <xf numFmtId="169" fontId="24" fillId="0" borderId="27" xfId="0" applyFont="true" applyBorder="true" applyAlignment="true" applyProtection="false">
      <alignment horizontal="right" vertical="center" textRotation="0" wrapText="false" indent="0" shrinkToFit="false"/>
      <protection locked="true" hidden="false"/>
    </xf>
    <xf numFmtId="164" fontId="24" fillId="0" borderId="27" xfId="0" applyFont="true" applyBorder="true" applyAlignment="true" applyProtection="false">
      <alignment horizontal="center" vertical="center" textRotation="0" wrapText="false" indent="0" shrinkToFit="false"/>
      <protection locked="true" hidden="false"/>
    </xf>
    <xf numFmtId="164" fontId="24" fillId="0" borderId="3" xfId="0" applyFont="true" applyBorder="true" applyAlignment="true" applyProtection="false">
      <alignment horizontal="left" vertical="center" textRotation="0" wrapText="false" indent="0" shrinkToFit="false"/>
      <protection locked="true" hidden="false"/>
    </xf>
    <xf numFmtId="172" fontId="23" fillId="0" borderId="6" xfId="0" applyFont="true" applyBorder="true" applyAlignment="true" applyProtection="false">
      <alignment horizontal="left" vertical="center" textRotation="0" wrapText="false" indent="0" shrinkToFit="false"/>
      <protection locked="true" hidden="false"/>
    </xf>
    <xf numFmtId="172" fontId="23" fillId="0" borderId="7" xfId="0" applyFont="true" applyBorder="true" applyAlignment="true" applyProtection="false">
      <alignment horizontal="center" vertical="center" textRotation="0" wrapText="true" indent="0" shrinkToFit="false"/>
      <protection locked="true" hidden="false"/>
    </xf>
    <xf numFmtId="169" fontId="73" fillId="0" borderId="25" xfId="0" applyFont="true" applyBorder="true" applyAlignment="true" applyProtection="false">
      <alignment horizontal="right" vertical="center" textRotation="0" wrapText="false" indent="0" shrinkToFit="false"/>
      <protection locked="true" hidden="false"/>
    </xf>
    <xf numFmtId="174" fontId="73" fillId="0" borderId="62" xfId="0" applyFont="true" applyBorder="true" applyAlignment="true" applyProtection="false">
      <alignment horizontal="left" vertical="center" textRotation="0" wrapText="false" indent="0" shrinkToFit="false"/>
      <protection locked="true" hidden="false"/>
    </xf>
    <xf numFmtId="164" fontId="73" fillId="0" borderId="68" xfId="0" applyFont="true" applyBorder="true" applyAlignment="true" applyProtection="false">
      <alignment horizontal="left" vertical="center" textRotation="0" wrapText="false" indent="0" shrinkToFit="true"/>
      <protection locked="true" hidden="false"/>
    </xf>
    <xf numFmtId="172" fontId="23" fillId="0" borderId="69" xfId="0" applyFont="true" applyBorder="true" applyAlignment="true" applyProtection="false">
      <alignment horizontal="center" vertical="center" textRotation="0" wrapText="true" indent="0" shrinkToFit="false"/>
      <protection locked="true" hidden="false"/>
    </xf>
    <xf numFmtId="169" fontId="73" fillId="0" borderId="91" xfId="0" applyFont="true" applyBorder="true" applyAlignment="true" applyProtection="false">
      <alignment horizontal="right" vertical="center" textRotation="0" wrapText="false" indent="0" shrinkToFit="false"/>
      <protection locked="true" hidden="false"/>
    </xf>
    <xf numFmtId="164" fontId="0" fillId="0" borderId="92" xfId="0" applyFont="true" applyBorder="true" applyAlignment="true" applyProtection="false">
      <alignment horizontal="center" vertical="center" textRotation="0" wrapText="false" indent="0" shrinkToFit="false"/>
      <protection locked="true" hidden="false"/>
    </xf>
    <xf numFmtId="174" fontId="73" fillId="0" borderId="5" xfId="0" applyFont="true" applyBorder="true" applyAlignment="true" applyProtection="false">
      <alignment horizontal="left" vertical="center" textRotation="0" wrapText="false" indent="0" shrinkToFit="false"/>
      <protection locked="true" hidden="false"/>
    </xf>
    <xf numFmtId="164" fontId="5" fillId="6" borderId="1" xfId="25" applyFont="true" applyBorder="true" applyAlignment="true" applyProtection="false">
      <alignment horizontal="center" vertical="center" textRotation="0" wrapText="true" indent="0" shrinkToFit="false"/>
      <protection locked="true" hidden="false"/>
    </xf>
    <xf numFmtId="172" fontId="23" fillId="0" borderId="65" xfId="0" applyFont="true" applyBorder="true" applyAlignment="true" applyProtection="false">
      <alignment horizontal="left" vertical="center" textRotation="0" wrapText="true" indent="0" shrinkToFit="false"/>
      <protection locked="true" hidden="false"/>
    </xf>
    <xf numFmtId="172" fontId="23" fillId="0" borderId="6" xfId="0" applyFont="true" applyBorder="true" applyAlignment="true" applyProtection="false">
      <alignment horizontal="left" vertical="center" textRotation="0" wrapText="true" indent="0" shrinkToFit="false"/>
      <protection locked="true" hidden="false"/>
    </xf>
    <xf numFmtId="172" fontId="23" fillId="0" borderId="68" xfId="0" applyFont="true" applyBorder="true" applyAlignment="true" applyProtection="false">
      <alignment horizontal="left" vertical="center" textRotation="0" wrapText="true" indent="0" shrinkToFit="false"/>
      <protection locked="true" hidden="false"/>
    </xf>
    <xf numFmtId="164" fontId="6" fillId="8" borderId="1" xfId="27" applyFont="true" applyBorder="true" applyAlignment="true" applyProtection="false">
      <alignment horizontal="center" vertical="center" textRotation="0" wrapText="true" indent="0" shrinkToFit="false"/>
      <protection locked="true" hidden="false"/>
    </xf>
    <xf numFmtId="164" fontId="73" fillId="0" borderId="72" xfId="0" applyFont="true" applyBorder="true" applyAlignment="true" applyProtection="false">
      <alignment horizontal="center" vertical="bottom" textRotation="0" wrapText="false" indent="0" shrinkToFit="false"/>
      <protection locked="true" hidden="false"/>
    </xf>
    <xf numFmtId="164" fontId="73" fillId="0" borderId="7" xfId="0" applyFont="true" applyBorder="true" applyAlignment="true" applyProtection="false">
      <alignment horizontal="center" vertical="bottom" textRotation="0" wrapText="false" indent="0" shrinkToFit="false"/>
      <protection locked="true" hidden="false"/>
    </xf>
    <xf numFmtId="164" fontId="73" fillId="0" borderId="68" xfId="0" applyFont="true" applyBorder="true" applyAlignment="true" applyProtection="false">
      <alignment horizontal="left" vertical="center" textRotation="0" wrapText="false" indent="0" shrinkToFit="false"/>
      <protection locked="true" hidden="false"/>
    </xf>
    <xf numFmtId="164" fontId="73" fillId="0" borderId="69" xfId="0" applyFont="true" applyBorder="true" applyAlignment="true" applyProtection="false">
      <alignment horizontal="center" vertical="bottom" textRotation="0" wrapText="false" indent="0" shrinkToFit="false"/>
      <protection locked="true" hidden="false"/>
    </xf>
    <xf numFmtId="164" fontId="6" fillId="7" borderId="1" xfId="26" applyFont="true" applyBorder="true" applyAlignment="true" applyProtection="false">
      <alignment horizontal="center" vertical="center" textRotation="0" wrapText="true" indent="0" shrinkToFit="false"/>
      <protection locked="true" hidden="false"/>
    </xf>
    <xf numFmtId="172" fontId="23" fillId="30" borderId="68" xfId="0" applyFont="true" applyBorder="true" applyAlignment="true" applyProtection="false">
      <alignment horizontal="left" vertical="center" textRotation="0" wrapText="true" indent="0" shrinkToFit="false"/>
      <protection locked="true" hidden="false"/>
    </xf>
    <xf numFmtId="164" fontId="6" fillId="9" borderId="1" xfId="28" applyFont="true" applyBorder="true" applyAlignment="true" applyProtection="false">
      <alignment horizontal="center" vertical="center" textRotation="0" wrapText="true" indent="0" shrinkToFit="false"/>
      <protection locked="true" hidden="false"/>
    </xf>
    <xf numFmtId="164" fontId="73" fillId="0" borderId="72" xfId="0" applyFont="true" applyBorder="true" applyAlignment="true" applyProtection="false">
      <alignment horizontal="center" vertical="center" textRotation="0" wrapText="false" indent="0" shrinkToFit="false"/>
      <protection locked="true" hidden="false"/>
    </xf>
    <xf numFmtId="164" fontId="73" fillId="0" borderId="7" xfId="0" applyFont="true" applyBorder="true" applyAlignment="true" applyProtection="false">
      <alignment horizontal="center" vertical="center" textRotation="0" wrapText="false" indent="0" shrinkToFit="false"/>
      <protection locked="true" hidden="false"/>
    </xf>
    <xf numFmtId="174" fontId="73" fillId="0" borderId="25" xfId="0" applyFont="true" applyBorder="true" applyAlignment="true" applyProtection="false">
      <alignment horizontal="right" vertical="center" textRotation="0" wrapText="false" indent="0" shrinkToFit="false"/>
      <protection locked="true" hidden="false"/>
    </xf>
    <xf numFmtId="164" fontId="73" fillId="0" borderId="68" xfId="0" applyFont="true" applyBorder="true" applyAlignment="true" applyProtection="false">
      <alignment horizontal="left" vertical="center" textRotation="0" wrapText="true" indent="0" shrinkToFit="false"/>
      <protection locked="true" hidden="false"/>
    </xf>
    <xf numFmtId="164" fontId="73" fillId="0" borderId="69" xfId="0" applyFont="true" applyBorder="true" applyAlignment="true" applyProtection="false">
      <alignment horizontal="center" vertical="center" textRotation="0" wrapText="false" indent="0" shrinkToFit="false"/>
      <protection locked="true" hidden="false"/>
    </xf>
    <xf numFmtId="164" fontId="26" fillId="22" borderId="91" xfId="0" applyFont="true" applyBorder="true" applyAlignment="true" applyProtection="false">
      <alignment horizontal="center" vertical="bottom" textRotation="0" wrapText="false" indent="0" shrinkToFit="false"/>
      <protection locked="true" hidden="false"/>
    </xf>
    <xf numFmtId="169" fontId="26" fillId="22" borderId="26" xfId="0" applyFont="true" applyBorder="true" applyAlignment="true" applyProtection="false">
      <alignment horizontal="right" vertical="center" textRotation="0" wrapText="false" indent="0" shrinkToFit="false"/>
      <protection locked="true" hidden="false"/>
    </xf>
    <xf numFmtId="164" fontId="26" fillId="22" borderId="27" xfId="0" applyFont="true" applyBorder="true" applyAlignment="true" applyProtection="false">
      <alignment horizontal="center" vertical="center" textRotation="0" wrapText="false" indent="0" shrinkToFit="false"/>
      <protection locked="true" hidden="false"/>
    </xf>
    <xf numFmtId="164" fontId="26" fillId="22" borderId="3" xfId="0" applyFont="true" applyBorder="true" applyAlignment="true" applyProtection="false">
      <alignment horizontal="left" vertical="center" textRotation="0" wrapText="false" indent="0" shrinkToFit="false"/>
      <protection locked="true" hidden="false"/>
    </xf>
    <xf numFmtId="168" fontId="19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center" vertical="bottom" textRotation="0" wrapText="false" indent="0" shrinkToFit="false"/>
      <protection locked="true" hidden="false"/>
    </xf>
    <xf numFmtId="164" fontId="73" fillId="0" borderId="0" xfId="0" applyFont="true" applyBorder="false" applyAlignment="true" applyProtection="false">
      <alignment horizontal="right" vertical="center" textRotation="0" wrapText="false" indent="0" shrinkToFit="false"/>
      <protection locked="true" hidden="false"/>
    </xf>
    <xf numFmtId="164" fontId="194" fillId="20" borderId="1" xfId="39" applyFont="true" applyBorder="true" applyAlignment="true" applyProtection="false">
      <alignment horizontal="center" vertical="center" textRotation="90" wrapText="true" indent="0" shrinkToFit="false"/>
      <protection locked="true" hidden="false"/>
    </xf>
    <xf numFmtId="164" fontId="6" fillId="10" borderId="1" xfId="29" applyFont="true" applyBorder="true" applyAlignment="true" applyProtection="false">
      <alignment horizontal="center" vertical="center" textRotation="0" wrapText="true" indent="0" shrinkToFit="false"/>
      <protection locked="true" hidden="false"/>
    </xf>
    <xf numFmtId="164" fontId="23" fillId="30" borderId="65" xfId="0" applyFont="true" applyBorder="true" applyAlignment="true" applyProtection="false">
      <alignment horizontal="left" vertical="center" textRotation="0" wrapText="true" indent="0" shrinkToFit="false"/>
      <protection locked="true" hidden="false"/>
    </xf>
    <xf numFmtId="174" fontId="73" fillId="0" borderId="60" xfId="0" applyFont="true" applyBorder="true" applyAlignment="true" applyProtection="false">
      <alignment horizontal="left" vertical="center" textRotation="0" wrapText="false" indent="0" shrinkToFit="false"/>
      <protection locked="true" hidden="false"/>
    </xf>
    <xf numFmtId="169" fontId="24" fillId="0" borderId="26" xfId="0" applyFont="true" applyBorder="true" applyAlignment="true" applyProtection="false">
      <alignment horizontal="right" vertical="center" textRotation="0" wrapText="false" indent="0" shrinkToFit="false"/>
      <protection locked="true" hidden="false"/>
    </xf>
    <xf numFmtId="164" fontId="23" fillId="30" borderId="6" xfId="0" applyFont="true" applyBorder="true" applyAlignment="true" applyProtection="false">
      <alignment horizontal="left" vertical="center" textRotation="0" wrapText="true" indent="0" shrinkToFit="false"/>
      <protection locked="true" hidden="false"/>
    </xf>
    <xf numFmtId="174" fontId="73" fillId="0" borderId="0" xfId="0" applyFont="true" applyBorder="true" applyAlignment="true" applyProtection="false">
      <alignment horizontal="left" vertical="center" textRotation="0" wrapText="false" indent="0" shrinkToFit="false"/>
      <protection locked="true" hidden="false"/>
    </xf>
    <xf numFmtId="164" fontId="196" fillId="30" borderId="68" xfId="0" applyFont="true" applyBorder="true" applyAlignment="true" applyProtection="false">
      <alignment horizontal="left" vertical="center" textRotation="0" wrapText="true" indent="0" shrinkToFit="false"/>
      <protection locked="true" hidden="false"/>
    </xf>
    <xf numFmtId="174" fontId="73" fillId="0" borderId="92" xfId="0" applyFont="true" applyBorder="true" applyAlignment="true" applyProtection="false">
      <alignment horizontal="left" vertical="center" textRotation="0" wrapText="false" indent="0" shrinkToFit="false"/>
      <protection locked="true" hidden="false"/>
    </xf>
    <xf numFmtId="164" fontId="6" fillId="11" borderId="1" xfId="30" applyFont="true" applyBorder="true" applyAlignment="true" applyProtection="false">
      <alignment horizontal="center" vertical="center" textRotation="0" wrapText="true" indent="0" shrinkToFit="false"/>
      <protection locked="true" hidden="false"/>
    </xf>
    <xf numFmtId="164" fontId="73" fillId="30" borderId="65" xfId="0" applyFont="true" applyBorder="true" applyAlignment="true" applyProtection="false">
      <alignment horizontal="left" vertical="center" textRotation="0" wrapText="true" indent="0" shrinkToFit="false"/>
      <protection locked="true" hidden="false"/>
    </xf>
    <xf numFmtId="164" fontId="73" fillId="30" borderId="72" xfId="0" applyFont="true" applyBorder="true" applyAlignment="true" applyProtection="false">
      <alignment horizontal="center" vertical="center" textRotation="0" wrapText="true" indent="0" shrinkToFit="false"/>
      <protection locked="true" hidden="false"/>
    </xf>
    <xf numFmtId="174" fontId="73" fillId="0" borderId="52" xfId="0" applyFont="true" applyBorder="true" applyAlignment="true" applyProtection="false">
      <alignment horizontal="right" vertical="center" textRotation="0" wrapText="false" indent="0" shrinkToFit="false"/>
      <protection locked="true" hidden="false"/>
    </xf>
    <xf numFmtId="174" fontId="24" fillId="0" borderId="26" xfId="0" applyFont="true" applyBorder="true" applyAlignment="true" applyProtection="false">
      <alignment horizontal="right" vertical="center" textRotation="0" wrapText="false" indent="0" shrinkToFit="false"/>
      <protection locked="true" hidden="false"/>
    </xf>
    <xf numFmtId="164" fontId="73" fillId="30" borderId="6" xfId="0" applyFont="true" applyBorder="true" applyAlignment="true" applyProtection="false">
      <alignment horizontal="left" vertical="center" textRotation="0" wrapText="true" indent="0" shrinkToFit="false"/>
      <protection locked="true" hidden="false"/>
    </xf>
    <xf numFmtId="164" fontId="23" fillId="30" borderId="7" xfId="0" applyFont="true" applyBorder="true" applyAlignment="true" applyProtection="false">
      <alignment horizontal="center" vertical="center" textRotation="0" wrapText="false" indent="0" shrinkToFit="false"/>
      <protection locked="true" hidden="false"/>
    </xf>
    <xf numFmtId="164" fontId="73" fillId="30" borderId="68" xfId="0" applyFont="true" applyBorder="true" applyAlignment="true" applyProtection="false">
      <alignment horizontal="left" vertical="center" textRotation="0" wrapText="true" indent="0" shrinkToFit="false"/>
      <protection locked="true" hidden="false"/>
    </xf>
    <xf numFmtId="164" fontId="23" fillId="30" borderId="69" xfId="0" applyFont="true" applyBorder="true" applyAlignment="true" applyProtection="false">
      <alignment horizontal="center" vertical="center" textRotation="0" wrapText="false" indent="0" shrinkToFit="false"/>
      <protection locked="true" hidden="false"/>
    </xf>
    <xf numFmtId="164" fontId="6" fillId="12" borderId="1" xfId="31" applyFont="true" applyBorder="true" applyAlignment="true" applyProtection="false">
      <alignment horizontal="center" vertical="center" textRotation="0" wrapText="true" indent="0" shrinkToFit="false"/>
      <protection locked="true" hidden="false"/>
    </xf>
    <xf numFmtId="164" fontId="6" fillId="13" borderId="1" xfId="32" applyFont="true" applyBorder="true" applyAlignment="true" applyProtection="false">
      <alignment horizontal="center" vertical="center" textRotation="0" wrapText="true" indent="0" shrinkToFit="false"/>
      <protection locked="true" hidden="false"/>
    </xf>
    <xf numFmtId="164" fontId="73" fillId="30" borderId="73" xfId="0" applyFont="true" applyBorder="true" applyAlignment="true" applyProtection="false">
      <alignment horizontal="left" vertical="center" textRotation="0" wrapText="true" indent="0" shrinkToFit="false"/>
      <protection locked="true" hidden="false"/>
    </xf>
    <xf numFmtId="164" fontId="23" fillId="30" borderId="72" xfId="0" applyFont="true" applyBorder="true" applyAlignment="true" applyProtection="false">
      <alignment horizontal="center" vertical="center" textRotation="0" wrapText="false" indent="0" shrinkToFit="false"/>
      <protection locked="true" hidden="false"/>
    </xf>
    <xf numFmtId="164" fontId="73" fillId="30" borderId="8" xfId="0" applyFont="true" applyBorder="true" applyAlignment="true" applyProtection="false">
      <alignment horizontal="left" vertical="center" textRotation="0" wrapText="true" indent="0" shrinkToFit="false"/>
      <protection locked="true" hidden="false"/>
    </xf>
    <xf numFmtId="164" fontId="73" fillId="30" borderId="76" xfId="0" applyFont="true" applyBorder="true" applyAlignment="true" applyProtection="false">
      <alignment horizontal="left" vertical="center" textRotation="0" wrapText="true" indent="0" shrinkToFit="false"/>
      <protection locked="true" hidden="false"/>
    </xf>
    <xf numFmtId="169" fontId="26" fillId="22" borderId="91" xfId="0" applyFont="true" applyBorder="true" applyAlignment="true" applyProtection="false">
      <alignment horizontal="right" vertical="center" textRotation="0" wrapText="false" indent="0" shrinkToFit="false"/>
      <protection locked="true" hidden="false"/>
    </xf>
    <xf numFmtId="164" fontId="26" fillId="22" borderId="92" xfId="0" applyFont="true" applyBorder="true" applyAlignment="true" applyProtection="false">
      <alignment horizontal="center" vertical="center" textRotation="0" wrapText="false" indent="0" shrinkToFit="false"/>
      <protection locked="true" hidden="false"/>
    </xf>
    <xf numFmtId="164" fontId="26" fillId="22" borderId="5" xfId="0" applyFont="true" applyBorder="true" applyAlignment="true" applyProtection="false">
      <alignment horizontal="left" vertical="center" textRotation="0" wrapText="false" indent="0" shrinkToFit="false"/>
      <protection locked="true" hidden="false"/>
    </xf>
    <xf numFmtId="174" fontId="26" fillId="0" borderId="0" xfId="0" applyFont="true" applyBorder="true" applyAlignment="true" applyProtection="false">
      <alignment horizontal="right" vertical="center" textRotation="0" wrapText="false" indent="0" shrinkToFit="false"/>
      <protection locked="true" hidden="false"/>
    </xf>
    <xf numFmtId="164" fontId="157" fillId="21" borderId="1" xfId="40" applyFont="true" applyBorder="true" applyAlignment="true" applyProtection="false">
      <alignment horizontal="center" vertical="center" textRotation="90" wrapText="true" indent="0" shrinkToFit="false"/>
      <protection locked="true" hidden="false"/>
    </xf>
    <xf numFmtId="164" fontId="5" fillId="14" borderId="1" xfId="33" applyFont="true" applyBorder="true" applyAlignment="true" applyProtection="false">
      <alignment horizontal="center" vertical="center" textRotation="0" wrapText="true" indent="0" shrinkToFit="false"/>
      <protection locked="true" hidden="false"/>
    </xf>
    <xf numFmtId="164" fontId="73" fillId="0" borderId="73" xfId="0" applyFont="true" applyBorder="true" applyAlignment="false" applyProtection="false">
      <alignment horizontal="general" vertical="bottom" textRotation="0" wrapText="false" indent="0" shrinkToFit="false"/>
      <protection locked="true" hidden="false"/>
    </xf>
    <xf numFmtId="169" fontId="26" fillId="0" borderId="27" xfId="0" applyFont="true" applyBorder="true" applyAlignment="true" applyProtection="false">
      <alignment horizontal="right" vertical="center" textRotation="0" wrapText="false" indent="0" shrinkToFit="false"/>
      <protection locked="true" hidden="false"/>
    </xf>
    <xf numFmtId="164" fontId="73" fillId="0" borderId="8" xfId="0" applyFont="true" applyBorder="true" applyAlignment="false" applyProtection="false">
      <alignment horizontal="general" vertical="bottom" textRotation="0" wrapText="false" indent="0" shrinkToFit="false"/>
      <protection locked="true" hidden="false"/>
    </xf>
    <xf numFmtId="164" fontId="73" fillId="0" borderId="76" xfId="0" applyFont="true" applyBorder="true" applyAlignment="false" applyProtection="false">
      <alignment horizontal="general" vertical="bottom" textRotation="0" wrapText="false" indent="0" shrinkToFit="false"/>
      <protection locked="true" hidden="false"/>
    </xf>
    <xf numFmtId="164" fontId="5" fillId="15" borderId="1" xfId="34" applyFont="true" applyBorder="true" applyAlignment="true" applyProtection="false">
      <alignment horizontal="center" vertical="center" textRotation="0" wrapText="false" indent="0" shrinkToFit="false"/>
      <protection locked="true" hidden="false"/>
    </xf>
    <xf numFmtId="164" fontId="5" fillId="16" borderId="1" xfId="35" applyFont="true" applyBorder="true" applyAlignment="true" applyProtection="false">
      <alignment horizontal="center" vertical="center" textRotation="0" wrapText="false" indent="0" shrinkToFit="false"/>
      <protection locked="true" hidden="false"/>
    </xf>
    <xf numFmtId="174" fontId="26" fillId="0" borderId="27" xfId="0" applyFont="true" applyBorder="true" applyAlignment="true" applyProtection="false">
      <alignment horizontal="right" vertical="center" textRotation="0" wrapText="false" indent="0" shrinkToFit="false"/>
      <protection locked="true" hidden="false"/>
    </xf>
    <xf numFmtId="174" fontId="73" fillId="0" borderId="91" xfId="0" applyFont="true" applyBorder="true" applyAlignment="true" applyProtection="false">
      <alignment horizontal="right" vertical="center" textRotation="0" wrapText="false" indent="0" shrinkToFit="false"/>
      <protection locked="true" hidden="false"/>
    </xf>
    <xf numFmtId="164" fontId="5" fillId="17" borderId="1" xfId="36" applyFont="true" applyBorder="true" applyAlignment="true" applyProtection="false">
      <alignment horizontal="center" vertical="center" textRotation="0" wrapText="false" indent="0" shrinkToFit="false"/>
      <protection locked="true" hidden="false"/>
    </xf>
    <xf numFmtId="174" fontId="73" fillId="0" borderId="0" xfId="0" applyFont="true" applyBorder="true" applyAlignment="true" applyProtection="false">
      <alignment horizontal="right" vertical="center" textRotation="0" wrapText="false" indent="0" shrinkToFit="false"/>
      <protection locked="true" hidden="false"/>
    </xf>
    <xf numFmtId="164" fontId="26" fillId="22" borderId="1" xfId="0" applyFont="true" applyBorder="true" applyAlignment="true" applyProtection="false">
      <alignment horizontal="center" vertical="center" textRotation="0" wrapText="true" indent="0" shrinkToFit="false"/>
      <protection locked="true" hidden="false"/>
    </xf>
    <xf numFmtId="164" fontId="195" fillId="0" borderId="0" xfId="0" applyFont="true" applyBorder="true" applyAlignment="true" applyProtection="false">
      <alignment horizontal="right" vertical="bottom" textRotation="0" wrapText="false" indent="0" shrinkToFit="false"/>
      <protection locked="true" hidden="false"/>
    </xf>
    <xf numFmtId="164" fontId="195" fillId="0" borderId="0" xfId="0" applyFont="true" applyBorder="false" applyAlignment="false" applyProtection="false">
      <alignment horizontal="general" vertical="bottom" textRotation="0" wrapText="false" indent="0" shrinkToFit="false"/>
      <protection locked="true" hidden="false"/>
    </xf>
    <xf numFmtId="164" fontId="197" fillId="0" borderId="0" xfId="0" applyFont="true" applyBorder="true" applyAlignment="true" applyProtection="false">
      <alignment horizontal="left" vertical="bottom" textRotation="0" wrapText="false" indent="0" shrinkToFit="false"/>
      <protection locked="true" hidden="false"/>
    </xf>
    <xf numFmtId="164" fontId="195" fillId="0" borderId="0" xfId="0" applyFont="true" applyBorder="true" applyAlignment="true" applyProtection="false">
      <alignment horizontal="left" vertical="bottom" textRotation="0" wrapText="false" indent="0" shrinkToFit="false"/>
      <protection locked="true" hidden="false"/>
    </xf>
    <xf numFmtId="174" fontId="195" fillId="0" borderId="0" xfId="0" applyFont="true" applyBorder="true" applyAlignment="true" applyProtection="false">
      <alignment horizontal="right" vertical="bottom" textRotation="0" wrapText="false" indent="0" shrinkToFit="false"/>
      <protection locked="true" hidden="false"/>
    </xf>
    <xf numFmtId="174" fontId="195" fillId="0" borderId="0" xfId="0" applyFont="true" applyBorder="true" applyAlignment="true" applyProtection="false">
      <alignment horizontal="left" vertical="bottom" textRotation="0" wrapText="false" indent="0" shrinkToFit="false"/>
      <protection locked="true" hidden="false"/>
    </xf>
    <xf numFmtId="164" fontId="195" fillId="0" borderId="0" xfId="0" applyFont="true" applyBorder="true" applyAlignment="true" applyProtection="false">
      <alignment horizontal="right" vertical="center" textRotation="0" wrapText="false" indent="0" shrinkToFit="false"/>
      <protection locked="true" hidden="false"/>
    </xf>
    <xf numFmtId="164" fontId="195" fillId="0" borderId="0" xfId="0" applyFont="true" applyBorder="true" applyAlignment="true" applyProtection="false">
      <alignment horizontal="center" vertical="center" textRotation="0" wrapText="true" indent="0" shrinkToFit="false"/>
      <protection locked="true" hidden="false"/>
    </xf>
    <xf numFmtId="169" fontId="195" fillId="0" borderId="0" xfId="0" applyFont="true" applyBorder="true" applyAlignment="true" applyProtection="false">
      <alignment horizontal="general" vertical="bottom" textRotation="0" wrapText="false" indent="0" shrinkToFit="false"/>
      <protection locked="true" hidden="false"/>
    </xf>
    <xf numFmtId="164" fontId="195" fillId="0" borderId="0" xfId="0" applyFont="true" applyBorder="false" applyAlignment="true" applyProtection="false">
      <alignment horizontal="center" vertical="bottom" textRotation="0" wrapText="false" indent="0" shrinkToFit="false"/>
      <protection locked="true" hidden="false"/>
    </xf>
    <xf numFmtId="164" fontId="195" fillId="0" borderId="0" xfId="0" applyFont="true" applyBorder="false" applyAlignment="true" applyProtection="false">
      <alignment horizontal="left" vertical="bottom" textRotation="0" wrapText="false" indent="0" shrinkToFit="false"/>
      <protection locked="true" hidden="false"/>
    </xf>
    <xf numFmtId="174" fontId="195" fillId="0" borderId="0" xfId="0" applyFont="true" applyBorder="false" applyAlignment="true" applyProtection="false">
      <alignment horizontal="center" vertical="bottom" textRotation="0" wrapText="false" indent="0" shrinkToFit="false"/>
      <protection locked="true" hidden="false"/>
    </xf>
    <xf numFmtId="169" fontId="195" fillId="0" borderId="0" xfId="0" applyFont="true" applyBorder="true" applyAlignment="true" applyProtection="true">
      <alignment horizontal="general" vertical="bottom" textRotation="0" wrapText="false" indent="0" shrinkToFit="false"/>
      <protection locked="false" hidden="false"/>
    </xf>
    <xf numFmtId="174" fontId="195" fillId="0" borderId="0" xfId="0" applyFont="true" applyBorder="true" applyAlignment="true" applyProtection="false">
      <alignment horizontal="general" vertical="bottom" textRotation="0" wrapText="false" indent="0" shrinkToFit="false"/>
      <protection locked="true" hidden="false"/>
    </xf>
    <xf numFmtId="164" fontId="195" fillId="0" borderId="0" xfId="0" applyFont="true" applyBorder="false" applyAlignment="true" applyProtection="false">
      <alignment horizontal="right" vertical="bottom" textRotation="0" wrapText="false" indent="0" shrinkToFit="false"/>
      <protection locked="true" hidden="false"/>
    </xf>
    <xf numFmtId="174" fontId="195" fillId="0" borderId="0" xfId="0" applyFont="true" applyBorder="false" applyAlignment="true" applyProtection="false">
      <alignment horizontal="general" vertical="bottom" textRotation="0" wrapText="false" indent="0" shrinkToFit="false"/>
      <protection locked="true" hidden="false"/>
    </xf>
    <xf numFmtId="168" fontId="195" fillId="0" borderId="0" xfId="0" applyFont="true" applyBorder="false" applyAlignment="true" applyProtection="false">
      <alignment horizontal="center" vertical="center" textRotation="0" wrapText="false" indent="0" shrinkToFit="false"/>
      <protection locked="true" hidden="false"/>
    </xf>
    <xf numFmtId="164" fontId="184" fillId="0" borderId="0" xfId="0" applyFont="true" applyBorder="false" applyAlignment="false" applyProtection="false">
      <alignment horizontal="general" vertical="bottom" textRotation="0" wrapText="false" indent="0" shrinkToFit="false"/>
      <protection locked="true" hidden="false"/>
    </xf>
    <xf numFmtId="164" fontId="184" fillId="0" borderId="0" xfId="0" applyFont="true" applyBorder="false" applyAlignment="true" applyProtection="false">
      <alignment horizontal="right" vertical="center" textRotation="0" wrapText="false" indent="0" shrinkToFit="false"/>
      <protection locked="true" hidden="false"/>
    </xf>
    <xf numFmtId="164" fontId="184" fillId="0" borderId="0" xfId="0" applyFont="true" applyBorder="false" applyAlignment="true" applyProtection="false">
      <alignment horizontal="center" vertical="center" textRotation="0" wrapText="false" indent="0" shrinkToFit="false"/>
      <protection locked="true" hidden="false"/>
    </xf>
    <xf numFmtId="164" fontId="184" fillId="0" borderId="0" xfId="0" applyFont="true" applyBorder="false" applyAlignment="true" applyProtection="false">
      <alignment horizontal="left" vertical="center" textRotation="0" wrapText="false" indent="0" shrinkToFit="false"/>
      <protection locked="true" hidden="false"/>
    </xf>
    <xf numFmtId="164" fontId="184" fillId="0" borderId="0" xfId="0" applyFont="true" applyBorder="false" applyAlignment="true" applyProtection="false">
      <alignment horizontal="right" vertical="bottom" textRotation="0" wrapText="false" indent="0" shrinkToFit="false"/>
      <protection locked="true" hidden="false"/>
    </xf>
    <xf numFmtId="164" fontId="184" fillId="0" borderId="0" xfId="0" applyFont="true" applyBorder="false" applyAlignment="true" applyProtection="false">
      <alignment horizontal="center" vertical="bottom" textRotation="0" wrapText="false" indent="0" shrinkToFit="false"/>
      <protection locked="true" hidden="false"/>
    </xf>
    <xf numFmtId="164" fontId="184" fillId="0" borderId="0" xfId="0" applyFont="true" applyBorder="false" applyAlignment="true" applyProtection="false">
      <alignment horizontal="left" vertical="bottom" textRotation="0" wrapText="false" indent="0" shrinkToFit="false"/>
      <protection locked="true" hidden="false"/>
    </xf>
    <xf numFmtId="164" fontId="198" fillId="0" borderId="0" xfId="0" applyFont="true" applyBorder="true" applyAlignment="true" applyProtection="false">
      <alignment horizontal="right" vertical="bottom" textRotation="0" wrapText="false" indent="0" shrinkToFit="false"/>
      <protection locked="true" hidden="false"/>
    </xf>
    <xf numFmtId="168" fontId="198" fillId="0" borderId="0" xfId="0" applyFont="true" applyBorder="false" applyAlignment="false" applyProtection="false">
      <alignment horizontal="general" vertical="bottom" textRotation="0" wrapText="false" indent="0" shrinkToFit="false"/>
      <protection locked="true" hidden="false"/>
    </xf>
    <xf numFmtId="164" fontId="198" fillId="0" borderId="0" xfId="0" applyFont="true" applyBorder="true" applyAlignment="true" applyProtection="false">
      <alignment horizontal="center" vertical="center" textRotation="0" wrapText="false" indent="0" shrinkToFit="false"/>
      <protection locked="true" hidden="false"/>
    </xf>
    <xf numFmtId="164" fontId="198" fillId="0" borderId="0" xfId="0" applyFont="true" applyBorder="true" applyAlignment="true" applyProtection="false">
      <alignment horizontal="center" vertical="center" textRotation="0" wrapText="true" indent="0" shrinkToFit="false"/>
      <protection locked="true" hidden="false"/>
    </xf>
    <xf numFmtId="164" fontId="198" fillId="0" borderId="0" xfId="0" applyFont="true" applyBorder="false" applyAlignment="true" applyProtection="false">
      <alignment horizontal="center" vertical="bottom" textRotation="0" wrapText="false" indent="0" shrinkToFit="false"/>
      <protection locked="true" hidden="false"/>
    </xf>
    <xf numFmtId="164" fontId="24" fillId="31" borderId="1" xfId="0" applyFont="true" applyBorder="true" applyAlignment="true" applyProtection="false">
      <alignment horizontal="center" vertical="bottom" textRotation="0" wrapText="true" indent="0" shrinkToFit="false"/>
      <protection locked="true" hidden="false"/>
    </xf>
    <xf numFmtId="164" fontId="5" fillId="22" borderId="1" xfId="0" applyFont="true" applyBorder="true" applyAlignment="true" applyProtection="false">
      <alignment horizontal="center" vertical="bottom" textRotation="0" wrapText="false" indent="0" shrinkToFit="false"/>
      <protection locked="true" hidden="false"/>
    </xf>
    <xf numFmtId="164" fontId="5" fillId="22" borderId="27"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72" fontId="15" fillId="0" borderId="40" xfId="0" applyFont="true" applyBorder="true" applyAlignment="true" applyProtection="false">
      <alignment horizontal="center" vertical="center" textRotation="0" wrapText="true" indent="0" shrinkToFit="false"/>
      <protection locked="true" hidden="false"/>
    </xf>
    <xf numFmtId="172" fontId="15" fillId="0" borderId="144" xfId="0" applyFont="true" applyBorder="true" applyAlignment="true" applyProtection="false">
      <alignment horizontal="center" vertical="center" textRotation="0" wrapText="true" indent="0" shrinkToFit="false"/>
      <protection locked="true" hidden="false"/>
    </xf>
    <xf numFmtId="172" fontId="15" fillId="0" borderId="45" xfId="0" applyFont="true" applyBorder="true" applyAlignment="true" applyProtection="false">
      <alignment horizontal="center" vertical="center" textRotation="0" wrapText="true" indent="0" shrinkToFit="false"/>
      <protection locked="true" hidden="false"/>
    </xf>
    <xf numFmtId="172" fontId="15" fillId="0" borderId="34" xfId="0" applyFont="true" applyBorder="true" applyAlignment="true" applyProtection="false">
      <alignment horizontal="center" vertical="center" textRotation="0" wrapText="true" indent="0" shrinkToFit="false"/>
      <protection locked="true" hidden="false"/>
    </xf>
    <xf numFmtId="172" fontId="15" fillId="0" borderId="58" xfId="0" applyFont="true" applyBorder="true" applyAlignment="true" applyProtection="false">
      <alignment horizontal="center" vertical="center" textRotation="0" wrapText="true" indent="0" shrinkToFit="false"/>
      <protection locked="true" hidden="false"/>
    </xf>
    <xf numFmtId="172" fontId="15" fillId="0" borderId="90" xfId="0" applyFont="true" applyBorder="true" applyAlignment="true" applyProtection="false">
      <alignment horizontal="center" vertical="center" textRotation="0" wrapText="true" indent="0" shrinkToFit="false"/>
      <protection locked="true" hidden="false"/>
    </xf>
    <xf numFmtId="164" fontId="31" fillId="0" borderId="40" xfId="0" applyFont="true" applyBorder="true" applyAlignment="true" applyProtection="false">
      <alignment horizontal="center" vertical="bottom" textRotation="0" wrapText="false" indent="0" shrinkToFit="false"/>
      <protection locked="true" hidden="false"/>
    </xf>
    <xf numFmtId="169" fontId="31" fillId="0" borderId="144" xfId="0" applyFont="true" applyBorder="true" applyAlignment="true" applyProtection="false">
      <alignment horizontal="center" vertical="bottom" textRotation="0" wrapText="false" indent="0" shrinkToFit="false"/>
      <protection locked="true" hidden="false"/>
    </xf>
    <xf numFmtId="164" fontId="31" fillId="0" borderId="45" xfId="0" applyFont="true" applyBorder="true" applyAlignment="true" applyProtection="false">
      <alignment horizontal="center" vertical="bottom" textRotation="0" wrapText="false" indent="0" shrinkToFit="false"/>
      <protection locked="true" hidden="false"/>
    </xf>
    <xf numFmtId="169" fontId="31" fillId="0" borderId="34" xfId="0" applyFont="true" applyBorder="true" applyAlignment="true" applyProtection="false">
      <alignment horizontal="center" vertical="bottom" textRotation="0" wrapText="false" indent="0" shrinkToFit="false"/>
      <protection locked="true" hidden="false"/>
    </xf>
    <xf numFmtId="164" fontId="31" fillId="0" borderId="58" xfId="0" applyFont="true" applyBorder="true" applyAlignment="true" applyProtection="false">
      <alignment horizontal="center" vertical="bottom" textRotation="0" wrapText="false" indent="0" shrinkToFit="false"/>
      <protection locked="true" hidden="false"/>
    </xf>
    <xf numFmtId="169" fontId="31" fillId="0" borderId="90" xfId="0" applyFont="true" applyBorder="true" applyAlignment="true" applyProtection="false">
      <alignment horizontal="center" vertical="bottom" textRotation="0" wrapText="false" indent="0" shrinkToFit="false"/>
      <protection locked="true" hidden="false"/>
    </xf>
    <xf numFmtId="164" fontId="31" fillId="0" borderId="40" xfId="0" applyFont="true" applyBorder="true" applyAlignment="true" applyProtection="false">
      <alignment horizontal="center" vertical="center" textRotation="0" wrapText="false" indent="0" shrinkToFit="false"/>
      <protection locked="true" hidden="false"/>
    </xf>
    <xf numFmtId="169" fontId="31" fillId="0" borderId="144" xfId="0" applyFont="true" applyBorder="true" applyAlignment="true" applyProtection="false">
      <alignment horizontal="center" vertical="center" textRotation="0" wrapText="false" indent="0" shrinkToFit="false"/>
      <protection locked="true" hidden="false"/>
    </xf>
    <xf numFmtId="164" fontId="31" fillId="0" borderId="45" xfId="0" applyFont="true" applyBorder="true" applyAlignment="true" applyProtection="false">
      <alignment horizontal="center" vertical="center" textRotation="0" wrapText="false" indent="0" shrinkToFit="false"/>
      <protection locked="true" hidden="false"/>
    </xf>
    <xf numFmtId="169" fontId="31" fillId="0" borderId="34" xfId="0" applyFont="true" applyBorder="true" applyAlignment="true" applyProtection="false">
      <alignment horizontal="center" vertical="center" textRotation="0" wrapText="false" indent="0" shrinkToFit="false"/>
      <protection locked="true" hidden="false"/>
    </xf>
    <xf numFmtId="164" fontId="31" fillId="0" borderId="58" xfId="0" applyFont="true" applyBorder="true" applyAlignment="true" applyProtection="false">
      <alignment horizontal="center" vertical="center" textRotation="0" wrapText="false" indent="0" shrinkToFit="false"/>
      <protection locked="true" hidden="false"/>
    </xf>
    <xf numFmtId="169" fontId="31" fillId="0" borderId="90" xfId="0" applyFont="true" applyBorder="true" applyAlignment="true" applyProtection="false">
      <alignment horizontal="center" vertical="center" textRotation="0" wrapText="false" indent="0" shrinkToFit="false"/>
      <protection locked="true" hidden="false"/>
    </xf>
    <xf numFmtId="164" fontId="31" fillId="0" borderId="77" xfId="0" applyFont="true" applyBorder="true" applyAlignment="true" applyProtection="false">
      <alignment horizontal="center" vertical="bottom" textRotation="0" wrapText="false" indent="0" shrinkToFit="false"/>
      <protection locked="true" hidden="false"/>
    </xf>
    <xf numFmtId="164" fontId="31" fillId="0" borderId="49" xfId="0" applyFont="true" applyBorder="true" applyAlignment="true" applyProtection="false">
      <alignment horizontal="center" vertical="bottom" textRotation="0" wrapText="false" indent="0" shrinkToFit="false"/>
      <protection locked="true" hidden="false"/>
    </xf>
    <xf numFmtId="164" fontId="31" fillId="0" borderId="81" xfId="0" applyFont="true" applyBorder="true" applyAlignment="true" applyProtection="false">
      <alignment horizontal="center" vertical="bottom" textRotation="0" wrapText="false" indent="0" shrinkToFit="false"/>
      <protection locked="true" hidden="false"/>
    </xf>
    <xf numFmtId="164" fontId="31" fillId="30" borderId="77" xfId="0" applyFont="true" applyBorder="true" applyAlignment="true" applyProtection="false">
      <alignment horizontal="center" vertical="center" textRotation="0" wrapText="true" indent="0" shrinkToFit="false"/>
      <protection locked="true" hidden="false"/>
    </xf>
    <xf numFmtId="169" fontId="31" fillId="30" borderId="40" xfId="0" applyFont="true" applyBorder="true" applyAlignment="true" applyProtection="false">
      <alignment horizontal="center" vertical="center" textRotation="0" wrapText="true" indent="0" shrinkToFit="false"/>
      <protection locked="true" hidden="false"/>
    </xf>
    <xf numFmtId="164" fontId="15" fillId="30" borderId="49" xfId="0" applyFont="true" applyBorder="true" applyAlignment="true" applyProtection="false">
      <alignment horizontal="center" vertical="center" textRotation="0" wrapText="false" indent="0" shrinkToFit="false"/>
      <protection locked="true" hidden="false"/>
    </xf>
    <xf numFmtId="169" fontId="15" fillId="30" borderId="45" xfId="0" applyFont="true" applyBorder="true" applyAlignment="true" applyProtection="false">
      <alignment horizontal="center" vertical="center" textRotation="0" wrapText="false" indent="0" shrinkToFit="false"/>
      <protection locked="true" hidden="false"/>
    </xf>
    <xf numFmtId="164" fontId="15" fillId="30" borderId="81" xfId="0" applyFont="true" applyBorder="true" applyAlignment="true" applyProtection="false">
      <alignment horizontal="center" vertical="center" textRotation="0" wrapText="false" indent="0" shrinkToFit="false"/>
      <protection locked="true" hidden="false"/>
    </xf>
    <xf numFmtId="169" fontId="15" fillId="30" borderId="58" xfId="0" applyFont="true" applyBorder="true" applyAlignment="true" applyProtection="false">
      <alignment horizontal="center" vertical="center" textRotation="0" wrapText="false" indent="0" shrinkToFit="false"/>
      <protection locked="true" hidden="false"/>
    </xf>
    <xf numFmtId="164" fontId="15" fillId="30" borderId="77" xfId="0" applyFont="true" applyBorder="true" applyAlignment="true" applyProtection="false">
      <alignment horizontal="center" vertical="center" textRotation="0" wrapText="false" indent="0" shrinkToFit="false"/>
      <protection locked="true" hidden="false"/>
    </xf>
    <xf numFmtId="169" fontId="15" fillId="30" borderId="40" xfId="0" applyFont="true" applyBorder="true" applyAlignment="true" applyProtection="false">
      <alignment horizontal="center" vertical="center" textRotation="0" wrapText="false" indent="0" shrinkToFit="false"/>
      <protection locked="true" hidden="false"/>
    </xf>
  </cellXfs>
  <cellStyles count="39">
    <cellStyle name="Normal" xfId="0" builtinId="0"/>
    <cellStyle name="Comma" xfId="15" builtinId="3"/>
    <cellStyle name="Comma [0]" xfId="16" builtinId="6"/>
    <cellStyle name="Currency" xfId="17" builtinId="4"/>
    <cellStyle name="Currency [0]" xfId="18" builtinId="7"/>
    <cellStyle name="Percent" xfId="19" builtinId="5"/>
    <cellStyle name="20 % - Dim A" xfId="21"/>
    <cellStyle name="20 % - Dim B" xfId="22"/>
    <cellStyle name="20 % - Dim C" xfId="23"/>
    <cellStyle name="A compo 1" xfId="24"/>
    <cellStyle name="A compo 2" xfId="25"/>
    <cellStyle name="A compo 3" xfId="26"/>
    <cellStyle name="A compo 4" xfId="27"/>
    <cellStyle name="A compo 5" xfId="28"/>
    <cellStyle name="B compo 1" xfId="29"/>
    <cellStyle name="B compo 2" xfId="30"/>
    <cellStyle name="B compo 3" xfId="31"/>
    <cellStyle name="B compo 4" xfId="32"/>
    <cellStyle name="C compo 1" xfId="33"/>
    <cellStyle name="C compo 2" xfId="34"/>
    <cellStyle name="C compo 3" xfId="35"/>
    <cellStyle name="C compo 4" xfId="36"/>
    <cellStyle name="Coef" xfId="37"/>
    <cellStyle name="Dim A" xfId="38"/>
    <cellStyle name="Dim B" xfId="39"/>
    <cellStyle name="Dim C" xfId="40"/>
    <cellStyle name="Gris" xfId="41"/>
    <cellStyle name="Normal 2" xfId="42"/>
    <cellStyle name="Notes" xfId="43"/>
    <cellStyle name="Result inte." xfId="44"/>
    <cellStyle name="Saisie" xfId="45"/>
    <cellStyle name="Style 1" xfId="46"/>
    <cellStyle name="Style 1 2" xfId="47"/>
    <cellStyle name="Titre orange" xfId="48"/>
    <cellStyle name="Titre tableau" xfId="49"/>
    <cellStyle name="Unité" xfId="50"/>
    <cellStyle name="Excel Built-in Accent1" xfId="51"/>
    <cellStyle name="*unknown*" xfId="20" builtinId="8"/>
    <cellStyle name="Excel Built-in Note" xfId="52"/>
  </cellStyles>
  <colors>
    <indexedColors>
      <rgbColor rgb="FF000000"/>
      <rgbColor rgb="FFFFFFFF"/>
      <rgbColor rgb="FFFF0000"/>
      <rgbColor rgb="FF33CC33"/>
      <rgbColor rgb="FF0000FF"/>
      <rgbColor rgb="FFFFFF00"/>
      <rgbColor rgb="FFFF00FF"/>
      <rgbColor rgb="FF66FF66"/>
      <rgbColor rgb="FF800000"/>
      <rgbColor rgb="FF008000"/>
      <rgbColor rgb="FFD7E4BD"/>
      <rgbColor rgb="FF669900"/>
      <rgbColor rgb="FF800080"/>
      <rgbColor rgb="FF5083C2"/>
      <rgbColor rgb="FFC0C0C0"/>
      <rgbColor rgb="FF808080"/>
      <rgbColor rgb="FF6699FF"/>
      <rgbColor rgb="FFC0504D"/>
      <rgbColor rgb="FFFFFFCC"/>
      <rgbColor rgb="FFCCFFFF"/>
      <rgbColor rgb="FF65016B"/>
      <rgbColor rgb="FFFF8080"/>
      <rgbColor rgb="FF006BC4"/>
      <rgbColor rgb="FFC6D9F1"/>
      <rgbColor rgb="FFF2F2F2"/>
      <rgbColor rgb="FFFFCCFF"/>
      <rgbColor rgb="FFFFD685"/>
      <rgbColor rgb="FFB0C979"/>
      <rgbColor rgb="FFBFBFBF"/>
      <rgbColor rgb="FFFCD5B5"/>
      <rgbColor rgb="FF92D050"/>
      <rgbColor rgb="FFFDEADA"/>
      <rgbColor rgb="FF0099FF"/>
      <rgbColor rgb="FFD2EDFE"/>
      <rgbColor rgb="FFCCFFCC"/>
      <rgbColor rgb="FFFFFF99"/>
      <rgbColor rgb="FF97C9FD"/>
      <rgbColor rgb="FFFAC090"/>
      <rgbColor rgb="FFD597E4"/>
      <rgbColor rgb="FFFFCC99"/>
      <rgbColor rgb="FF3366FF"/>
      <rgbColor rgb="FF66CCFF"/>
      <rgbColor rgb="FF99CC00"/>
      <rgbColor rgb="FFFFCC00"/>
      <rgbColor rgb="FFFF9900"/>
      <rgbColor rgb="FFFF6600"/>
      <rgbColor rgb="FF376092"/>
      <rgbColor rgb="FF969696"/>
      <rgbColor rgb="FF003365"/>
      <rgbColor rgb="FF339966"/>
      <rgbColor rgb="FFD9D9D9"/>
      <rgbColor rgb="FFC4BD97"/>
      <rgbColor rgb="FFD26700"/>
      <rgbColor rgb="FFFF9933"/>
      <rgbColor rgb="FF333399"/>
      <rgbColor rgb="FF3333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Calibri"/>
                <a:ea typeface="Calibri"/>
              </a:defRPr>
            </a:pPr>
            <a:r>
              <a:rPr b="1" sz="1200" spc="-1" strike="noStrike">
                <a:solidFill>
                  <a:srgbClr val="000000"/>
                </a:solidFill>
                <a:latin typeface="Calibri"/>
                <a:ea typeface="Calibri"/>
              </a:rPr>
              <a:t>Représentation graphique des dimensions de la durabilité de l'exploitation agricole</a:t>
            </a:r>
          </a:p>
        </c:rich>
      </c:tx>
      <c:layout>
        <c:manualLayout>
          <c:xMode val="edge"/>
          <c:yMode val="edge"/>
          <c:x val="0.15442821110741"/>
          <c:y val="0.0868656149021099"/>
        </c:manualLayout>
      </c:layout>
      <c:overlay val="0"/>
      <c:spPr>
        <a:noFill/>
        <a:ln w="25560">
          <a:noFill/>
        </a:ln>
      </c:spPr>
    </c:title>
    <c:autoTitleDeleted val="0"/>
    <c:plotArea>
      <c:layout>
        <c:manualLayout>
          <c:layoutTarget val="inner"/>
          <c:xMode val="edge"/>
          <c:yMode val="edge"/>
          <c:x val="0.0830438300099938"/>
          <c:y val="0.276278274092378"/>
          <c:w val="0.889259030124209"/>
          <c:h val="0.61043527846417"/>
        </c:manualLayout>
      </c:layout>
      <c:barChart>
        <c:barDir val="col"/>
        <c:grouping val="stacked"/>
        <c:varyColors val="0"/>
        <c:ser>
          <c:idx val="0"/>
          <c:order val="0"/>
          <c:spPr>
            <a:gradFill>
              <a:gsLst>
                <a:gs pos="0">
                  <a:srgbClr val="ffcc98"/>
                </a:gs>
                <a:gs pos="100000">
                  <a:srgbClr val="ffc000"/>
                </a:gs>
              </a:gsLst>
              <a:lin ang="5400000"/>
            </a:gradFill>
            <a:ln w="12600">
              <a:solidFill>
                <a:srgbClr val="ffcc00"/>
              </a:solidFill>
              <a:round/>
            </a:ln>
          </c:spPr>
          <c:invertIfNegative val="0"/>
          <c:dLbls>
            <c:numFmt formatCode="0" sourceLinked="0"/>
            <c:txPr>
              <a:bodyPr/>
              <a:lstStyle/>
              <a:p>
                <a:pPr>
                  <a:defRPr b="0" sz="1000" spc="-1" strike="noStrike">
                    <a:solidFill>
                      <a:srgbClr val="000000"/>
                    </a:solidFill>
                    <a:latin typeface="Calibri"/>
                    <a:ea typeface="Calibri"/>
                  </a:defRPr>
                </a:pPr>
              </a:p>
            </c:txPr>
            <c:dLblPos val="ctr"/>
            <c:showLegendKey val="0"/>
            <c:showVal val="1"/>
            <c:showCatName val="0"/>
            <c:showSerName val="0"/>
            <c:showPercent val="0"/>
            <c:separator>; </c:separator>
            <c:showLeaderLines val="0"/>
          </c:dLbls>
          <c:cat>
            <c:strRef>
              <c:f>'Bilan durabilité'!$D$85:$D$87</c:f>
              <c:strCache>
                <c:ptCount val="3"/>
                <c:pt idx="0">
                  <c:v>Durabilité agroécologique</c:v>
                </c:pt>
                <c:pt idx="1">
                  <c:v>Durabilité socioterritoriale</c:v>
                </c:pt>
                <c:pt idx="2">
                  <c:v>Durabilité économique</c:v>
                </c:pt>
              </c:strCache>
            </c:strRef>
          </c:cat>
          <c:val>
            <c:numRef>
              <c:f>'Bilan durabilité'!$E$85:$E$87</c:f>
              <c:numCache>
                <c:formatCode>General</c:formatCode>
                <c:ptCount val="3"/>
                <c:pt idx="0">
                  <c:v>81</c:v>
                </c:pt>
                <c:pt idx="1">
                  <c:v>74</c:v>
                </c:pt>
                <c:pt idx="2">
                  <c:v>41</c:v>
                </c:pt>
              </c:numCache>
            </c:numRef>
          </c:val>
        </c:ser>
        <c:gapWidth val="55"/>
        <c:overlap val="100"/>
        <c:axId val="80032998"/>
        <c:axId val="75506619"/>
      </c:barChart>
      <c:lineChart>
        <c:grouping val="stacked"/>
        <c:varyColors val="0"/>
        <c:ser>
          <c:idx val="1"/>
          <c:order val="1"/>
          <c:tx>
            <c:strRef>
              <c:f>'Bilan durabilité'!$D$88</c:f>
              <c:strCache>
                <c:ptCount val="1"/>
                <c:pt idx="0">
                  <c:v>Durabilité globale</c:v>
                </c:pt>
              </c:strCache>
            </c:strRef>
          </c:tx>
          <c:spPr>
            <a:solidFill>
              <a:srgbClr val="ff8080"/>
            </a:solidFill>
            <a:ln w="38160">
              <a:solidFill>
                <a:srgbClr val="ff8080"/>
              </a:solidFill>
              <a:round/>
            </a:ln>
          </c:spPr>
          <c:marker>
            <c:symbol val="dash"/>
            <c:size val="24"/>
            <c:spPr>
              <a:solidFill>
                <a:srgbClr val="ff8080"/>
              </a:solidFill>
            </c:spPr>
          </c:marker>
          <c:dLbls>
            <c:numFmt formatCode="General" sourceLinked="1"/>
            <c:txPr>
              <a:bodyPr/>
              <a:lstStyle/>
              <a:p>
                <a:pPr>
                  <a:defRPr b="0"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'Bilan durabilité'!$D$85:$D$87</c:f>
              <c:strCache>
                <c:ptCount val="3"/>
                <c:pt idx="0">
                  <c:v>Durabilité agroécologique</c:v>
                </c:pt>
                <c:pt idx="1">
                  <c:v>Durabilité socioterritoriale</c:v>
                </c:pt>
                <c:pt idx="2">
                  <c:v>Durabilité économique</c:v>
                </c:pt>
              </c:strCache>
            </c:strRef>
          </c:cat>
          <c:val>
            <c:numRef>
              <c:f>'Bilan durabilité'!$D$81:$D$83</c:f>
              <c:numCache>
                <c:formatCode>General</c:formatCode>
                <c:ptCount val="3"/>
                <c:pt idx="0">
                  <c:v/>
                </c:pt>
                <c:pt idx="1">
                  <c:v/>
                </c:pt>
                <c:pt idx="2">
                  <c:v/>
                </c:pt>
              </c:numCache>
            </c:numRef>
          </c:val>
          <c:smooth val="0"/>
        </c:ser>
        <c:hiLowLines>
          <c:spPr>
            <a:ln>
              <a:noFill/>
            </a:ln>
          </c:spPr>
        </c:hiLowLines>
        <c:marker val="1"/>
        <c:axId val="80032998"/>
        <c:axId val="75506619"/>
      </c:lineChart>
      <c:catAx>
        <c:axId val="80032998"/>
        <c:scaling>
          <c:orientation val="minMax"/>
        </c:scaling>
        <c:delete val="0"/>
        <c:axPos val="b"/>
        <c:numFmt formatCode="General" sourceLinked="1"/>
        <c:majorTickMark val="none"/>
        <c:minorTickMark val="none"/>
        <c:tickLblPos val="nextTo"/>
        <c:spPr>
          <a:ln w="12600">
            <a:solidFill>
              <a:srgbClr val="808080"/>
            </a:solidFill>
            <a:round/>
          </a:ln>
        </c:spPr>
        <c:txPr>
          <a:bodyPr/>
          <a:lstStyle/>
          <a:p>
            <a:pPr>
              <a:defRPr b="0" sz="1000" spc="-1" strike="noStrike">
                <a:solidFill>
                  <a:srgbClr val="000000"/>
                </a:solidFill>
                <a:latin typeface="Calibri"/>
                <a:ea typeface="Calibri"/>
              </a:defRPr>
            </a:pPr>
          </a:p>
        </c:txPr>
        <c:crossAx val="75506619"/>
        <c:crosses val="autoZero"/>
        <c:auto val="1"/>
        <c:lblAlgn val="ctr"/>
        <c:lblOffset val="100"/>
      </c:catAx>
      <c:valAx>
        <c:axId val="75506619"/>
        <c:scaling>
          <c:orientation val="minMax"/>
          <c:max val="100"/>
        </c:scaling>
        <c:delete val="0"/>
        <c:axPos val="l"/>
        <c:majorGridlines>
          <c:spPr>
            <a:ln w="12600">
              <a:solidFill>
                <a:srgbClr val="808080"/>
              </a:solidFill>
              <a:round/>
            </a:ln>
          </c:spPr>
        </c:majorGridlines>
        <c:numFmt formatCode="General" sourceLinked="0"/>
        <c:majorTickMark val="none"/>
        <c:minorTickMark val="none"/>
        <c:tickLblPos val="nextTo"/>
        <c:spPr>
          <a:ln w="12600">
            <a:solidFill>
              <a:srgbClr val="808080"/>
            </a:solidFill>
            <a:round/>
          </a:ln>
        </c:spPr>
        <c:txPr>
          <a:bodyPr/>
          <a:lstStyle/>
          <a:p>
            <a:pPr>
              <a:defRPr b="0" sz="1000" spc="-1" strike="noStrike">
                <a:solidFill>
                  <a:srgbClr val="000000"/>
                </a:solidFill>
                <a:latin typeface="Calibri"/>
                <a:ea typeface="Calibri"/>
              </a:defRPr>
            </a:pPr>
          </a:p>
        </c:txPr>
        <c:crossAx val="80032998"/>
        <c:crossesAt val="1"/>
      </c:valAx>
      <c:spPr>
        <a:solidFill>
          <a:srgbClr val="ffffff"/>
        </a:solidFill>
        <a:ln w="25560">
          <a:noFill/>
        </a:ln>
      </c:spPr>
    </c:plotArea>
    <c:plotVisOnly val="1"/>
    <c:dispBlanksAs val="gap"/>
  </c:chart>
  <c:spPr>
    <a:solidFill>
      <a:srgbClr val="ffffff"/>
    </a:solidFill>
    <a:ln w="936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Résultats des indicateurs agroécologiques</a:t>
            </a:r>
          </a:p>
        </c:rich>
      </c:tx>
      <c:layout>
        <c:manualLayout>
          <c:xMode val="edge"/>
          <c:yMode val="edge"/>
          <c:x val="0.240483213934541"/>
          <c:y val="0.0379548715273249"/>
        </c:manualLayout>
      </c:layout>
      <c:overlay val="0"/>
      <c:spPr>
        <a:noFill/>
        <a:ln w="25560">
          <a:noFill/>
        </a:ln>
      </c:spPr>
    </c:title>
    <c:autoTitleDeleted val="0"/>
    <c:plotArea>
      <c:layout>
        <c:manualLayout>
          <c:layoutTarget val="inner"/>
          <c:xMode val="edge"/>
          <c:yMode val="edge"/>
          <c:x val="0.465187058107412"/>
          <c:y val="0.138167905743229"/>
          <c:w val="0.515428196844126"/>
          <c:h val="0.824181557323595"/>
        </c:manualLayout>
      </c:layout>
      <c:barChart>
        <c:barDir val="bar"/>
        <c:grouping val="stacked"/>
        <c:varyColors val="0"/>
        <c:ser>
          <c:idx val="0"/>
          <c:order val="0"/>
          <c:tx>
            <c:strRef>
              <c:f>"Note de l'exploitation"</c:f>
              <c:strCache>
                <c:ptCount val="1"/>
                <c:pt idx="0">
                  <c:v>Note de l'exploitation</c:v>
                </c:pt>
              </c:strCache>
            </c:strRef>
          </c:tx>
          <c:spPr>
            <a:solidFill>
              <a:srgbClr val="9bbb59"/>
            </a:solidFill>
            <a:ln w="25560">
              <a:noFill/>
            </a:ln>
          </c:spPr>
          <c:invertIfNegative val="0"/>
          <c:dLbls>
            <c:numFmt formatCode="0.0" sourceLinked="1"/>
            <c:txPr>
              <a:bodyPr/>
              <a:lstStyle/>
              <a:p>
                <a:pPr>
                  <a:defRPr b="0" sz="1000" spc="-1" strike="noStrike">
                    <a:solidFill>
                      <a:srgbClr val="000000"/>
                    </a:solidFill>
                    <a:latin typeface="Arial"/>
                    <a:ea typeface="Arial"/>
                  </a:defRPr>
                </a:pPr>
              </a:p>
            </c:txPr>
            <c:dLblPos val="ctr"/>
            <c:showLegendKey val="0"/>
            <c:showVal val="0"/>
            <c:showCatName val="0"/>
            <c:showSerName val="0"/>
            <c:showPercent val="0"/>
            <c:separator>; </c:separator>
            <c:showLeaderLines val="0"/>
          </c:dLbls>
          <c:cat>
            <c:strRef>
              <c:f>'Bilan durabilité'!$D$151:$D$169</c:f>
              <c:strCache>
                <c:ptCount val="19"/>
                <c:pt idx="0">
                  <c:v>Diversité des espèces cultivées</c:v>
                </c:pt>
                <c:pt idx="1">
                  <c:v>Diversité génétique</c:v>
                </c:pt>
                <c:pt idx="2">
                  <c:v>Diversité temporelle des cultures</c:v>
                </c:pt>
                <c:pt idx="3">
                  <c:v>Qualité de l'organisation spatiale</c:v>
                </c:pt>
                <c:pt idx="4">
                  <c:v>Gestion des insectes pollinisateurs et des auxiliaires des cultures </c:v>
                </c:pt>
                <c:pt idx="5">
                  <c:v>Autonomie en énergie, matériaux, matériels, semences et plants</c:v>
                </c:pt>
                <c:pt idx="6">
                  <c:v>Autonomie alimentaire de l’élevage</c:v>
                </c:pt>
                <c:pt idx="7">
                  <c:v>Autonomie en azote</c:v>
                </c:pt>
                <c:pt idx="8">
                  <c:v>Sobriété dans l'usage de l'eau et partage de la ressource</c:v>
                </c:pt>
                <c:pt idx="9">
                  <c:v>Sobriété dans l'utilisation du phosphore</c:v>
                </c:pt>
                <c:pt idx="10">
                  <c:v>Sobriété dans la consommation en énergie</c:v>
                </c:pt>
                <c:pt idx="11">
                  <c:v>Raisonner l'utilisation de l'eau</c:v>
                </c:pt>
                <c:pt idx="12">
                  <c:v>Favoriser la fertilité du sol</c:v>
                </c:pt>
                <c:pt idx="13">
                  <c:v>Maintenir l'efficacité de la protection sanitaire 
des cultures et des animaux</c:v>
                </c:pt>
                <c:pt idx="14">
                  <c:v>Sécuriser la disponibilité des moyens matériels de production</c:v>
                </c:pt>
                <c:pt idx="15">
                  <c:v>Réduire l'impact des pratiques sur la qualité de l'eau</c:v>
                </c:pt>
                <c:pt idx="16">
                  <c:v>Réduire l'impact des pratiques sur la qualité de l'air</c:v>
                </c:pt>
                <c:pt idx="17">
                  <c:v>Réduire l'impact des pratiques sur le changement climatique</c:v>
                </c:pt>
                <c:pt idx="18">
                  <c:v>Réduire l'usage des produits phytosanitaires 
et des traitements vétérinaires</c:v>
                </c:pt>
              </c:strCache>
            </c:strRef>
          </c:cat>
          <c:val>
            <c:numRef>
              <c:f>'Bilan durabilité'!$F$151:$F$169</c:f>
              <c:numCache>
                <c:formatCode>General</c:formatCode>
                <c:ptCount val="19"/>
                <c:pt idx="0">
                  <c:v>5</c:v>
                </c:pt>
                <c:pt idx="1">
                  <c:v>2</c:v>
                </c:pt>
                <c:pt idx="2">
                  <c:v>5</c:v>
                </c:pt>
                <c:pt idx="3">
                  <c:v>1</c:v>
                </c:pt>
                <c:pt idx="4">
                  <c:v>3</c:v>
                </c:pt>
                <c:pt idx="5">
                  <c:v>2</c:v>
                </c:pt>
                <c:pt idx="6">
                  <c:v>6</c:v>
                </c:pt>
                <c:pt idx="7">
                  <c:v>4</c:v>
                </c:pt>
                <c:pt idx="8">
                  <c:v>8</c:v>
                </c:pt>
                <c:pt idx="9">
                  <c:v>8</c:v>
                </c:pt>
                <c:pt idx="10">
                  <c:v>8</c:v>
                </c:pt>
                <c:pt idx="11">
                  <c:v>5</c:v>
                </c:pt>
                <c:pt idx="12">
                  <c:v>5</c:v>
                </c:pt>
                <c:pt idx="13">
                  <c:v>2</c:v>
                </c:pt>
                <c:pt idx="14">
                  <c:v>4</c:v>
                </c:pt>
                <c:pt idx="15">
                  <c:v>5</c:v>
                </c:pt>
                <c:pt idx="16">
                  <c:v>4</c:v>
                </c:pt>
                <c:pt idx="17">
                  <c:v>4</c:v>
                </c:pt>
                <c:pt idx="18">
                  <c:v>4</c:v>
                </c:pt>
              </c:numCache>
            </c:numRef>
          </c:val>
        </c:ser>
        <c:ser>
          <c:idx val="1"/>
          <c:order val="1"/>
          <c:tx>
            <c:strRef>
              <c:f>"Note max"</c:f>
              <c:strCache>
                <c:ptCount val="1"/>
                <c:pt idx="0">
                  <c:v>Note max</c:v>
                </c:pt>
              </c:strCache>
            </c:strRef>
          </c:tx>
          <c:spPr>
            <a:solidFill>
              <a:srgbClr val="ebf1de"/>
            </a:solidFill>
            <a:ln w="25560">
              <a:noFill/>
            </a:ln>
          </c:spPr>
          <c:invertIfNegative val="0"/>
          <c:dLbls>
            <c:numFmt formatCode="0.0" sourceLinked="1"/>
            <c:txPr>
              <a:bodyPr/>
              <a:lstStyle/>
              <a:p>
                <a:pPr>
                  <a:defRPr b="0" sz="1000" spc="-1" strike="noStrike">
                    <a:solidFill>
                      <a:srgbClr val="000000"/>
                    </a:solidFill>
                    <a:latin typeface="Arial"/>
                    <a:ea typeface="Arial"/>
                  </a:defRPr>
                </a:pPr>
              </a:p>
            </c:txPr>
            <c:dLblPos val="ctr"/>
            <c:showLegendKey val="0"/>
            <c:showVal val="0"/>
            <c:showCatName val="0"/>
            <c:showSerName val="0"/>
            <c:showPercent val="0"/>
            <c:separator>; </c:separator>
            <c:showLeaderLines val="0"/>
          </c:dLbls>
          <c:cat>
            <c:strRef>
              <c:f>'Bilan durabilité'!$D$151:$D$169</c:f>
              <c:strCache>
                <c:ptCount val="19"/>
                <c:pt idx="0">
                  <c:v>Diversité des espèces cultivées</c:v>
                </c:pt>
                <c:pt idx="1">
                  <c:v>Diversité génétique</c:v>
                </c:pt>
                <c:pt idx="2">
                  <c:v>Diversité temporelle des cultures</c:v>
                </c:pt>
                <c:pt idx="3">
                  <c:v>Qualité de l'organisation spatiale</c:v>
                </c:pt>
                <c:pt idx="4">
                  <c:v>Gestion des insectes pollinisateurs et des auxiliaires des cultures </c:v>
                </c:pt>
                <c:pt idx="5">
                  <c:v>Autonomie en énergie, matériaux, matériels, semences et plants</c:v>
                </c:pt>
                <c:pt idx="6">
                  <c:v>Autonomie alimentaire de l’élevage</c:v>
                </c:pt>
                <c:pt idx="7">
                  <c:v>Autonomie en azote</c:v>
                </c:pt>
                <c:pt idx="8">
                  <c:v>Sobriété dans l'usage de l'eau et partage de la ressource</c:v>
                </c:pt>
                <c:pt idx="9">
                  <c:v>Sobriété dans l'utilisation du phosphore</c:v>
                </c:pt>
                <c:pt idx="10">
                  <c:v>Sobriété dans la consommation en énergie</c:v>
                </c:pt>
                <c:pt idx="11">
                  <c:v>Raisonner l'utilisation de l'eau</c:v>
                </c:pt>
                <c:pt idx="12">
                  <c:v>Favoriser la fertilité du sol</c:v>
                </c:pt>
                <c:pt idx="13">
                  <c:v>Maintenir l'efficacité de la protection sanitaire 
des cultures et des animaux</c:v>
                </c:pt>
                <c:pt idx="14">
                  <c:v>Sécuriser la disponibilité des moyens matériels de production</c:v>
                </c:pt>
                <c:pt idx="15">
                  <c:v>Réduire l'impact des pratiques sur la qualité de l'eau</c:v>
                </c:pt>
                <c:pt idx="16">
                  <c:v>Réduire l'impact des pratiques sur la qualité de l'air</c:v>
                </c:pt>
                <c:pt idx="17">
                  <c:v>Réduire l'impact des pratiques sur le changement climatique</c:v>
                </c:pt>
                <c:pt idx="18">
                  <c:v>Réduire l'usage des produits phytosanitaires 
et des traitements vétérinaires</c:v>
                </c:pt>
              </c:strCache>
            </c:strRef>
          </c:cat>
          <c:val>
            <c:numRef>
              <c:f>'Bilan durabilité'!$K$151:$K$169</c:f>
              <c:numCache>
                <c:formatCode>General</c:formatCode>
                <c:ptCount val="19"/>
                <c:pt idx="0">
                  <c:v>0</c:v>
                </c:pt>
                <c:pt idx="1">
                  <c:v>3</c:v>
                </c:pt>
                <c:pt idx="2">
                  <c:v>0</c:v>
                </c:pt>
                <c:pt idx="3">
                  <c:v>4</c:v>
                </c:pt>
                <c:pt idx="4">
                  <c:v>2</c:v>
                </c:pt>
                <c:pt idx="5">
                  <c:v>6</c:v>
                </c:pt>
                <c:pt idx="6">
                  <c:v>2</c:v>
                </c:pt>
                <c:pt idx="7">
                  <c:v>4</c:v>
                </c:pt>
                <c:pt idx="8">
                  <c:v>0</c:v>
                </c:pt>
                <c:pt idx="9">
                  <c:v>0</c:v>
                </c:pt>
                <c:pt idx="10">
                  <c:v>0</c:v>
                </c:pt>
                <c:pt idx="11">
                  <c:v>3</c:v>
                </c:pt>
                <c:pt idx="12">
                  <c:v>3</c:v>
                </c:pt>
                <c:pt idx="13">
                  <c:v>2</c:v>
                </c:pt>
                <c:pt idx="14">
                  <c:v>0</c:v>
                </c:pt>
                <c:pt idx="15">
                  <c:v>1</c:v>
                </c:pt>
                <c:pt idx="16">
                  <c:v>2</c:v>
                </c:pt>
                <c:pt idx="17">
                  <c:v>2</c:v>
                </c:pt>
                <c:pt idx="18">
                  <c:v>2</c:v>
                </c:pt>
              </c:numCache>
            </c:numRef>
          </c:val>
        </c:ser>
        <c:gapWidth val="150"/>
        <c:overlap val="100"/>
        <c:axId val="20964653"/>
        <c:axId val="95986469"/>
      </c:barChart>
      <c:catAx>
        <c:axId val="20964653"/>
        <c:scaling>
          <c:orientation val="maxMin"/>
        </c:scaling>
        <c:delete val="0"/>
        <c:axPos val="b"/>
        <c:numFmt formatCode="General" sourceLinked="1"/>
        <c:majorTickMark val="out"/>
        <c:minorTickMark val="out"/>
        <c:tickLblPos val="low"/>
        <c:spPr>
          <a:ln w="9360">
            <a:solidFill>
              <a:srgbClr val="878787"/>
            </a:solidFill>
            <a:round/>
          </a:ln>
        </c:spPr>
        <c:txPr>
          <a:bodyPr/>
          <a:lstStyle/>
          <a:p>
            <a:pPr>
              <a:defRPr b="0" sz="900" spc="-1" strike="noStrike">
                <a:solidFill>
                  <a:srgbClr val="000000"/>
                </a:solidFill>
                <a:latin typeface="Arial"/>
                <a:ea typeface="Arial"/>
              </a:defRPr>
            </a:pPr>
          </a:p>
        </c:txPr>
        <c:crossAx val="95986469"/>
        <c:crosses val="autoZero"/>
        <c:auto val="1"/>
        <c:lblAlgn val="ctr"/>
        <c:lblOffset val="100"/>
      </c:catAx>
      <c:valAx>
        <c:axId val="95986469"/>
        <c:scaling>
          <c:orientation val="minMax"/>
          <c:max val="8"/>
          <c:min val="0"/>
        </c:scaling>
        <c:delete val="0"/>
        <c:axPos val="l"/>
        <c:majorGridlines>
          <c:spPr>
            <a:ln w="12600">
              <a:solidFill>
                <a:srgbClr val="808080"/>
              </a:solidFill>
              <a:round/>
            </a:ln>
          </c:spPr>
        </c:majorGridlines>
        <c:minorGridlines>
          <c:spPr>
            <a:ln w="9360">
              <a:solidFill>
                <a:srgbClr val="b7b7b7"/>
              </a:solidFill>
              <a:round/>
            </a:ln>
          </c:spPr>
        </c:minorGridlines>
        <c:numFmt formatCode="General" sourceLinked="0"/>
        <c:majorTickMark val="out"/>
        <c:minorTickMark val="none"/>
        <c:tickLblPos val="nextTo"/>
        <c:spPr>
          <a:ln w="12600">
            <a:solidFill>
              <a:srgbClr val="808080"/>
            </a:solidFill>
            <a:round/>
          </a:ln>
        </c:spPr>
        <c:txPr>
          <a:bodyPr/>
          <a:lstStyle/>
          <a:p>
            <a:pPr>
              <a:defRPr b="0" sz="1000" spc="-1" strike="noStrike">
                <a:solidFill>
                  <a:srgbClr val="000000"/>
                </a:solidFill>
                <a:latin typeface="Calibri"/>
                <a:ea typeface="Calibri"/>
              </a:defRPr>
            </a:pPr>
          </a:p>
        </c:txPr>
        <c:crossAx val="20964653"/>
        <c:crosses val="max"/>
        <c:majorUnit val="2"/>
        <c:minorUnit val="1"/>
      </c:valAx>
      <c:spPr>
        <a:solidFill>
          <a:srgbClr val="ffffff"/>
        </a:solidFill>
        <a:ln w="25560">
          <a:noFill/>
        </a:ln>
      </c:spPr>
    </c:plotArea>
    <c:legend>
      <c:legendPos val="r"/>
      <c:layout>
        <c:manualLayout>
          <c:xMode val="edge"/>
          <c:yMode val="edge"/>
          <c:x val="0.013804126321882"/>
          <c:y val="0.106921645601216"/>
          <c:w val="0.157980248640436"/>
          <c:h val="0.0487436746919603"/>
        </c:manualLayout>
      </c:layout>
      <c:overlay val="0"/>
      <c:spPr>
        <a:noFill/>
        <a:ln w="9360">
          <a:solidFill>
            <a:srgbClr val="000000"/>
          </a:solidFill>
          <a:round/>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Résultats des indicateurs socio-territoriaux</a:t>
            </a:r>
          </a:p>
        </c:rich>
      </c:tx>
      <c:layout>
        <c:manualLayout>
          <c:xMode val="edge"/>
          <c:yMode val="edge"/>
          <c:x val="0.237541175220487"/>
          <c:y val="0.0255514304433282"/>
        </c:manualLayout>
      </c:layout>
      <c:overlay val="0"/>
      <c:spPr>
        <a:noFill/>
        <a:ln w="25560">
          <a:noFill/>
        </a:ln>
      </c:spPr>
    </c:title>
    <c:autoTitleDeleted val="0"/>
    <c:plotArea>
      <c:layout>
        <c:manualLayout>
          <c:layoutTarget val="inner"/>
          <c:xMode val="edge"/>
          <c:yMode val="edge"/>
          <c:x val="0.414408670704495"/>
          <c:y val="0.088316226250273"/>
          <c:w val="0.56205504197216"/>
          <c:h val="0.864249836208779"/>
        </c:manualLayout>
      </c:layout>
      <c:barChart>
        <c:barDir val="bar"/>
        <c:grouping val="stacked"/>
        <c:varyColors val="0"/>
        <c:ser>
          <c:idx val="0"/>
          <c:order val="0"/>
          <c:tx>
            <c:strRef>
              <c:f>"Note de l'exploitation"</c:f>
              <c:strCache>
                <c:ptCount val="1"/>
                <c:pt idx="0">
                  <c:v>Note de l'exploitation</c:v>
                </c:pt>
              </c:strCache>
            </c:strRef>
          </c:tx>
          <c:spPr>
            <a:solidFill>
              <a:srgbClr val="333399"/>
            </a:solidFill>
            <a:ln w="25560">
              <a:noFill/>
            </a:ln>
          </c:spPr>
          <c:invertIfNegative val="0"/>
          <c:dLbls>
            <c:numFmt formatCode="0.0" sourceLinked="1"/>
            <c:txPr>
              <a:bodyPr/>
              <a:lstStyle/>
              <a:p>
                <a:pPr>
                  <a:defRPr b="0" sz="1000" spc="-1" strike="noStrike">
                    <a:solidFill>
                      <a:srgbClr val="000000"/>
                    </a:solidFill>
                    <a:latin typeface="Arial"/>
                    <a:ea typeface="Arial"/>
                  </a:defRPr>
                </a:pPr>
              </a:p>
            </c:txPr>
            <c:dLblPos val="ctr"/>
            <c:showLegendKey val="0"/>
            <c:showVal val="0"/>
            <c:showCatName val="0"/>
            <c:showSerName val="0"/>
            <c:showPercent val="0"/>
            <c:separator>; </c:separator>
            <c:showLeaderLines val="0"/>
          </c:dLbls>
          <c:cat>
            <c:strRef>
              <c:f>'Bilan durabilité'!$D$173:$D$195</c:f>
              <c:strCache>
                <c:ptCount val="23"/>
                <c:pt idx="0">
                  <c:v>Production alimentaire de l'exploitation</c:v>
                </c:pt>
                <c:pt idx="1">
                  <c:v>Contribution à l’équilibre alimentaire mondial</c:v>
                </c:pt>
                <c:pt idx="2">
                  <c:v>Qualités de la production </c:v>
                </c:pt>
                <c:pt idx="3">
                  <c:v>Pertes et gaspillage</c:v>
                </c:pt>
                <c:pt idx="4">
                  <c:v>Liens sociaux, hédoniques et culturels à l'alimentation</c:v>
                </c:pt>
                <c:pt idx="5">
                  <c:v>Engagement dans des démarches 
environnementales contractualisées et territoriales</c:v>
                </c:pt>
                <c:pt idx="6">
                  <c:v>Services marchands au territoire</c:v>
                </c:pt>
                <c:pt idx="7">
                  <c:v>Valorisation par filières courtes ou de proximité</c:v>
                </c:pt>
                <c:pt idx="8">
                  <c:v>Valorisation des ressources locales</c:v>
                </c:pt>
                <c:pt idx="9">
                  <c:v>Valorisation et qualité du patrimoine 
(bâti, paysage et savoir-faire) et ressources naturelles</c:v>
                </c:pt>
                <c:pt idx="10">
                  <c:v>Accessibilité de l’espace</c:v>
                </c:pt>
                <c:pt idx="11">
                  <c:v>Gestion des déchets non organiques </c:v>
                </c:pt>
                <c:pt idx="12">
                  <c:v>Réseaux d'innovation et mutualisation du matériel</c:v>
                </c:pt>
                <c:pt idx="13">
                  <c:v>Contribution à l'emploi et gestion du salariat</c:v>
                </c:pt>
                <c:pt idx="14">
                  <c:v>Mutualisation du travail</c:v>
                </c:pt>
                <c:pt idx="15">
                  <c:v>Intensité et qualité au travail</c:v>
                </c:pt>
                <c:pt idx="16">
                  <c:v>Accueil, hygiène et sécurité</c:v>
                </c:pt>
                <c:pt idx="17">
                  <c:v>Formation</c:v>
                </c:pt>
                <c:pt idx="18">
                  <c:v>Implication sociale territoriale et solidarités</c:v>
                </c:pt>
                <c:pt idx="19">
                  <c:v>Démarche de transparence </c:v>
                </c:pt>
                <c:pt idx="20">
                  <c:v>Qualité de la vie</c:v>
                </c:pt>
                <c:pt idx="21">
                  <c:v>Isolement</c:v>
                </c:pt>
                <c:pt idx="22">
                  <c:v>Bien-être animal</c:v>
                </c:pt>
              </c:strCache>
            </c:strRef>
          </c:cat>
          <c:val>
            <c:numRef>
              <c:f>'Bilan durabilité'!$F$173:$F$195</c:f>
              <c:numCache>
                <c:formatCode>General</c:formatCode>
                <c:ptCount val="23"/>
                <c:pt idx="0">
                  <c:v>6</c:v>
                </c:pt>
                <c:pt idx="1">
                  <c:v>6</c:v>
                </c:pt>
                <c:pt idx="2">
                  <c:v>0</c:v>
                </c:pt>
                <c:pt idx="3">
                  <c:v>2</c:v>
                </c:pt>
                <c:pt idx="4">
                  <c:v>3</c:v>
                </c:pt>
                <c:pt idx="5">
                  <c:v>5</c:v>
                </c:pt>
                <c:pt idx="6">
                  <c:v>0</c:v>
                </c:pt>
                <c:pt idx="7">
                  <c:v>4</c:v>
                </c:pt>
                <c:pt idx="8">
                  <c:v>5</c:v>
                </c:pt>
                <c:pt idx="9">
                  <c:v>2</c:v>
                </c:pt>
                <c:pt idx="10">
                  <c:v>2</c:v>
                </c:pt>
                <c:pt idx="11">
                  <c:v>2</c:v>
                </c:pt>
                <c:pt idx="12">
                  <c:v>3</c:v>
                </c:pt>
                <c:pt idx="13">
                  <c:v>0</c:v>
                </c:pt>
                <c:pt idx="14">
                  <c:v>5</c:v>
                </c:pt>
                <c:pt idx="15">
                  <c:v>0</c:v>
                </c:pt>
                <c:pt idx="16">
                  <c:v>2</c:v>
                </c:pt>
                <c:pt idx="17">
                  <c:v>5</c:v>
                </c:pt>
                <c:pt idx="18">
                  <c:v>5</c:v>
                </c:pt>
                <c:pt idx="19">
                  <c:v>2</c:v>
                </c:pt>
                <c:pt idx="20">
                  <c:v>4</c:v>
                </c:pt>
                <c:pt idx="21">
                  <c:v>5</c:v>
                </c:pt>
                <c:pt idx="22">
                  <c:v>6</c:v>
                </c:pt>
              </c:numCache>
            </c:numRef>
          </c:val>
        </c:ser>
        <c:ser>
          <c:idx val="1"/>
          <c:order val="1"/>
          <c:tx>
            <c:strRef>
              <c:f>"Note max"</c:f>
              <c:strCache>
                <c:ptCount val="1"/>
                <c:pt idx="0">
                  <c:v>Note max</c:v>
                </c:pt>
              </c:strCache>
            </c:strRef>
          </c:tx>
          <c:spPr>
            <a:solidFill>
              <a:srgbClr val="99ccff"/>
            </a:solidFill>
            <a:ln w="25560">
              <a:noFill/>
            </a:ln>
          </c:spPr>
          <c:invertIfNegative val="0"/>
          <c:dLbls>
            <c:numFmt formatCode="0.0" sourceLinked="1"/>
            <c:txPr>
              <a:bodyPr/>
              <a:lstStyle/>
              <a:p>
                <a:pPr>
                  <a:defRPr b="0" sz="1000" spc="-1" strike="noStrike">
                    <a:solidFill>
                      <a:srgbClr val="000000"/>
                    </a:solidFill>
                    <a:latin typeface="Arial"/>
                    <a:ea typeface="Arial"/>
                  </a:defRPr>
                </a:pPr>
              </a:p>
            </c:txPr>
            <c:dLblPos val="ctr"/>
            <c:showLegendKey val="0"/>
            <c:showVal val="0"/>
            <c:showCatName val="0"/>
            <c:showSerName val="0"/>
            <c:showPercent val="0"/>
            <c:separator>; </c:separator>
            <c:showLeaderLines val="0"/>
          </c:dLbls>
          <c:cat>
            <c:strRef>
              <c:f>'Bilan durabilité'!$D$173:$D$195</c:f>
              <c:strCache>
                <c:ptCount val="23"/>
                <c:pt idx="0">
                  <c:v>Production alimentaire de l'exploitation</c:v>
                </c:pt>
                <c:pt idx="1">
                  <c:v>Contribution à l’équilibre alimentaire mondial</c:v>
                </c:pt>
                <c:pt idx="2">
                  <c:v>Qualités de la production </c:v>
                </c:pt>
                <c:pt idx="3">
                  <c:v>Pertes et gaspillage</c:v>
                </c:pt>
                <c:pt idx="4">
                  <c:v>Liens sociaux, hédoniques et culturels à l'alimentation</c:v>
                </c:pt>
                <c:pt idx="5">
                  <c:v>Engagement dans des démarches 
environnementales contractualisées et territoriales</c:v>
                </c:pt>
                <c:pt idx="6">
                  <c:v>Services marchands au territoire</c:v>
                </c:pt>
                <c:pt idx="7">
                  <c:v>Valorisation par filières courtes ou de proximité</c:v>
                </c:pt>
                <c:pt idx="8">
                  <c:v>Valorisation des ressources locales</c:v>
                </c:pt>
                <c:pt idx="9">
                  <c:v>Valorisation et qualité du patrimoine 
(bâti, paysage et savoir-faire) et ressources naturelles</c:v>
                </c:pt>
                <c:pt idx="10">
                  <c:v>Accessibilité de l’espace</c:v>
                </c:pt>
                <c:pt idx="11">
                  <c:v>Gestion des déchets non organiques </c:v>
                </c:pt>
                <c:pt idx="12">
                  <c:v>Réseaux d'innovation et mutualisation du matériel</c:v>
                </c:pt>
                <c:pt idx="13">
                  <c:v>Contribution à l'emploi et gestion du salariat</c:v>
                </c:pt>
                <c:pt idx="14">
                  <c:v>Mutualisation du travail</c:v>
                </c:pt>
                <c:pt idx="15">
                  <c:v>Intensité et qualité au travail</c:v>
                </c:pt>
                <c:pt idx="16">
                  <c:v>Accueil, hygiène et sécurité</c:v>
                </c:pt>
                <c:pt idx="17">
                  <c:v>Formation</c:v>
                </c:pt>
                <c:pt idx="18">
                  <c:v>Implication sociale territoriale et solidarités</c:v>
                </c:pt>
                <c:pt idx="19">
                  <c:v>Démarche de transparence </c:v>
                </c:pt>
                <c:pt idx="20">
                  <c:v>Qualité de la vie</c:v>
                </c:pt>
                <c:pt idx="21">
                  <c:v>Isolement</c:v>
                </c:pt>
                <c:pt idx="22">
                  <c:v>Bien-être animal</c:v>
                </c:pt>
              </c:strCache>
            </c:strRef>
          </c:cat>
          <c:val>
            <c:numRef>
              <c:f>'Bilan durabilité'!$K$173:$K$195</c:f>
              <c:numCache>
                <c:formatCode>General</c:formatCode>
                <c:ptCount val="23"/>
                <c:pt idx="0">
                  <c:v>0</c:v>
                </c:pt>
                <c:pt idx="1">
                  <c:v>0</c:v>
                </c:pt>
                <c:pt idx="2">
                  <c:v>6</c:v>
                </c:pt>
                <c:pt idx="3">
                  <c:v>4</c:v>
                </c:pt>
                <c:pt idx="4">
                  <c:v>3</c:v>
                </c:pt>
                <c:pt idx="5">
                  <c:v>0</c:v>
                </c:pt>
                <c:pt idx="6">
                  <c:v>3</c:v>
                </c:pt>
                <c:pt idx="7">
                  <c:v>1</c:v>
                </c:pt>
                <c:pt idx="8">
                  <c:v>0</c:v>
                </c:pt>
                <c:pt idx="9">
                  <c:v>1</c:v>
                </c:pt>
                <c:pt idx="10">
                  <c:v>1</c:v>
                </c:pt>
                <c:pt idx="11">
                  <c:v>1</c:v>
                </c:pt>
                <c:pt idx="12">
                  <c:v>0</c:v>
                </c:pt>
                <c:pt idx="13">
                  <c:v>6</c:v>
                </c:pt>
                <c:pt idx="14">
                  <c:v>1</c:v>
                </c:pt>
                <c:pt idx="15">
                  <c:v>6</c:v>
                </c:pt>
                <c:pt idx="16">
                  <c:v>3</c:v>
                </c:pt>
                <c:pt idx="17">
                  <c:v>0</c:v>
                </c:pt>
                <c:pt idx="18">
                  <c:v>1</c:v>
                </c:pt>
                <c:pt idx="19">
                  <c:v>4</c:v>
                </c:pt>
                <c:pt idx="20">
                  <c:v>2</c:v>
                </c:pt>
                <c:pt idx="21">
                  <c:v>1</c:v>
                </c:pt>
                <c:pt idx="22">
                  <c:v>0</c:v>
                </c:pt>
              </c:numCache>
            </c:numRef>
          </c:val>
        </c:ser>
        <c:gapWidth val="150"/>
        <c:overlap val="100"/>
        <c:axId val="92664274"/>
        <c:axId val="44049659"/>
      </c:barChart>
      <c:catAx>
        <c:axId val="92664274"/>
        <c:scaling>
          <c:orientation val="maxMin"/>
        </c:scaling>
        <c:delete val="0"/>
        <c:axPos val="b"/>
        <c:numFmt formatCode="General" sourceLinked="1"/>
        <c:majorTickMark val="out"/>
        <c:minorTickMark val="out"/>
        <c:tickLblPos val="nextTo"/>
        <c:spPr>
          <a:ln w="9360">
            <a:solidFill>
              <a:srgbClr val="878787"/>
            </a:solidFill>
            <a:round/>
          </a:ln>
        </c:spPr>
        <c:txPr>
          <a:bodyPr/>
          <a:lstStyle/>
          <a:p>
            <a:pPr>
              <a:defRPr b="0" sz="1000" spc="-1" strike="noStrike">
                <a:solidFill>
                  <a:srgbClr val="000000"/>
                </a:solidFill>
                <a:latin typeface="Arial"/>
                <a:ea typeface="Arial"/>
              </a:defRPr>
            </a:pPr>
          </a:p>
        </c:txPr>
        <c:crossAx val="44049659"/>
        <c:crosses val="autoZero"/>
        <c:auto val="1"/>
        <c:lblAlgn val="ctr"/>
        <c:lblOffset val="100"/>
      </c:catAx>
      <c:valAx>
        <c:axId val="44049659"/>
        <c:scaling>
          <c:orientation val="minMax"/>
          <c:max val="7"/>
          <c:min val="0"/>
        </c:scaling>
        <c:delete val="0"/>
        <c:axPos val="l"/>
        <c:majorGridlines>
          <c:spPr>
            <a:ln w="12600">
              <a:solidFill>
                <a:srgbClr val="808080"/>
              </a:solidFill>
              <a:round/>
            </a:ln>
          </c:spPr>
        </c:majorGridlines>
        <c:numFmt formatCode="General" sourceLinked="0"/>
        <c:majorTickMark val="out"/>
        <c:minorTickMark val="none"/>
        <c:tickLblPos val="nextTo"/>
        <c:spPr>
          <a:ln w="12600">
            <a:solidFill>
              <a:srgbClr val="808080"/>
            </a:solidFill>
            <a:round/>
          </a:ln>
        </c:spPr>
        <c:txPr>
          <a:bodyPr/>
          <a:lstStyle/>
          <a:p>
            <a:pPr>
              <a:defRPr b="0" sz="1000" spc="-1" strike="noStrike">
                <a:solidFill>
                  <a:srgbClr val="000000"/>
                </a:solidFill>
                <a:latin typeface="Calibri"/>
                <a:ea typeface="Calibri"/>
              </a:defRPr>
            </a:pPr>
          </a:p>
        </c:txPr>
        <c:crossAx val="92664274"/>
        <c:crosses val="max"/>
        <c:majorUnit val="1"/>
        <c:minorUnit val="1"/>
      </c:valAx>
      <c:spPr>
        <a:solidFill>
          <a:srgbClr val="ffffff"/>
        </a:solidFill>
        <a:ln w="25560">
          <a:noFill/>
        </a:ln>
      </c:spPr>
    </c:plotArea>
    <c:legend>
      <c:legendPos val="r"/>
      <c:layout>
        <c:manualLayout>
          <c:xMode val="edge"/>
          <c:yMode val="edge"/>
          <c:x val="0.024264134951881"/>
          <c:y val="0.924198981277847"/>
          <c:w val="0.18718093832021"/>
          <c:h val="0.0521343026767096"/>
        </c:manualLayout>
      </c:layout>
      <c:overlay val="0"/>
      <c:spPr>
        <a:noFill/>
        <a:ln w="9360">
          <a:solidFill>
            <a:srgbClr val="000000"/>
          </a:solidFill>
          <a:round/>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Résultats des indicateurs économiques</a:t>
            </a:r>
          </a:p>
        </c:rich>
      </c:tx>
      <c:layout>
        <c:manualLayout>
          <c:xMode val="edge"/>
          <c:yMode val="edge"/>
          <c:x val="0.285505978419364"/>
          <c:y val="0.0482960634421662"/>
        </c:manualLayout>
      </c:layout>
      <c:overlay val="0"/>
      <c:spPr>
        <a:noFill/>
        <a:ln w="25560">
          <a:noFill/>
        </a:ln>
      </c:spPr>
    </c:title>
    <c:autoTitleDeleted val="0"/>
    <c:plotArea>
      <c:layout>
        <c:manualLayout>
          <c:layoutTarget val="inner"/>
          <c:xMode val="edge"/>
          <c:yMode val="edge"/>
          <c:x val="0.318810148731409"/>
          <c:y val="0.186968636136315"/>
          <c:w val="0.681189851268591"/>
          <c:h val="0.74387368721869"/>
        </c:manualLayout>
      </c:layout>
      <c:barChart>
        <c:barDir val="bar"/>
        <c:grouping val="stacked"/>
        <c:varyColors val="0"/>
        <c:ser>
          <c:idx val="0"/>
          <c:order val="0"/>
          <c:tx>
            <c:strRef>
              <c:f>"Note de l'exploitation"</c:f>
              <c:strCache>
                <c:ptCount val="1"/>
                <c:pt idx="0">
                  <c:v>Note de l'exploitation</c:v>
                </c:pt>
              </c:strCache>
            </c:strRef>
          </c:tx>
          <c:spPr>
            <a:solidFill>
              <a:srgbClr val="ff8080"/>
            </a:solidFill>
            <a:ln w="25560">
              <a:noFill/>
            </a:ln>
          </c:spPr>
          <c:invertIfNegative val="0"/>
          <c:dLbls>
            <c:numFmt formatCode="0.0" sourceLinked="1"/>
            <c:txPr>
              <a:bodyPr/>
              <a:lstStyle/>
              <a:p>
                <a:pPr>
                  <a:defRPr b="0" sz="1000" spc="-1" strike="noStrike">
                    <a:solidFill>
                      <a:srgbClr val="000000"/>
                    </a:solidFill>
                    <a:latin typeface="Arial"/>
                    <a:ea typeface="Arial"/>
                  </a:defRPr>
                </a:pPr>
              </a:p>
            </c:txPr>
            <c:dLblPos val="ctr"/>
            <c:showLegendKey val="0"/>
            <c:showVal val="0"/>
            <c:showCatName val="0"/>
            <c:showSerName val="0"/>
            <c:showPercent val="0"/>
            <c:separator>; </c:separator>
            <c:showLeaderLines val="0"/>
          </c:dLbls>
          <c:cat>
            <c:strRef>
              <c:f>'Bilan durabilité'!$D$199:$D$209</c:f>
              <c:strCache>
                <c:ptCount val="11"/>
                <c:pt idx="0">
                  <c:v>Capacité économique</c:v>
                </c:pt>
                <c:pt idx="1">
                  <c:v>Poids de la dette</c:v>
                </c:pt>
                <c:pt idx="2">
                  <c:v>Taux d'endettement structurel</c:v>
                </c:pt>
                <c:pt idx="3">
                  <c:v>Diversification productive</c:v>
                </c:pt>
                <c:pt idx="4">
                  <c:v>Diversification et relations contractuelles</c:v>
                </c:pt>
                <c:pt idx="5">
                  <c:v>Sensibilité aux aides</c:v>
                </c:pt>
                <c:pt idx="6">
                  <c:v>Contribution de revenus extérieurs à l'indépendance</c:v>
                </c:pt>
                <c:pt idx="7">
                  <c:v>Transmissibilité économique</c:v>
                </c:pt>
                <c:pt idx="8">
                  <c:v>Pérennité probable</c:v>
                </c:pt>
                <c:pt idx="9">
                  <c:v>Efficience brute du processus productif</c:v>
                </c:pt>
                <c:pt idx="10">
                  <c:v>Sobriété en intrants dans le processus productif</c:v>
                </c:pt>
              </c:strCache>
            </c:strRef>
          </c:cat>
          <c:val>
            <c:numRef>
              <c:f>'Bilan durabilité'!$F$199:$F$209</c:f>
              <c:numCache>
                <c:formatCode>General</c:formatCode>
                <c:ptCount val="11"/>
                <c:pt idx="0">
                  <c:v>12</c:v>
                </c:pt>
                <c:pt idx="1">
                  <c:v>0</c:v>
                </c:pt>
                <c:pt idx="2">
                  <c:v>3</c:v>
                </c:pt>
                <c:pt idx="3">
                  <c:v>2</c:v>
                </c:pt>
                <c:pt idx="4">
                  <c:v>0</c:v>
                </c:pt>
                <c:pt idx="5">
                  <c:v>2</c:v>
                </c:pt>
                <c:pt idx="6">
                  <c:v>4</c:v>
                </c:pt>
                <c:pt idx="7">
                  <c:v>4</c:v>
                </c:pt>
                <c:pt idx="8">
                  <c:v>6</c:v>
                </c:pt>
                <c:pt idx="9">
                  <c:v>2</c:v>
                </c:pt>
                <c:pt idx="10">
                  <c:v>6</c:v>
                </c:pt>
              </c:numCache>
            </c:numRef>
          </c:val>
        </c:ser>
        <c:ser>
          <c:idx val="1"/>
          <c:order val="1"/>
          <c:tx>
            <c:strRef>
              <c:f>"Note max"</c:f>
              <c:strCache>
                <c:ptCount val="1"/>
                <c:pt idx="0">
                  <c:v>Note max</c:v>
                </c:pt>
              </c:strCache>
            </c:strRef>
          </c:tx>
          <c:spPr>
            <a:solidFill>
              <a:srgbClr val="ffcc99"/>
            </a:solidFill>
            <a:ln w="25560">
              <a:noFill/>
            </a:ln>
          </c:spPr>
          <c:invertIfNegative val="0"/>
          <c:dLbls>
            <c:numFmt formatCode="0.0" sourceLinked="1"/>
            <c:txPr>
              <a:bodyPr/>
              <a:lstStyle/>
              <a:p>
                <a:pPr>
                  <a:defRPr b="0" sz="1000" spc="-1" strike="noStrike">
                    <a:solidFill>
                      <a:srgbClr val="000000"/>
                    </a:solidFill>
                    <a:latin typeface="Arial"/>
                    <a:ea typeface="Arial"/>
                  </a:defRPr>
                </a:pPr>
              </a:p>
            </c:txPr>
            <c:dLblPos val="ctr"/>
            <c:showLegendKey val="0"/>
            <c:showVal val="0"/>
            <c:showCatName val="0"/>
            <c:showSerName val="0"/>
            <c:showPercent val="0"/>
            <c:separator>; </c:separator>
            <c:showLeaderLines val="0"/>
          </c:dLbls>
          <c:cat>
            <c:strRef>
              <c:f>'Bilan durabilité'!$D$199:$D$209</c:f>
              <c:strCache>
                <c:ptCount val="11"/>
                <c:pt idx="0">
                  <c:v>Capacité économique</c:v>
                </c:pt>
                <c:pt idx="1">
                  <c:v>Poids de la dette</c:v>
                </c:pt>
                <c:pt idx="2">
                  <c:v>Taux d'endettement structurel</c:v>
                </c:pt>
                <c:pt idx="3">
                  <c:v>Diversification productive</c:v>
                </c:pt>
                <c:pt idx="4">
                  <c:v>Diversification et relations contractuelles</c:v>
                </c:pt>
                <c:pt idx="5">
                  <c:v>Sensibilité aux aides</c:v>
                </c:pt>
                <c:pt idx="6">
                  <c:v>Contribution de revenus extérieurs à l'indépendance</c:v>
                </c:pt>
                <c:pt idx="7">
                  <c:v>Transmissibilité économique</c:v>
                </c:pt>
                <c:pt idx="8">
                  <c:v>Pérennité probable</c:v>
                </c:pt>
                <c:pt idx="9">
                  <c:v>Efficience brute du processus productif</c:v>
                </c:pt>
                <c:pt idx="10">
                  <c:v>Sobriété en intrants dans le processus productif</c:v>
                </c:pt>
              </c:strCache>
            </c:strRef>
          </c:cat>
          <c:val>
            <c:numRef>
              <c:f>'Bilan durabilité'!$K$199:$K$209</c:f>
              <c:numCache>
                <c:formatCode>General</c:formatCode>
                <c:ptCount val="11"/>
                <c:pt idx="0">
                  <c:v>8</c:v>
                </c:pt>
                <c:pt idx="1">
                  <c:v>12</c:v>
                </c:pt>
                <c:pt idx="2">
                  <c:v>3</c:v>
                </c:pt>
                <c:pt idx="3">
                  <c:v>8</c:v>
                </c:pt>
                <c:pt idx="4">
                  <c:v>10</c:v>
                </c:pt>
                <c:pt idx="5">
                  <c:v>4</c:v>
                </c:pt>
                <c:pt idx="6">
                  <c:v>0</c:v>
                </c:pt>
                <c:pt idx="7">
                  <c:v>11</c:v>
                </c:pt>
                <c:pt idx="8">
                  <c:v>2</c:v>
                </c:pt>
                <c:pt idx="9">
                  <c:v>10</c:v>
                </c:pt>
                <c:pt idx="10">
                  <c:v>2</c:v>
                </c:pt>
              </c:numCache>
            </c:numRef>
          </c:val>
        </c:ser>
        <c:gapWidth val="150"/>
        <c:overlap val="100"/>
        <c:axId val="52339943"/>
        <c:axId val="88390445"/>
      </c:barChart>
      <c:catAx>
        <c:axId val="52339943"/>
        <c:scaling>
          <c:orientation val="maxMin"/>
        </c:scaling>
        <c:delete val="0"/>
        <c:axPos val="b"/>
        <c:numFmt formatCode="General" sourceLinked="1"/>
        <c:majorTickMark val="out"/>
        <c:minorTickMark val="out"/>
        <c:tickLblPos val="low"/>
        <c:spPr>
          <a:ln w="9360">
            <a:solidFill>
              <a:srgbClr val="878787"/>
            </a:solidFill>
            <a:round/>
          </a:ln>
        </c:spPr>
        <c:txPr>
          <a:bodyPr/>
          <a:lstStyle/>
          <a:p>
            <a:pPr>
              <a:defRPr b="0" sz="1000" spc="-1" strike="noStrike">
                <a:solidFill>
                  <a:srgbClr val="000000"/>
                </a:solidFill>
                <a:latin typeface="Arial"/>
                <a:ea typeface="Arial"/>
              </a:defRPr>
            </a:pPr>
          </a:p>
        </c:txPr>
        <c:crossAx val="88390445"/>
        <c:crosses val="autoZero"/>
        <c:auto val="1"/>
        <c:lblAlgn val="ctr"/>
        <c:lblOffset val="100"/>
      </c:catAx>
      <c:valAx>
        <c:axId val="88390445"/>
        <c:scaling>
          <c:orientation val="minMax"/>
          <c:max val="20"/>
          <c:min val="0"/>
        </c:scaling>
        <c:delete val="0"/>
        <c:axPos val="l"/>
        <c:majorGridlines>
          <c:spPr>
            <a:ln w="12600">
              <a:solidFill>
                <a:srgbClr val="808080"/>
              </a:solidFill>
              <a:round/>
            </a:ln>
          </c:spPr>
        </c:majorGridlines>
        <c:numFmt formatCode="General" sourceLinked="0"/>
        <c:majorTickMark val="out"/>
        <c:minorTickMark val="out"/>
        <c:tickLblPos val="nextTo"/>
        <c:spPr>
          <a:ln w="12600">
            <a:solidFill>
              <a:srgbClr val="808080"/>
            </a:solidFill>
            <a:round/>
          </a:ln>
        </c:spPr>
        <c:txPr>
          <a:bodyPr/>
          <a:lstStyle/>
          <a:p>
            <a:pPr>
              <a:defRPr b="0" sz="1000" spc="-1" strike="noStrike">
                <a:solidFill>
                  <a:srgbClr val="000000"/>
                </a:solidFill>
                <a:latin typeface="Calibri"/>
                <a:ea typeface="Calibri"/>
              </a:defRPr>
            </a:pPr>
          </a:p>
        </c:txPr>
        <c:crossAx val="52339943"/>
        <c:crosses val="max"/>
        <c:majorUnit val="2"/>
        <c:minorUnit val="1"/>
      </c:valAx>
      <c:spPr>
        <a:solidFill>
          <a:srgbClr val="ffffff"/>
        </a:solidFill>
        <a:ln w="25560">
          <a:noFill/>
        </a:ln>
      </c:spPr>
    </c:plotArea>
    <c:legend>
      <c:legendPos val="r"/>
      <c:layout>
        <c:manualLayout>
          <c:xMode val="edge"/>
          <c:yMode val="edge"/>
          <c:x val="0.0305353121646742"/>
          <c:y val="0.0749378661790499"/>
          <c:w val="0.198479453504013"/>
          <c:h val="0.0671856924282569"/>
        </c:manualLayout>
      </c:layout>
      <c:overlay val="0"/>
      <c:spPr>
        <a:noFill/>
        <a:ln w="9360">
          <a:solidFill>
            <a:srgbClr val="000000"/>
          </a:solidFill>
          <a:round/>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390343502282008"/>
          <c:y val="0.0238080281424713"/>
          <c:w val="0.946252702378093"/>
          <c:h val="0.506313210628808"/>
        </c:manualLayout>
      </c:layout>
      <c:barChart>
        <c:barDir val="col"/>
        <c:grouping val="stacked"/>
        <c:varyColors val="0"/>
        <c:ser>
          <c:idx val="0"/>
          <c:order val="0"/>
          <c:tx>
            <c:strRef>
              <c:f>"Note exploitaton"</c:f>
              <c:strCache>
                <c:ptCount val="1"/>
                <c:pt idx="0">
                  <c:v>Note exploitaton</c:v>
                </c:pt>
              </c:strCache>
            </c:strRef>
          </c:tx>
          <c:spPr>
            <a:solidFill>
              <a:srgbClr val="c0504d"/>
            </a:solidFill>
            <a:ln>
              <a:noFill/>
            </a:ln>
          </c:spPr>
          <c:invertIfNegative val="0"/>
          <c:dPt>
            <c:idx val="0"/>
            <c:invertIfNegative val="0"/>
            <c:spPr>
              <a:solidFill>
                <a:srgbClr val="92d050"/>
              </a:solidFill>
              <a:ln>
                <a:noFill/>
              </a:ln>
            </c:spPr>
          </c:dPt>
          <c:dPt>
            <c:idx val="1"/>
            <c:invertIfNegative val="0"/>
            <c:spPr>
              <a:solidFill>
                <a:srgbClr val="92d050"/>
              </a:solidFill>
              <a:ln>
                <a:noFill/>
              </a:ln>
            </c:spPr>
          </c:dPt>
          <c:dPt>
            <c:idx val="2"/>
            <c:invertIfNegative val="0"/>
            <c:spPr>
              <a:solidFill>
                <a:srgbClr val="92d050"/>
              </a:solidFill>
              <a:ln>
                <a:noFill/>
              </a:ln>
            </c:spPr>
          </c:dPt>
          <c:dPt>
            <c:idx val="3"/>
            <c:invertIfNegative val="0"/>
            <c:spPr>
              <a:solidFill>
                <a:srgbClr val="92d050"/>
              </a:solidFill>
              <a:ln>
                <a:noFill/>
              </a:ln>
            </c:spPr>
          </c:dPt>
          <c:dPt>
            <c:idx val="4"/>
            <c:invertIfNegative val="0"/>
            <c:spPr>
              <a:solidFill>
                <a:srgbClr val="92d050"/>
              </a:solidFill>
              <a:ln>
                <a:noFill/>
              </a:ln>
            </c:spPr>
          </c:dPt>
          <c:dPt>
            <c:idx val="5"/>
            <c:invertIfNegative val="0"/>
            <c:spPr>
              <a:solidFill>
                <a:srgbClr val="17375e"/>
              </a:solidFill>
              <a:ln>
                <a:noFill/>
              </a:ln>
            </c:spPr>
          </c:dPt>
          <c:dPt>
            <c:idx val="6"/>
            <c:invertIfNegative val="0"/>
            <c:spPr>
              <a:solidFill>
                <a:srgbClr val="17375e"/>
              </a:solidFill>
              <a:ln>
                <a:noFill/>
              </a:ln>
            </c:spPr>
          </c:dPt>
          <c:dPt>
            <c:idx val="7"/>
            <c:invertIfNegative val="0"/>
            <c:spPr>
              <a:solidFill>
                <a:srgbClr val="17375e"/>
              </a:solidFill>
              <a:ln>
                <a:noFill/>
              </a:ln>
            </c:spPr>
          </c:dPt>
          <c:dPt>
            <c:idx val="8"/>
            <c:invertIfNegative val="0"/>
            <c:spPr>
              <a:solidFill>
                <a:srgbClr val="17375e"/>
              </a:solidFill>
              <a:ln>
                <a:noFill/>
              </a:ln>
            </c:spPr>
          </c:dPt>
          <c:dPt>
            <c:idx val="9"/>
            <c:invertIfNegative val="0"/>
            <c:spPr>
              <a:solidFill>
                <a:srgbClr val="e46c0a"/>
              </a:solidFill>
              <a:ln>
                <a:noFill/>
              </a:ln>
            </c:spPr>
          </c:dPt>
          <c:dPt>
            <c:idx val="10"/>
            <c:invertIfNegative val="0"/>
            <c:spPr>
              <a:solidFill>
                <a:srgbClr val="e46c0a"/>
              </a:solidFill>
              <a:ln>
                <a:noFill/>
              </a:ln>
            </c:spPr>
          </c:dPt>
          <c:dPt>
            <c:idx val="11"/>
            <c:invertIfNegative val="0"/>
            <c:spPr>
              <a:solidFill>
                <a:srgbClr val="e46c0a"/>
              </a:solidFill>
              <a:ln>
                <a:noFill/>
              </a:ln>
            </c:spPr>
          </c:dPt>
          <c:dPt>
            <c:idx val="12"/>
            <c:invertIfNegative val="0"/>
            <c:spPr>
              <a:solidFill>
                <a:srgbClr val="e46c0a"/>
              </a:solidFill>
              <a:ln>
                <a:noFill/>
              </a:ln>
            </c:spPr>
          </c:dPt>
          <c:dLbls>
            <c:numFmt formatCode="General" sourceLinked="1"/>
            <c:dLbl>
              <c:idx val="0"/>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1"/>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2"/>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3"/>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4"/>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5"/>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6"/>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7"/>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8"/>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9"/>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10"/>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11"/>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12"/>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showLeaderLines val="0"/>
          </c:dLbls>
          <c:cat>
            <c:strRef>
              <c:f>'Bilan durabilité'!$D$115:$D$127</c:f>
              <c:strCache>
                <c:ptCount val="13"/>
                <c:pt idx="0">
                  <c:v>Diversité fonctionnelle</c:v>
                </c:pt>
                <c:pt idx="1">
                  <c:v>Bouclage de flux de matières et d'énergie par une recherche d'autonomie</c:v>
                </c:pt>
                <c:pt idx="2">
                  <c:v>Sobriété dans l'utilisation des ressources</c:v>
                </c:pt>
                <c:pt idx="3">
                  <c:v>Assurer des conditions favorables à la production à moyen et long terme</c:v>
                </c:pt>
                <c:pt idx="4">
                  <c:v>Réduire les impacts sur la santé et les écosytèmes</c:v>
                </c:pt>
                <c:pt idx="5">
                  <c:v>Alimentation</c:v>
                </c:pt>
                <c:pt idx="6">
                  <c:v>Développement local et économie circulaire</c:v>
                </c:pt>
                <c:pt idx="7">
                  <c:v>Emploi et qualité au travail</c:v>
                </c:pt>
                <c:pt idx="8">
                  <c:v>Ethique et développement humain</c:v>
                </c:pt>
                <c:pt idx="9">
                  <c:v>Viabilité économique et financière</c:v>
                </c:pt>
                <c:pt idx="10">
                  <c:v>Indépendance</c:v>
                </c:pt>
                <c:pt idx="11">
                  <c:v>Transmissibilité</c:v>
                </c:pt>
                <c:pt idx="12">
                  <c:v>Efficience globale</c:v>
                </c:pt>
              </c:strCache>
            </c:strRef>
          </c:cat>
          <c:val>
            <c:numRef>
              <c:f>'Bilan durabilité'!$F$115:$F$127</c:f>
              <c:numCache>
                <c:formatCode>General</c:formatCode>
                <c:ptCount val="13"/>
                <c:pt idx="0">
                  <c:v>16</c:v>
                </c:pt>
                <c:pt idx="1">
                  <c:v>12</c:v>
                </c:pt>
                <c:pt idx="2">
                  <c:v>20</c:v>
                </c:pt>
                <c:pt idx="3">
                  <c:v>16</c:v>
                </c:pt>
                <c:pt idx="4">
                  <c:v>17</c:v>
                </c:pt>
                <c:pt idx="5">
                  <c:v>17</c:v>
                </c:pt>
                <c:pt idx="6">
                  <c:v>23</c:v>
                </c:pt>
                <c:pt idx="7">
                  <c:v>12</c:v>
                </c:pt>
                <c:pt idx="8">
                  <c:v>22</c:v>
                </c:pt>
                <c:pt idx="9">
                  <c:v>15</c:v>
                </c:pt>
                <c:pt idx="10">
                  <c:v>8</c:v>
                </c:pt>
                <c:pt idx="11">
                  <c:v>10</c:v>
                </c:pt>
                <c:pt idx="12">
                  <c:v>8</c:v>
                </c:pt>
              </c:numCache>
            </c:numRef>
          </c:val>
        </c:ser>
        <c:ser>
          <c:idx val="1"/>
          <c:order val="1"/>
          <c:tx>
            <c:strRef>
              <c:f>"Note max"</c:f>
              <c:strCache>
                <c:ptCount val="1"/>
                <c:pt idx="0">
                  <c:v>Note max</c:v>
                </c:pt>
              </c:strCache>
            </c:strRef>
          </c:tx>
          <c:spPr>
            <a:solidFill>
              <a:srgbClr val="4f81bd"/>
            </a:solidFill>
            <a:ln>
              <a:noFill/>
            </a:ln>
          </c:spPr>
          <c:invertIfNegative val="0"/>
          <c:dPt>
            <c:idx val="0"/>
            <c:invertIfNegative val="0"/>
            <c:spPr>
              <a:solidFill>
                <a:srgbClr val="d7e4bd"/>
              </a:solidFill>
              <a:ln>
                <a:noFill/>
              </a:ln>
            </c:spPr>
          </c:dPt>
          <c:dPt>
            <c:idx val="1"/>
            <c:invertIfNegative val="0"/>
            <c:spPr>
              <a:solidFill>
                <a:srgbClr val="d7e4bd"/>
              </a:solidFill>
              <a:ln>
                <a:noFill/>
              </a:ln>
            </c:spPr>
          </c:dPt>
          <c:dPt>
            <c:idx val="2"/>
            <c:invertIfNegative val="0"/>
            <c:spPr>
              <a:solidFill>
                <a:srgbClr val="d7e4bd"/>
              </a:solidFill>
              <a:ln>
                <a:noFill/>
              </a:ln>
            </c:spPr>
          </c:dPt>
          <c:dPt>
            <c:idx val="3"/>
            <c:invertIfNegative val="0"/>
            <c:spPr>
              <a:solidFill>
                <a:srgbClr val="d7e4bd"/>
              </a:solidFill>
              <a:ln>
                <a:noFill/>
              </a:ln>
            </c:spPr>
          </c:dPt>
          <c:dPt>
            <c:idx val="4"/>
            <c:invertIfNegative val="0"/>
            <c:spPr>
              <a:solidFill>
                <a:srgbClr val="d7e4bd"/>
              </a:solidFill>
              <a:ln>
                <a:noFill/>
              </a:ln>
            </c:spPr>
          </c:dPt>
          <c:dPt>
            <c:idx val="5"/>
            <c:invertIfNegative val="0"/>
            <c:spPr>
              <a:solidFill>
                <a:srgbClr val="b9cde5"/>
              </a:solidFill>
              <a:ln>
                <a:noFill/>
              </a:ln>
            </c:spPr>
          </c:dPt>
          <c:dPt>
            <c:idx val="6"/>
            <c:invertIfNegative val="0"/>
            <c:spPr>
              <a:solidFill>
                <a:srgbClr val="b9cde5"/>
              </a:solidFill>
              <a:ln>
                <a:noFill/>
              </a:ln>
            </c:spPr>
          </c:dPt>
          <c:dPt>
            <c:idx val="7"/>
            <c:invertIfNegative val="0"/>
            <c:spPr>
              <a:solidFill>
                <a:srgbClr val="b9cde5"/>
              </a:solidFill>
              <a:ln>
                <a:noFill/>
              </a:ln>
            </c:spPr>
          </c:dPt>
          <c:dPt>
            <c:idx val="8"/>
            <c:invertIfNegative val="0"/>
            <c:spPr>
              <a:solidFill>
                <a:srgbClr val="b9cde5"/>
              </a:solidFill>
              <a:ln>
                <a:noFill/>
              </a:ln>
            </c:spPr>
          </c:dPt>
          <c:dPt>
            <c:idx val="9"/>
            <c:invertIfNegative val="0"/>
            <c:spPr>
              <a:solidFill>
                <a:srgbClr val="fcd5b5"/>
              </a:solidFill>
              <a:ln>
                <a:noFill/>
              </a:ln>
            </c:spPr>
          </c:dPt>
          <c:dPt>
            <c:idx val="10"/>
            <c:invertIfNegative val="0"/>
            <c:spPr>
              <a:solidFill>
                <a:srgbClr val="fcd5b5"/>
              </a:solidFill>
              <a:ln>
                <a:noFill/>
              </a:ln>
            </c:spPr>
          </c:dPt>
          <c:dPt>
            <c:idx val="11"/>
            <c:invertIfNegative val="0"/>
            <c:spPr>
              <a:solidFill>
                <a:srgbClr val="fcd5b5"/>
              </a:solidFill>
              <a:ln>
                <a:noFill/>
              </a:ln>
            </c:spPr>
          </c:dPt>
          <c:dPt>
            <c:idx val="12"/>
            <c:invertIfNegative val="0"/>
            <c:spPr>
              <a:solidFill>
                <a:srgbClr val="fcd5b5"/>
              </a:solidFill>
              <a:ln>
                <a:noFill/>
              </a:ln>
            </c:spPr>
          </c:dPt>
          <c:dLbls>
            <c:numFmt formatCode="General" sourceLinked="1"/>
            <c:dLbl>
              <c:idx val="0"/>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1"/>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2"/>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3"/>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4"/>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5"/>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6"/>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7"/>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8"/>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9"/>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10"/>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11"/>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dLbl>
              <c:idx val="12"/>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dLbl>
            <c:txPr>
              <a:bodyPr/>
              <a:lstStyle/>
              <a:p>
                <a:pPr>
                  <a:defRPr b="0" sz="1000" spc="-1" strike="noStrike">
                    <a:solidFill>
                      <a:srgbClr val="000000"/>
                    </a:solidFill>
                    <a:latin typeface="Calibri"/>
                    <a:ea typeface="Calibri"/>
                  </a:defRPr>
                </a:pPr>
              </a:p>
            </c:txPr>
            <c:dLblPos val="ctr"/>
            <c:showLegendKey val="0"/>
            <c:showVal val="0"/>
            <c:showCatName val="0"/>
            <c:showSerName val="0"/>
            <c:showPercent val="0"/>
            <c:separator>; </c:separator>
            <c:showLeaderLines val="0"/>
          </c:dLbls>
          <c:cat>
            <c:strRef>
              <c:f>'Bilan durabilité'!$D$115:$D$127</c:f>
              <c:strCache>
                <c:ptCount val="13"/>
                <c:pt idx="0">
                  <c:v>Diversité fonctionnelle</c:v>
                </c:pt>
                <c:pt idx="1">
                  <c:v>Bouclage de flux de matières et d'énergie par une recherche d'autonomie</c:v>
                </c:pt>
                <c:pt idx="2">
                  <c:v>Sobriété dans l'utilisation des ressources</c:v>
                </c:pt>
                <c:pt idx="3">
                  <c:v>Assurer des conditions favorables à la production à moyen et long terme</c:v>
                </c:pt>
                <c:pt idx="4">
                  <c:v>Réduire les impacts sur la santé et les écosytèmes</c:v>
                </c:pt>
                <c:pt idx="5">
                  <c:v>Alimentation</c:v>
                </c:pt>
                <c:pt idx="6">
                  <c:v>Développement local et économie circulaire</c:v>
                </c:pt>
                <c:pt idx="7">
                  <c:v>Emploi et qualité au travail</c:v>
                </c:pt>
                <c:pt idx="8">
                  <c:v>Ethique et développement humain</c:v>
                </c:pt>
                <c:pt idx="9">
                  <c:v>Viabilité économique et financière</c:v>
                </c:pt>
                <c:pt idx="10">
                  <c:v>Indépendance</c:v>
                </c:pt>
                <c:pt idx="11">
                  <c:v>Transmissibilité</c:v>
                </c:pt>
                <c:pt idx="12">
                  <c:v>Efficience globale</c:v>
                </c:pt>
              </c:strCache>
            </c:strRef>
          </c:cat>
          <c:val>
            <c:numRef>
              <c:f>'Bilan durabilité'!$K$115:$K$127</c:f>
              <c:numCache>
                <c:formatCode>General</c:formatCode>
                <c:ptCount val="13"/>
                <c:pt idx="0">
                  <c:v>4</c:v>
                </c:pt>
                <c:pt idx="1">
                  <c:v>8</c:v>
                </c:pt>
                <c:pt idx="2">
                  <c:v>0</c:v>
                </c:pt>
                <c:pt idx="3">
                  <c:v>4</c:v>
                </c:pt>
                <c:pt idx="4">
                  <c:v>3</c:v>
                </c:pt>
                <c:pt idx="5">
                  <c:v>8</c:v>
                </c:pt>
                <c:pt idx="6">
                  <c:v>2</c:v>
                </c:pt>
                <c:pt idx="7">
                  <c:v>13</c:v>
                </c:pt>
                <c:pt idx="8">
                  <c:v>3</c:v>
                </c:pt>
                <c:pt idx="9">
                  <c:v>20</c:v>
                </c:pt>
                <c:pt idx="10">
                  <c:v>17</c:v>
                </c:pt>
                <c:pt idx="11">
                  <c:v>10</c:v>
                </c:pt>
                <c:pt idx="12">
                  <c:v>12</c:v>
                </c:pt>
              </c:numCache>
            </c:numRef>
          </c:val>
        </c:ser>
        <c:gapWidth val="150"/>
        <c:overlap val="100"/>
        <c:axId val="64774347"/>
        <c:axId val="46798452"/>
      </c:barChart>
      <c:catAx>
        <c:axId val="64774347"/>
        <c:scaling>
          <c:orientation val="minMax"/>
        </c:scaling>
        <c:delete val="0"/>
        <c:axPos val="b"/>
        <c:numFmt formatCode="General" sourceLinked="1"/>
        <c:majorTickMark val="out"/>
        <c:minorTickMark val="none"/>
        <c:tickLblPos val="nextTo"/>
        <c:spPr>
          <a:ln w="9360">
            <a:solidFill>
              <a:srgbClr val="878787"/>
            </a:solidFill>
            <a:round/>
          </a:ln>
        </c:spPr>
        <c:txPr>
          <a:bodyPr rot="-5400000"/>
          <a:lstStyle/>
          <a:p>
            <a:pPr>
              <a:defRPr b="0" sz="1100" spc="-1" strike="noStrike">
                <a:solidFill>
                  <a:srgbClr val="000000"/>
                </a:solidFill>
                <a:latin typeface="Calibri"/>
                <a:ea typeface="Calibri"/>
              </a:defRPr>
            </a:pPr>
          </a:p>
        </c:txPr>
        <c:crossAx val="46798452"/>
        <c:crosses val="autoZero"/>
        <c:auto val="1"/>
        <c:lblAlgn val="ctr"/>
        <c:lblOffset val="100"/>
      </c:catAx>
      <c:valAx>
        <c:axId val="46798452"/>
        <c:scaling>
          <c:orientation val="minMax"/>
          <c:max val="35"/>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64774347"/>
        <c:crosses val="autoZero"/>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
</Relationships>
</file>

<file path=xl/drawings/_rels/drawing4.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8.png"/><Relationship Id="rId5" Type="http://schemas.openxmlformats.org/officeDocument/2006/relationships/image" Target="../media/image9.png"/><Relationship Id="rId6" Type="http://schemas.openxmlformats.org/officeDocument/2006/relationships/image" Target="../media/image10.png"/><Relationship Id="rId7" Type="http://schemas.openxmlformats.org/officeDocument/2006/relationships/image" Target="../media/image11.png"/><Relationship Id="rId8" Type="http://schemas.openxmlformats.org/officeDocument/2006/relationships/image" Target="../media/image12.wmf"/><Relationship Id="rId9" Type="http://schemas.openxmlformats.org/officeDocument/2006/relationships/image" Target="../media/image13.wmf"/>
</Relationships>
</file>

<file path=xl/drawings/_rels/drawing5.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1800</xdr:colOff>
      <xdr:row>22</xdr:row>
      <xdr:rowOff>114120</xdr:rowOff>
    </xdr:from>
    <xdr:to>
      <xdr:col>15</xdr:col>
      <xdr:colOff>752760</xdr:colOff>
      <xdr:row>34</xdr:row>
      <xdr:rowOff>85320</xdr:rowOff>
    </xdr:to>
    <xdr:sp>
      <xdr:nvSpPr>
        <xdr:cNvPr id="0" name="CustomShape 1"/>
        <xdr:cNvSpPr/>
      </xdr:nvSpPr>
      <xdr:spPr>
        <a:xfrm>
          <a:off x="754560" y="3746160"/>
          <a:ext cx="11294640" cy="1952280"/>
        </a:xfrm>
        <a:prstGeom prst="rect">
          <a:avLst/>
        </a:prstGeom>
        <a:solidFill>
          <a:schemeClr val="bg1">
            <a:lumMod val="95000"/>
          </a:schemeClr>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1" lang="fr-FR" sz="1100" spc="-1" strike="noStrike">
              <a:solidFill>
                <a:srgbClr val="000000"/>
              </a:solidFill>
              <a:latin typeface="Calibri"/>
            </a:rPr>
            <a:t>Ce calculateur IDEA version 4  a bénéficié des soutiens financiers des différents partenaires suivants .</a:t>
          </a:r>
          <a:endParaRPr b="0" lang="fr-FR" sz="1100" spc="-1" strike="noStrike">
            <a:latin typeface="Times New Roman"/>
          </a:endParaRPr>
        </a:p>
      </xdr:txBody>
    </xdr:sp>
    <xdr:clientData/>
  </xdr:twoCellAnchor>
  <xdr:twoCellAnchor editAs="twoCell">
    <xdr:from>
      <xdr:col>1</xdr:col>
      <xdr:colOff>36720</xdr:colOff>
      <xdr:row>0</xdr:row>
      <xdr:rowOff>74160</xdr:rowOff>
    </xdr:from>
    <xdr:to>
      <xdr:col>16</xdr:col>
      <xdr:colOff>43560</xdr:colOff>
      <xdr:row>20</xdr:row>
      <xdr:rowOff>28080</xdr:rowOff>
    </xdr:to>
    <xdr:sp>
      <xdr:nvSpPr>
        <xdr:cNvPr id="1" name="CustomShape 1"/>
        <xdr:cNvSpPr/>
      </xdr:nvSpPr>
      <xdr:spPr>
        <a:xfrm>
          <a:off x="789480" y="74160"/>
          <a:ext cx="11303640" cy="3255840"/>
        </a:xfrm>
        <a:prstGeom prst="rect">
          <a:avLst/>
        </a:prstGeom>
        <a:solidFill>
          <a:schemeClr val="bg1">
            <a:lumMod val="85000"/>
          </a:schemeClr>
        </a:solidFill>
        <a:ln w="9360">
          <a:solidFill>
            <a:srgbClr val="bcbcbc"/>
          </a:solidFill>
          <a:round/>
        </a:ln>
      </xdr:spPr>
      <xdr:style>
        <a:lnRef idx="0"/>
        <a:fillRef idx="0"/>
        <a:effectRef idx="0"/>
        <a:fontRef idx="minor"/>
      </xdr:style>
      <xdr:txBody>
        <a:bodyPr lIns="90000" rIns="90000" tIns="45000" bIns="45000" anchor="ctr">
          <a:noAutofit/>
        </a:bodyPr>
        <a:p>
          <a:pPr>
            <a:lnSpc>
              <a:spcPts val="1400"/>
            </a:lnSpc>
          </a:pPr>
          <a:r>
            <a:rPr b="1" lang="fr-FR" sz="1400" spc="-1" strike="noStrike">
              <a:solidFill>
                <a:srgbClr val="000000"/>
              </a:solidFill>
              <a:latin typeface="Times New Roman"/>
            </a:rPr>
            <a:t>Conditions d'usage.</a:t>
          </a:r>
          <a:endParaRPr b="0" lang="fr-FR" sz="1400" spc="-1" strike="noStrike">
            <a:latin typeface="Times New Roman"/>
          </a:endParaRPr>
        </a:p>
        <a:p>
          <a:pPr>
            <a:lnSpc>
              <a:spcPts val="1400"/>
            </a:lnSpc>
          </a:pPr>
          <a:endParaRPr b="0" lang="fr-FR" sz="1400" spc="-1" strike="noStrike">
            <a:latin typeface="Times New Roman"/>
          </a:endParaRPr>
        </a:p>
        <a:p>
          <a:pPr>
            <a:lnSpc>
              <a:spcPct val="100000"/>
            </a:lnSpc>
          </a:pPr>
          <a:r>
            <a:rPr b="0" lang="fr-FR" sz="1100" spc="-1" strike="noStrike">
              <a:solidFill>
                <a:srgbClr val="000000"/>
              </a:solidFill>
              <a:latin typeface="Times New Roman"/>
            </a:rPr>
            <a:t>Ce calculateur a été réalisé par le centre de recherche IRSTEA -  unité ETBX Bordeaux dans le cadre des activités conduites sur la méthode IDEA version 4 au sein du comité du comité scientifique.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0" lang="fr-FR" sz="1100" spc="-1" strike="noStrike">
              <a:solidFill>
                <a:srgbClr val="000000"/>
              </a:solidFill>
              <a:latin typeface="Times New Roman"/>
            </a:rPr>
            <a:t>Son développement est soutenu financièrement par Irstea, le LABEX COTE au titre des investissements d'avenir et par le Programme agir pour la ressource en eau de SUEZ France.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0" lang="fr-FR" sz="1100" spc="-1" strike="noStrike">
              <a:solidFill>
                <a:srgbClr val="000000"/>
              </a:solidFill>
              <a:latin typeface="Times New Roman"/>
            </a:rPr>
            <a:t>Il est mis à disposition des structures partenaires du Comité scientifique de la méthode IDEA et des structures partenaires du projet CASDAR ACTION dans les conditions décrites par les conditions générales d’utilisation (CGU).</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0" lang="fr-FR" sz="1100" spc="-1" strike="noStrike">
              <a:solidFill>
                <a:srgbClr val="000000"/>
              </a:solidFill>
              <a:latin typeface="Times New Roman"/>
            </a:rPr>
            <a:t>Ce calculateur relève des droits d'auteurs et est en cours de dépôt à l’agence pour la Protection des Programmes. Il est confidentiel et ne doit pas être diffusé en dehors des membres du CS de la méthode IDEA et des partenaires du CASDAR ACTION sans la signature des CGU.</a:t>
          </a:r>
          <a:endParaRPr b="0" lang="fr-FR" sz="1100" spc="-1" strike="noStrike">
            <a:latin typeface="Times New Roman"/>
          </a:endParaRPr>
        </a:p>
        <a:p>
          <a:pPr>
            <a:lnSpc>
              <a:spcPts val="1199"/>
            </a:lnSpc>
          </a:pPr>
          <a:endParaRPr b="0" lang="fr-FR" sz="1100" spc="-1" strike="noStrike">
            <a:latin typeface="Times New Roman"/>
          </a:endParaRPr>
        </a:p>
        <a:p>
          <a:pPr>
            <a:lnSpc>
              <a:spcPts val="1199"/>
            </a:lnSpc>
          </a:pPr>
          <a:r>
            <a:rPr b="0" lang="fr-FR" sz="1100" spc="-1" strike="noStrike">
              <a:solidFill>
                <a:srgbClr val="000000"/>
              </a:solidFill>
              <a:latin typeface="Times New Roman"/>
            </a:rPr>
            <a:t>Pour toute question relative à ce calculateur ou à la méthode IDEA, vous pouvez contacter :</a:t>
          </a:r>
          <a:endParaRPr b="0" lang="fr-FR" sz="1100" spc="-1" strike="noStrike">
            <a:latin typeface="Times New Roman"/>
          </a:endParaRPr>
        </a:p>
        <a:p>
          <a:pPr>
            <a:lnSpc>
              <a:spcPts val="1100"/>
            </a:lnSpc>
          </a:pPr>
          <a:endParaRPr b="0" lang="fr-FR" sz="1100" spc="-1" strike="noStrike">
            <a:latin typeface="Times New Roman"/>
          </a:endParaRPr>
        </a:p>
        <a:p>
          <a:pPr>
            <a:lnSpc>
              <a:spcPts val="1199"/>
            </a:lnSpc>
          </a:pPr>
          <a:r>
            <a:rPr b="0" lang="fr-FR" sz="1100" spc="-1" strike="noStrike">
              <a:solidFill>
                <a:srgbClr val="000000"/>
              </a:solidFill>
              <a:latin typeface="Times New Roman"/>
            </a:rPr>
            <a:t>Frédéric Zahm,</a:t>
          </a:r>
          <a:r>
            <a:rPr b="0" lang="fr-FR" sz="1100" spc="-1" strike="noStrike">
              <a:solidFill>
                <a:srgbClr val="000000"/>
              </a:solidFill>
              <a:latin typeface="Times New Roman"/>
            </a:rPr>
            <a:t>	</a:t>
          </a:r>
          <a:r>
            <a:rPr b="0" lang="fr-FR" sz="1100" spc="-1" strike="noStrike">
              <a:solidFill>
                <a:srgbClr val="000000"/>
              </a:solidFill>
              <a:latin typeface="Times New Roman"/>
            </a:rPr>
            <a:t>Irstea Bordeaux</a:t>
          </a:r>
          <a:r>
            <a:rPr b="0" lang="fr-FR" sz="1100" spc="-1" strike="noStrike">
              <a:solidFill>
                <a:srgbClr val="000000"/>
              </a:solidFill>
              <a:latin typeface="Times New Roman"/>
            </a:rPr>
            <a:t>	</a:t>
          </a:r>
          <a:r>
            <a:rPr b="0" lang="fr-FR" sz="1100" spc="-1" strike="noStrike">
              <a:solidFill>
                <a:srgbClr val="000000"/>
              </a:solidFill>
              <a:latin typeface="Times New Roman"/>
            </a:rPr>
            <a:t>:</a:t>
          </a:r>
          <a:r>
            <a:rPr b="0" lang="fr-FR" sz="1100" spc="-1" strike="noStrike">
              <a:solidFill>
                <a:srgbClr val="000000"/>
              </a:solidFill>
              <a:latin typeface="Times New Roman"/>
            </a:rPr>
            <a:t>	</a:t>
          </a:r>
          <a:r>
            <a:rPr b="0" lang="fr-FR" sz="1100" spc="-1" strike="noStrike">
              <a:solidFill>
                <a:srgbClr val="000000"/>
              </a:solidFill>
              <a:latin typeface="Times New Roman"/>
            </a:rPr>
            <a:t>frederic.zahm@irstea.fr, </a:t>
          </a:r>
          <a:r>
            <a:rPr b="0" lang="fr-FR" sz="1100" spc="-1" strike="noStrike">
              <a:solidFill>
                <a:srgbClr val="000000"/>
              </a:solidFill>
              <a:latin typeface="Times New Roman"/>
            </a:rPr>
            <a:t>	</a:t>
          </a:r>
          <a:r>
            <a:rPr b="0" lang="fr-FR" sz="1100" spc="-1" strike="noStrike">
              <a:solidFill>
                <a:srgbClr val="000000"/>
              </a:solidFill>
              <a:latin typeface="Times New Roman"/>
            </a:rPr>
            <a:t>tel : 05.57.89.08.40</a:t>
          </a:r>
          <a:endParaRPr b="0" lang="fr-FR" sz="1100" spc="-1" strike="noStrike">
            <a:latin typeface="Times New Roman"/>
          </a:endParaRPr>
        </a:p>
        <a:p>
          <a:pPr>
            <a:lnSpc>
              <a:spcPts val="1199"/>
            </a:lnSpc>
          </a:pPr>
          <a:r>
            <a:rPr b="0" lang="fr-FR" sz="1100" spc="-1" strike="noStrike">
              <a:solidFill>
                <a:srgbClr val="000000"/>
              </a:solidFill>
              <a:latin typeface="Times New Roman"/>
            </a:rPr>
            <a:t>Sydney Girard, Irstea Bordeaux :</a:t>
          </a:r>
          <a:r>
            <a:rPr b="0" lang="fr-FR" sz="1100" spc="-1" strike="noStrike">
              <a:solidFill>
                <a:srgbClr val="000000"/>
              </a:solidFill>
              <a:latin typeface="Times New Roman"/>
            </a:rPr>
            <a:t>	</a:t>
          </a:r>
          <a:r>
            <a:rPr b="0" lang="fr-FR" sz="1100" spc="-1" strike="noStrike">
              <a:solidFill>
                <a:srgbClr val="000000"/>
              </a:solidFill>
              <a:latin typeface="Times New Roman"/>
            </a:rPr>
            <a:t>sydney.girard@irstea.fr, </a:t>
          </a:r>
          <a:r>
            <a:rPr b="0" lang="fr-FR" sz="1100" spc="-1" strike="noStrike">
              <a:solidFill>
                <a:srgbClr val="000000"/>
              </a:solidFill>
              <a:latin typeface="Times New Roman"/>
            </a:rPr>
            <a:t>	</a:t>
          </a:r>
          <a:r>
            <a:rPr b="0" lang="fr-FR" sz="1100" spc="-1" strike="noStrike">
              <a:solidFill>
                <a:srgbClr val="000000"/>
              </a:solidFill>
              <a:latin typeface="Times New Roman"/>
            </a:rPr>
            <a:t>tel : 05.57.89.27.21</a:t>
          </a:r>
          <a:endParaRPr b="0" lang="fr-FR" sz="1100" spc="-1" strike="noStrike">
            <a:latin typeface="Times New Roman"/>
          </a:endParaRPr>
        </a:p>
      </xdr:txBody>
    </xdr:sp>
    <xdr:clientData/>
  </xdr:twoCellAnchor>
  <xdr:twoCellAnchor editAs="oneCell">
    <xdr:from>
      <xdr:col>7</xdr:col>
      <xdr:colOff>431640</xdr:colOff>
      <xdr:row>24</xdr:row>
      <xdr:rowOff>101520</xdr:rowOff>
    </xdr:from>
    <xdr:to>
      <xdr:col>9</xdr:col>
      <xdr:colOff>240840</xdr:colOff>
      <xdr:row>34</xdr:row>
      <xdr:rowOff>63000</xdr:rowOff>
    </xdr:to>
    <xdr:pic>
      <xdr:nvPicPr>
        <xdr:cNvPr id="2" name="Image 2" descr=""/>
        <xdr:cNvPicPr/>
      </xdr:nvPicPr>
      <xdr:blipFill>
        <a:blip r:embed="rId1"/>
        <a:stretch/>
      </xdr:blipFill>
      <xdr:spPr>
        <a:xfrm>
          <a:off x="5703120" y="4063680"/>
          <a:ext cx="1315440" cy="1612440"/>
        </a:xfrm>
        <a:prstGeom prst="rect">
          <a:avLst/>
        </a:prstGeom>
        <a:ln>
          <a:noFill/>
        </a:ln>
      </xdr:spPr>
    </xdr:pic>
    <xdr:clientData/>
  </xdr:twoCellAnchor>
  <xdr:twoCellAnchor editAs="oneCell">
    <xdr:from>
      <xdr:col>1</xdr:col>
      <xdr:colOff>216000</xdr:colOff>
      <xdr:row>24</xdr:row>
      <xdr:rowOff>76320</xdr:rowOff>
    </xdr:from>
    <xdr:to>
      <xdr:col>3</xdr:col>
      <xdr:colOff>215640</xdr:colOff>
      <xdr:row>34</xdr:row>
      <xdr:rowOff>25200</xdr:rowOff>
    </xdr:to>
    <xdr:pic>
      <xdr:nvPicPr>
        <xdr:cNvPr id="3" name="Image 3" descr=""/>
        <xdr:cNvPicPr/>
      </xdr:nvPicPr>
      <xdr:blipFill>
        <a:blip r:embed="rId2"/>
        <a:stretch/>
      </xdr:blipFill>
      <xdr:spPr>
        <a:xfrm>
          <a:off x="968760" y="4038480"/>
          <a:ext cx="1505880" cy="1599840"/>
        </a:xfrm>
        <a:prstGeom prst="rect">
          <a:avLst/>
        </a:prstGeom>
        <a:ln>
          <a:noFill/>
        </a:ln>
      </xdr:spPr>
    </xdr:pic>
    <xdr:clientData/>
  </xdr:twoCellAnchor>
  <xdr:twoCellAnchor editAs="oneCell">
    <xdr:from>
      <xdr:col>10</xdr:col>
      <xdr:colOff>330120</xdr:colOff>
      <xdr:row>26</xdr:row>
      <xdr:rowOff>127080</xdr:rowOff>
    </xdr:from>
    <xdr:to>
      <xdr:col>16</xdr:col>
      <xdr:colOff>8280</xdr:colOff>
      <xdr:row>34</xdr:row>
      <xdr:rowOff>25200</xdr:rowOff>
    </xdr:to>
    <xdr:pic>
      <xdr:nvPicPr>
        <xdr:cNvPr id="4" name="Image 4" descr=""/>
        <xdr:cNvPicPr/>
      </xdr:nvPicPr>
      <xdr:blipFill>
        <a:blip r:embed="rId3"/>
        <a:stretch/>
      </xdr:blipFill>
      <xdr:spPr>
        <a:xfrm>
          <a:off x="7860960" y="4419360"/>
          <a:ext cx="4196880" cy="1218960"/>
        </a:xfrm>
        <a:prstGeom prst="rect">
          <a:avLst/>
        </a:prstGeom>
        <a:ln>
          <a:noFill/>
        </a:ln>
      </xdr:spPr>
    </xdr:pic>
    <xdr:clientData/>
  </xdr:twoCellAnchor>
  <xdr:twoCellAnchor editAs="oneCell">
    <xdr:from>
      <xdr:col>5</xdr:col>
      <xdr:colOff>279360</xdr:colOff>
      <xdr:row>24</xdr:row>
      <xdr:rowOff>101520</xdr:rowOff>
    </xdr:from>
    <xdr:to>
      <xdr:col>7</xdr:col>
      <xdr:colOff>444240</xdr:colOff>
      <xdr:row>34</xdr:row>
      <xdr:rowOff>63000</xdr:rowOff>
    </xdr:to>
    <xdr:pic>
      <xdr:nvPicPr>
        <xdr:cNvPr id="5" name="Image 5" descr=""/>
        <xdr:cNvPicPr/>
      </xdr:nvPicPr>
      <xdr:blipFill>
        <a:blip r:embed="rId4"/>
        <a:stretch/>
      </xdr:blipFill>
      <xdr:spPr>
        <a:xfrm>
          <a:off x="4044600" y="4063680"/>
          <a:ext cx="1671120" cy="16124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19080</xdr:colOff>
      <xdr:row>2</xdr:row>
      <xdr:rowOff>38160</xdr:rowOff>
    </xdr:from>
    <xdr:to>
      <xdr:col>8</xdr:col>
      <xdr:colOff>121680</xdr:colOff>
      <xdr:row>8</xdr:row>
      <xdr:rowOff>163440</xdr:rowOff>
    </xdr:to>
    <xdr:sp>
      <xdr:nvSpPr>
        <xdr:cNvPr id="6" name="CustomShape 1"/>
        <xdr:cNvSpPr/>
      </xdr:nvSpPr>
      <xdr:spPr>
        <a:xfrm>
          <a:off x="1100880" y="495360"/>
          <a:ext cx="7710480" cy="126828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ctr">
          <a:noAutofit/>
        </a:bodyPr>
        <a:p>
          <a:pPr>
            <a:lnSpc>
              <a:spcPct val="100000"/>
            </a:lnSpc>
          </a:pPr>
          <a:r>
            <a:rPr b="0" lang="fr-FR" sz="1100" spc="-1" strike="noStrike">
              <a:solidFill>
                <a:srgbClr val="000000"/>
              </a:solidFill>
              <a:latin typeface="Times New Roman"/>
            </a:rPr>
            <a:t>Ce calculcateur prend en compte les informations de calcul des indicateurs de la version 4 IDEA au 05 décembre 2019.</a:t>
          </a:r>
          <a:endParaRPr b="0" lang="fr-FR" sz="1100" spc="-1" strike="noStrike">
            <a:latin typeface="Times New Roman"/>
          </a:endParaRPr>
        </a:p>
        <a:p>
          <a:pPr>
            <a:lnSpc>
              <a:spcPct val="100000"/>
            </a:lnSpc>
          </a:pPr>
          <a:r>
            <a:rPr b="0" lang="fr-FR" sz="1100" spc="-1" strike="noStrike">
              <a:solidFill>
                <a:srgbClr val="000000"/>
              </a:solidFill>
              <a:latin typeface="Times New Roman"/>
            </a:rPr>
            <a:t>Cette version du calculateur reste </a:t>
          </a:r>
          <a:r>
            <a:rPr b="0" lang="fr-FR" sz="1100" spc="-1" strike="noStrike">
              <a:solidFill>
                <a:srgbClr val="ff0000"/>
              </a:solidFill>
              <a:latin typeface="Times New Roman"/>
            </a:rPr>
            <a:t>expérimentale </a:t>
          </a:r>
          <a:r>
            <a:rPr b="0" lang="fr-FR" sz="1100" spc="-1" strike="noStrike">
              <a:solidFill>
                <a:srgbClr val="000000"/>
              </a:solidFill>
              <a:latin typeface="Times New Roman"/>
            </a:rPr>
            <a:t>et de nombreux onglets ne sont pas encore à jour.</a:t>
          </a:r>
          <a:endParaRPr b="0" lang="fr-FR" sz="1100" spc="-1" strike="noStrike">
            <a:latin typeface="Times New Roman"/>
          </a:endParaRPr>
        </a:p>
        <a:p>
          <a:pPr>
            <a:lnSpc>
              <a:spcPct val="100000"/>
            </a:lnSpc>
          </a:pPr>
          <a:r>
            <a:rPr b="0" lang="fr-FR" sz="1100" spc="-1" strike="noStrike">
              <a:solidFill>
                <a:srgbClr val="000000"/>
              </a:solidFill>
              <a:latin typeface="Times New Roman"/>
            </a:rPr>
            <a:t>Des modifications seront apportées au calculateur au fur et à mesure de l'évolution de la méthode.</a:t>
          </a:r>
          <a:endParaRPr b="0" lang="fr-FR" sz="1100" spc="-1" strike="noStrike">
            <a:latin typeface="Times New Roman"/>
          </a:endParaRPr>
        </a:p>
        <a:p>
          <a:pPr>
            <a:lnSpc>
              <a:spcPct val="100000"/>
            </a:lnSpc>
          </a:pPr>
          <a:r>
            <a:rPr b="0" lang="fr-FR" sz="1100" spc="-1" strike="noStrike">
              <a:solidFill>
                <a:srgbClr val="000000"/>
              </a:solidFill>
              <a:latin typeface="Times New Roman"/>
            </a:rPr>
            <a:t>Cette notice détaille le fonctionnement de ce calculateur, onglet par onglet.</a:t>
          </a:r>
          <a:endParaRPr b="0" lang="fr-FR" sz="1100" spc="-1" strike="noStrike">
            <a:latin typeface="Times New Roman"/>
          </a:endParaRPr>
        </a:p>
        <a:p>
          <a:pPr>
            <a:lnSpc>
              <a:spcPct val="100000"/>
            </a:lnSpc>
          </a:pPr>
          <a:r>
            <a:rPr b="0" lang="fr-FR" sz="1100" spc="-1" strike="noStrike">
              <a:solidFill>
                <a:srgbClr val="000000"/>
              </a:solidFill>
              <a:latin typeface="Times New Roman"/>
            </a:rPr>
            <a:t>Les données doivent seulement être saisies dans les onglets </a:t>
          </a:r>
          <a:r>
            <a:rPr b="0" lang="fr-FR" sz="1100" spc="-1" strike="noStrike">
              <a:solidFill>
                <a:srgbClr val="ff0000"/>
              </a:solidFill>
              <a:latin typeface="Times New Roman"/>
            </a:rPr>
            <a:t>"Saisie et Calculateur" </a:t>
          </a:r>
          <a:r>
            <a:rPr b="0" lang="fr-FR" sz="1100" spc="-1" strike="noStrike">
              <a:solidFill>
                <a:srgbClr val="000000"/>
              </a:solidFill>
              <a:latin typeface="Times New Roman"/>
            </a:rPr>
            <a:t>et </a:t>
          </a:r>
          <a:r>
            <a:rPr b="0" lang="fr-FR" sz="1100" spc="-1" strike="noStrike">
              <a:solidFill>
                <a:srgbClr val="ff0000"/>
              </a:solidFill>
              <a:latin typeface="Times New Roman"/>
            </a:rPr>
            <a:t>"Bilan apparent"</a:t>
          </a:r>
          <a:r>
            <a:rPr b="0" lang="fr-FR" sz="1100" spc="-1" strike="noStrike">
              <a:solidFill>
                <a:srgbClr val="000000"/>
              </a:solidFill>
              <a:latin typeface="Times New Roman"/>
            </a:rPr>
            <a:t>.</a:t>
          </a:r>
          <a:endParaRPr b="0" lang="fr-FR" sz="1100" spc="-1" strike="noStrike">
            <a:latin typeface="Times New Roman"/>
          </a:endParaRPr>
        </a:p>
        <a:p>
          <a:pPr>
            <a:lnSpc>
              <a:spcPct val="100000"/>
            </a:lnSpc>
          </a:pPr>
          <a:r>
            <a:rPr b="0" lang="fr-FR" sz="1100" spc="-1" strike="noStrike">
              <a:solidFill>
                <a:srgbClr val="000000"/>
              </a:solidFill>
              <a:latin typeface="Times New Roman"/>
            </a:rPr>
            <a:t>Les autres onglets sont autonomes et permettent de calculer et de présenter les résultats de la méthode IDEA 4.</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509400</xdr:colOff>
      <xdr:row>0</xdr:row>
      <xdr:rowOff>125640</xdr:rowOff>
    </xdr:from>
    <xdr:to>
      <xdr:col>10</xdr:col>
      <xdr:colOff>321840</xdr:colOff>
      <xdr:row>7</xdr:row>
      <xdr:rowOff>123480</xdr:rowOff>
    </xdr:to>
    <xdr:sp>
      <xdr:nvSpPr>
        <xdr:cNvPr id="7" name="CustomShape 1"/>
        <xdr:cNvSpPr/>
      </xdr:nvSpPr>
      <xdr:spPr>
        <a:xfrm>
          <a:off x="6835680" y="125640"/>
          <a:ext cx="3574800" cy="1197720"/>
        </a:xfrm>
        <a:prstGeom prst="rect">
          <a:avLst/>
        </a:prstGeom>
        <a:solidFill>
          <a:srgbClr val="ffff00"/>
        </a:solidFill>
        <a:ln w="9360">
          <a:solidFill>
            <a:srgbClr val="bcbcbc"/>
          </a:solidFill>
          <a:round/>
        </a:ln>
      </xdr:spPr>
      <xdr:style>
        <a:lnRef idx="0"/>
        <a:fillRef idx="0"/>
        <a:effectRef idx="0"/>
        <a:fontRef idx="minor"/>
      </xdr:style>
      <xdr:txBody>
        <a:bodyPr lIns="90000" rIns="90000" tIns="45000" bIns="45000">
          <a:noAutofit/>
        </a:bodyPr>
        <a:p>
          <a:pPr>
            <a:lnSpc>
              <a:spcPct val="100000"/>
            </a:lnSpc>
          </a:pPr>
          <a:r>
            <a:rPr b="1" lang="fr-FR" sz="1100" spc="-1" strike="noStrike">
              <a:solidFill>
                <a:srgbClr val="ff0000"/>
              </a:solidFill>
              <a:latin typeface="Calibri"/>
            </a:rPr>
            <a:t>A remplir : </a:t>
          </a:r>
          <a:endParaRPr b="0" lang="fr-FR" sz="1100" spc="-1" strike="noStrike">
            <a:latin typeface="Times New Roman"/>
          </a:endParaRPr>
        </a:p>
        <a:p>
          <a:pPr>
            <a:lnSpc>
              <a:spcPct val="100000"/>
            </a:lnSpc>
          </a:pPr>
          <a:r>
            <a:rPr b="1" lang="fr-FR" sz="1100" spc="-1" strike="noStrike">
              <a:solidFill>
                <a:srgbClr val="ff0000"/>
              </a:solidFill>
              <a:latin typeface="Calibri"/>
            </a:rPr>
            <a:t>E1 - Engrais minéraux achetés</a:t>
          </a:r>
          <a:endParaRPr b="0" lang="fr-FR" sz="1100" spc="-1" strike="noStrike">
            <a:latin typeface="Times New Roman"/>
          </a:endParaRPr>
        </a:p>
        <a:p>
          <a:pPr>
            <a:lnSpc>
              <a:spcPct val="100000"/>
            </a:lnSpc>
          </a:pPr>
          <a:r>
            <a:rPr b="1" lang="fr-FR" sz="1100" spc="-1" strike="noStrike">
              <a:solidFill>
                <a:srgbClr val="ff0000"/>
              </a:solidFill>
              <a:latin typeface="Calibri"/>
            </a:rPr>
            <a:t>S3 - Sortie par les fruits et légumes</a:t>
          </a:r>
          <a:endParaRPr b="0" lang="fr-FR" sz="1100" spc="-1" strike="noStrike">
            <a:latin typeface="Times New Roman"/>
          </a:endParaRPr>
        </a:p>
        <a:p>
          <a:pPr>
            <a:lnSpc>
              <a:spcPct val="100000"/>
            </a:lnSpc>
          </a:pPr>
          <a:r>
            <a:rPr b="1" lang="fr-FR" sz="1100" spc="-1" strike="noStrike">
              <a:solidFill>
                <a:srgbClr val="ff0000"/>
              </a:solidFill>
              <a:latin typeface="Calibri"/>
            </a:rPr>
            <a:t>S4 - Détail des ventes d'oeuf  par espèces</a:t>
          </a:r>
          <a:endParaRPr b="0" lang="fr-FR" sz="1100" spc="-1" strike="noStrike">
            <a:latin typeface="Times New Roman"/>
          </a:endParaRPr>
        </a:p>
        <a:p>
          <a:pPr>
            <a:lnSpc>
              <a:spcPct val="100000"/>
            </a:lnSpc>
          </a:pPr>
          <a:r>
            <a:rPr b="1" lang="fr-FR" sz="1100" spc="-1" strike="noStrike">
              <a:solidFill>
                <a:srgbClr val="ff0000"/>
              </a:solidFill>
              <a:latin typeface="Calibri"/>
            </a:rPr>
            <a:t>Les autres tableaux au cas par cas si vous avez remplis une case autre dans l'onglet de saisie</a:t>
          </a:r>
          <a:endParaRPr b="0" lang="fr-FR"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38160</xdr:colOff>
      <xdr:row>233</xdr:row>
      <xdr:rowOff>50760</xdr:rowOff>
    </xdr:from>
    <xdr:to>
      <xdr:col>5</xdr:col>
      <xdr:colOff>1485720</xdr:colOff>
      <xdr:row>280</xdr:row>
      <xdr:rowOff>151920</xdr:rowOff>
    </xdr:to>
    <xdr:pic>
      <xdr:nvPicPr>
        <xdr:cNvPr id="8" name="Image 2" descr=""/>
        <xdr:cNvPicPr/>
      </xdr:nvPicPr>
      <xdr:blipFill>
        <a:blip r:embed="rId1"/>
        <a:srcRect l="24584" t="10280" r="40254" b="4617"/>
        <a:stretch/>
      </xdr:blipFill>
      <xdr:spPr>
        <a:xfrm>
          <a:off x="38160" y="45230760"/>
          <a:ext cx="6526800" cy="8740440"/>
        </a:xfrm>
        <a:prstGeom prst="rect">
          <a:avLst/>
        </a:prstGeom>
        <a:ln>
          <a:noFill/>
        </a:ln>
      </xdr:spPr>
    </xdr:pic>
    <xdr:clientData/>
  </xdr:twoCellAnchor>
  <xdr:twoCellAnchor editAs="twoCell">
    <xdr:from>
      <xdr:col>9</xdr:col>
      <xdr:colOff>723960</xdr:colOff>
      <xdr:row>565</xdr:row>
      <xdr:rowOff>152280</xdr:rowOff>
    </xdr:from>
    <xdr:to>
      <xdr:col>14</xdr:col>
      <xdr:colOff>634680</xdr:colOff>
      <xdr:row>579</xdr:row>
      <xdr:rowOff>12240</xdr:rowOff>
    </xdr:to>
    <xdr:pic>
      <xdr:nvPicPr>
        <xdr:cNvPr id="9" name="Image 5" descr=""/>
        <xdr:cNvPicPr/>
      </xdr:nvPicPr>
      <xdr:blipFill>
        <a:blip r:embed="rId2"/>
        <a:srcRect l="13054" t="33004" r="33810" b="30992"/>
        <a:stretch/>
      </xdr:blipFill>
      <xdr:spPr>
        <a:xfrm>
          <a:off x="11306160" y="101866320"/>
          <a:ext cx="5096520" cy="2155680"/>
        </a:xfrm>
        <a:prstGeom prst="rect">
          <a:avLst/>
        </a:prstGeom>
        <a:ln>
          <a:noFill/>
        </a:ln>
      </xdr:spPr>
    </xdr:pic>
    <xdr:clientData/>
  </xdr:twoCellAnchor>
  <xdr:twoCellAnchor editAs="twoCell">
    <xdr:from>
      <xdr:col>7</xdr:col>
      <xdr:colOff>1181160</xdr:colOff>
      <xdr:row>699</xdr:row>
      <xdr:rowOff>76320</xdr:rowOff>
    </xdr:from>
    <xdr:to>
      <xdr:col>10</xdr:col>
      <xdr:colOff>1206360</xdr:colOff>
      <xdr:row>734</xdr:row>
      <xdr:rowOff>101520</xdr:rowOff>
    </xdr:to>
    <xdr:pic>
      <xdr:nvPicPr>
        <xdr:cNvPr id="10" name="Image 6" descr=""/>
        <xdr:cNvPicPr/>
      </xdr:nvPicPr>
      <xdr:blipFill>
        <a:blip r:embed="rId3"/>
        <a:srcRect l="16527" t="9446" r="49230" b="5208"/>
        <a:stretch/>
      </xdr:blipFill>
      <xdr:spPr>
        <a:xfrm>
          <a:off x="8882280" y="125069400"/>
          <a:ext cx="3717720" cy="5730840"/>
        </a:xfrm>
        <a:prstGeom prst="rect">
          <a:avLst/>
        </a:prstGeom>
        <a:ln>
          <a:noFill/>
        </a:ln>
      </xdr:spPr>
    </xdr:pic>
    <xdr:clientData/>
  </xdr:twoCellAnchor>
  <xdr:twoCellAnchor editAs="twoCell">
    <xdr:from>
      <xdr:col>5</xdr:col>
      <xdr:colOff>1359000</xdr:colOff>
      <xdr:row>5</xdr:row>
      <xdr:rowOff>101520</xdr:rowOff>
    </xdr:from>
    <xdr:to>
      <xdr:col>8</xdr:col>
      <xdr:colOff>304560</xdr:colOff>
      <xdr:row>17</xdr:row>
      <xdr:rowOff>75600</xdr:rowOff>
    </xdr:to>
    <xdr:pic>
      <xdr:nvPicPr>
        <xdr:cNvPr id="11" name="Image 4" descr=""/>
        <xdr:cNvPicPr/>
      </xdr:nvPicPr>
      <xdr:blipFill>
        <a:blip r:embed="rId4"/>
        <a:srcRect l="13750" t="55580" r="60688" b="15095"/>
        <a:stretch/>
      </xdr:blipFill>
      <xdr:spPr>
        <a:xfrm>
          <a:off x="6438240" y="1139400"/>
          <a:ext cx="2766960" cy="2031480"/>
        </a:xfrm>
        <a:prstGeom prst="rect">
          <a:avLst/>
        </a:prstGeom>
        <a:ln>
          <a:noFill/>
        </a:ln>
      </xdr:spPr>
    </xdr:pic>
    <xdr:clientData/>
  </xdr:twoCellAnchor>
  <xdr:twoCellAnchor editAs="twoCell">
    <xdr:from>
      <xdr:col>9</xdr:col>
      <xdr:colOff>127080</xdr:colOff>
      <xdr:row>5</xdr:row>
      <xdr:rowOff>38160</xdr:rowOff>
    </xdr:from>
    <xdr:to>
      <xdr:col>11</xdr:col>
      <xdr:colOff>406080</xdr:colOff>
      <xdr:row>18</xdr:row>
      <xdr:rowOff>126720</xdr:rowOff>
    </xdr:to>
    <xdr:pic>
      <xdr:nvPicPr>
        <xdr:cNvPr id="12" name="Image 7" descr=""/>
        <xdr:cNvPicPr/>
      </xdr:nvPicPr>
      <xdr:blipFill>
        <a:blip r:embed="rId5"/>
        <a:srcRect l="38483" t="56701" r="40827" b="13877"/>
        <a:stretch/>
      </xdr:blipFill>
      <xdr:spPr>
        <a:xfrm>
          <a:off x="10709280" y="1076040"/>
          <a:ext cx="2643120" cy="2317680"/>
        </a:xfrm>
        <a:prstGeom prst="rect">
          <a:avLst/>
        </a:prstGeom>
        <a:ln>
          <a:noFill/>
        </a:ln>
      </xdr:spPr>
    </xdr:pic>
    <xdr:clientData/>
  </xdr:twoCellAnchor>
  <xdr:twoCellAnchor editAs="twoCell">
    <xdr:from>
      <xdr:col>7</xdr:col>
      <xdr:colOff>63360</xdr:colOff>
      <xdr:row>434</xdr:row>
      <xdr:rowOff>88920</xdr:rowOff>
    </xdr:from>
    <xdr:to>
      <xdr:col>11</xdr:col>
      <xdr:colOff>380520</xdr:colOff>
      <xdr:row>459</xdr:row>
      <xdr:rowOff>12240</xdr:rowOff>
    </xdr:to>
    <xdr:pic>
      <xdr:nvPicPr>
        <xdr:cNvPr id="13" name="Image 8" descr=""/>
        <xdr:cNvPicPr/>
      </xdr:nvPicPr>
      <xdr:blipFill>
        <a:blip r:embed="rId6"/>
        <a:srcRect l="15346" t="12445" r="32419" b="17435"/>
        <a:stretch/>
      </xdr:blipFill>
      <xdr:spPr>
        <a:xfrm>
          <a:off x="7764480" y="79238160"/>
          <a:ext cx="5562360" cy="4619160"/>
        </a:xfrm>
        <a:prstGeom prst="rect">
          <a:avLst/>
        </a:prstGeom>
        <a:ln>
          <a:noFill/>
        </a:ln>
      </xdr:spPr>
    </xdr:pic>
    <xdr:clientData/>
  </xdr:twoCellAnchor>
  <xdr:twoCellAnchor editAs="twoCell">
    <xdr:from>
      <xdr:col>0</xdr:col>
      <xdr:colOff>63360</xdr:colOff>
      <xdr:row>48</xdr:row>
      <xdr:rowOff>50760</xdr:rowOff>
    </xdr:from>
    <xdr:to>
      <xdr:col>4</xdr:col>
      <xdr:colOff>291600</xdr:colOff>
      <xdr:row>65</xdr:row>
      <xdr:rowOff>24840</xdr:rowOff>
    </xdr:to>
    <xdr:pic>
      <xdr:nvPicPr>
        <xdr:cNvPr id="14" name="Image 9" descr=""/>
        <xdr:cNvPicPr/>
      </xdr:nvPicPr>
      <xdr:blipFill>
        <a:blip r:embed="rId7"/>
        <a:srcRect l="15905" t="22042" r="31104" b="26658"/>
        <a:stretch/>
      </xdr:blipFill>
      <xdr:spPr>
        <a:xfrm>
          <a:off x="63360" y="8508960"/>
          <a:ext cx="4555080" cy="2726640"/>
        </a:xfrm>
        <a:prstGeom prst="rect">
          <a:avLst/>
        </a:prstGeom>
        <a:ln>
          <a:noFill/>
        </a:ln>
      </xdr:spPr>
    </xdr:pic>
    <xdr:clientData/>
  </xdr:twoCellAnchor>
  <xdr:twoCellAnchor editAs="oneCell">
    <xdr:from>
      <xdr:col>0</xdr:col>
      <xdr:colOff>0</xdr:colOff>
      <xdr:row>852</xdr:row>
      <xdr:rowOff>0</xdr:rowOff>
    </xdr:from>
    <xdr:to>
      <xdr:col>11</xdr:col>
      <xdr:colOff>545760</xdr:colOff>
      <xdr:row>1079</xdr:row>
      <xdr:rowOff>25200</xdr:rowOff>
    </xdr:to>
    <xdr:pic>
      <xdr:nvPicPr>
        <xdr:cNvPr id="15" name="Image 12" descr=""/>
        <xdr:cNvPicPr/>
      </xdr:nvPicPr>
      <xdr:blipFill>
        <a:blip r:embed="rId8"/>
        <a:stretch/>
      </xdr:blipFill>
      <xdr:spPr>
        <a:xfrm>
          <a:off x="0" y="151749000"/>
          <a:ext cx="13492080" cy="36782280"/>
        </a:xfrm>
        <a:prstGeom prst="rect">
          <a:avLst/>
        </a:prstGeom>
        <a:ln>
          <a:noFill/>
        </a:ln>
      </xdr:spPr>
    </xdr:pic>
    <xdr:clientData/>
  </xdr:twoCellAnchor>
  <xdr:twoCellAnchor editAs="oneCell">
    <xdr:from>
      <xdr:col>0</xdr:col>
      <xdr:colOff>0</xdr:colOff>
      <xdr:row>1082</xdr:row>
      <xdr:rowOff>0</xdr:rowOff>
    </xdr:from>
    <xdr:to>
      <xdr:col>5</xdr:col>
      <xdr:colOff>1574280</xdr:colOff>
      <xdr:row>1124</xdr:row>
      <xdr:rowOff>37800</xdr:rowOff>
    </xdr:to>
    <xdr:pic>
      <xdr:nvPicPr>
        <xdr:cNvPr id="16" name="Image 9" descr=""/>
        <xdr:cNvPicPr/>
      </xdr:nvPicPr>
      <xdr:blipFill>
        <a:blip r:embed="rId9"/>
        <a:stretch/>
      </xdr:blipFill>
      <xdr:spPr>
        <a:xfrm>
          <a:off x="0" y="188991720"/>
          <a:ext cx="6653520" cy="68385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482760</xdr:colOff>
      <xdr:row>76</xdr:row>
      <xdr:rowOff>165240</xdr:rowOff>
    </xdr:from>
    <xdr:to>
      <xdr:col>8</xdr:col>
      <xdr:colOff>545760</xdr:colOff>
      <xdr:row>100</xdr:row>
      <xdr:rowOff>50760</xdr:rowOff>
    </xdr:to>
    <xdr:graphicFrame>
      <xdr:nvGraphicFramePr>
        <xdr:cNvPr id="17" name="Graphique 1"/>
        <xdr:cNvGraphicFramePr/>
      </xdr:nvGraphicFramePr>
      <xdr:xfrm>
        <a:off x="1329120" y="15252840"/>
        <a:ext cx="7564320" cy="3787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241200</xdr:colOff>
      <xdr:row>147</xdr:row>
      <xdr:rowOff>63360</xdr:rowOff>
    </xdr:from>
    <xdr:to>
      <xdr:col>6</xdr:col>
      <xdr:colOff>16920</xdr:colOff>
      <xdr:row>211</xdr:row>
      <xdr:rowOff>12240</xdr:rowOff>
    </xdr:to>
    <xdr:graphicFrame>
      <xdr:nvGraphicFramePr>
        <xdr:cNvPr id="18" name="Graphique 3"/>
        <xdr:cNvGraphicFramePr/>
      </xdr:nvGraphicFramePr>
      <xdr:xfrm>
        <a:off x="241200" y="27244440"/>
        <a:ext cx="7688160" cy="8280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520560</xdr:colOff>
      <xdr:row>147</xdr:row>
      <xdr:rowOff>114480</xdr:rowOff>
    </xdr:from>
    <xdr:to>
      <xdr:col>19</xdr:col>
      <xdr:colOff>431280</xdr:colOff>
      <xdr:row>211</xdr:row>
      <xdr:rowOff>25200</xdr:rowOff>
    </xdr:to>
    <xdr:graphicFrame>
      <xdr:nvGraphicFramePr>
        <xdr:cNvPr id="19" name="Graphique 4"/>
        <xdr:cNvGraphicFramePr/>
      </xdr:nvGraphicFramePr>
      <xdr:xfrm>
        <a:off x="7904160" y="27295560"/>
        <a:ext cx="6775560" cy="8241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406440</xdr:colOff>
      <xdr:row>148</xdr:row>
      <xdr:rowOff>63360</xdr:rowOff>
    </xdr:from>
    <xdr:to>
      <xdr:col>27</xdr:col>
      <xdr:colOff>558360</xdr:colOff>
      <xdr:row>187</xdr:row>
      <xdr:rowOff>24840</xdr:rowOff>
    </xdr:to>
    <xdr:graphicFrame>
      <xdr:nvGraphicFramePr>
        <xdr:cNvPr id="20" name="Graphique 5"/>
        <xdr:cNvGraphicFramePr/>
      </xdr:nvGraphicFramePr>
      <xdr:xfrm>
        <a:off x="14654880" y="27374400"/>
        <a:ext cx="6171840" cy="5038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38160</xdr:colOff>
      <xdr:row>106</xdr:row>
      <xdr:rowOff>88920</xdr:rowOff>
    </xdr:from>
    <xdr:to>
      <xdr:col>18</xdr:col>
      <xdr:colOff>482400</xdr:colOff>
      <xdr:row>140</xdr:row>
      <xdr:rowOff>139320</xdr:rowOff>
    </xdr:to>
    <xdr:graphicFrame>
      <xdr:nvGraphicFramePr>
        <xdr:cNvPr id="21" name="Graphique 1"/>
        <xdr:cNvGraphicFramePr/>
      </xdr:nvGraphicFramePr>
      <xdr:xfrm>
        <a:off x="1989360" y="20269080"/>
        <a:ext cx="11989080" cy="57304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44.5"/>
    <col collapsed="false" customWidth="true" hidden="false" outlineLevel="0" max="2" min="2" style="0" width="6.16"/>
    <col collapsed="false" customWidth="true" hidden="false" outlineLevel="0" max="3" min="3" style="0" width="23.5"/>
    <col collapsed="false" customWidth="true" hidden="false" outlineLevel="0" max="4" min="4" style="0" width="7.83"/>
    <col collapsed="false" customWidth="true" hidden="false" outlineLevel="0" max="1025" min="5" style="0" width="10.5"/>
  </cols>
  <sheetData>
    <row r="1" customFormat="false" ht="32.25" hidden="false" customHeight="true" outlineLevel="0" collapsed="false">
      <c r="A1" s="1" t="s">
        <v>0</v>
      </c>
      <c r="B1" s="2" t="s">
        <v>1</v>
      </c>
      <c r="C1" s="2" t="s">
        <v>2</v>
      </c>
      <c r="D1" s="2" t="s">
        <v>3</v>
      </c>
    </row>
    <row r="2" customFormat="false" ht="16.5" hidden="false" customHeight="true" outlineLevel="0" collapsed="false">
      <c r="A2" s="3" t="s">
        <v>4</v>
      </c>
      <c r="B2" s="4" t="n">
        <v>1.05</v>
      </c>
      <c r="C2" s="5"/>
      <c r="D2" s="6"/>
    </row>
    <row r="3" customFormat="false" ht="16.5" hidden="false" customHeight="true" outlineLevel="0" collapsed="false">
      <c r="A3" s="7" t="s">
        <v>5</v>
      </c>
      <c r="B3" s="4" t="n">
        <v>0.6</v>
      </c>
      <c r="C3" s="5"/>
      <c r="D3" s="6"/>
    </row>
    <row r="4" customFormat="false" ht="16.5" hidden="false" customHeight="true" outlineLevel="0" collapsed="false">
      <c r="A4" s="3" t="s">
        <v>6</v>
      </c>
      <c r="B4" s="4" t="n">
        <v>1</v>
      </c>
      <c r="C4" s="5"/>
      <c r="D4" s="6"/>
    </row>
    <row r="5" customFormat="false" ht="16.5" hidden="false" customHeight="true" outlineLevel="0" collapsed="false">
      <c r="A5" s="3" t="s">
        <v>7</v>
      </c>
      <c r="B5" s="4" t="n">
        <v>0.7</v>
      </c>
      <c r="C5" s="6"/>
      <c r="D5" s="6"/>
    </row>
    <row r="6" customFormat="false" ht="16.5" hidden="false" customHeight="true" outlineLevel="0" collapsed="false">
      <c r="A6" s="3" t="s">
        <v>8</v>
      </c>
      <c r="B6" s="4" t="n">
        <v>0.8</v>
      </c>
      <c r="C6" s="6"/>
      <c r="D6" s="6"/>
    </row>
    <row r="7" customFormat="false" ht="16.5" hidden="false" customHeight="true" outlineLevel="0" collapsed="false">
      <c r="A7" s="3" t="s">
        <v>9</v>
      </c>
      <c r="B7" s="4" t="n">
        <v>0.6</v>
      </c>
      <c r="C7" s="6"/>
      <c r="D7" s="6"/>
    </row>
    <row r="8" customFormat="false" ht="16.5" hidden="false" customHeight="true" outlineLevel="0" collapsed="false">
      <c r="A8" s="3" t="s">
        <v>10</v>
      </c>
      <c r="B8" s="4" t="n">
        <v>0.6</v>
      </c>
      <c r="C8" s="6"/>
      <c r="D8" s="6"/>
    </row>
    <row r="9" customFormat="false" ht="16.5" hidden="false" customHeight="true" outlineLevel="0" collapsed="false">
      <c r="A9" s="3" t="s">
        <v>11</v>
      </c>
      <c r="B9" s="4" t="n">
        <v>0.3</v>
      </c>
      <c r="C9" s="6"/>
      <c r="D9" s="6"/>
    </row>
    <row r="10" customFormat="false" ht="32.25" hidden="false" customHeight="true" outlineLevel="0" collapsed="false">
      <c r="A10" s="3" t="s">
        <v>12</v>
      </c>
      <c r="B10" s="4" t="n">
        <v>0.3</v>
      </c>
      <c r="C10" s="6"/>
      <c r="D10" s="6"/>
    </row>
    <row r="11" customFormat="false" ht="16.5" hidden="false" customHeight="true" outlineLevel="0" collapsed="false">
      <c r="A11" s="3" t="s">
        <v>13</v>
      </c>
      <c r="B11" s="4" t="n">
        <v>0.3</v>
      </c>
      <c r="C11" s="6"/>
      <c r="D11" s="6"/>
    </row>
    <row r="12" customFormat="false" ht="16.5" hidden="false" customHeight="true" outlineLevel="0" collapsed="false">
      <c r="A12" s="3" t="s">
        <v>14</v>
      </c>
      <c r="B12" s="4" t="n">
        <v>0.3</v>
      </c>
      <c r="C12" s="6"/>
      <c r="D12" s="6"/>
    </row>
    <row r="13" customFormat="false" ht="16.5" hidden="false" customHeight="true" outlineLevel="0" collapsed="false">
      <c r="A13" s="8" t="s">
        <v>15</v>
      </c>
      <c r="B13" s="9"/>
      <c r="C13" s="10"/>
      <c r="D13"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FCC00"/>
    <pageSetUpPr fitToPage="false"/>
  </sheetPr>
  <dimension ref="A1:V100"/>
  <sheetViews>
    <sheetView showFormulas="false" showGridLines="true" showRowColHeaders="true" showZeros="true" rightToLeft="false" tabSelected="false" showOutlineSymbols="true" defaultGridColor="true" view="normal" topLeftCell="A40" colorId="64" zoomScale="115" zoomScaleNormal="115" zoomScalePageLayoutView="100" workbookViewId="0">
      <selection pane="topLeft" activeCell="E16" activeCellId="0" sqref="E16"/>
    </sheetView>
  </sheetViews>
  <sheetFormatPr defaultRowHeight="12.75" zeroHeight="false" outlineLevelRow="0" outlineLevelCol="0"/>
  <cols>
    <col collapsed="false" customWidth="false" hidden="false" outlineLevel="0" max="1" min="1" style="0" width="11.5"/>
    <col collapsed="false" customWidth="true" hidden="false" outlineLevel="0" max="2" min="2" style="0" width="4.5"/>
    <col collapsed="false" customWidth="true" hidden="false" outlineLevel="0" max="4" min="3" style="0" width="10.5"/>
    <col collapsed="false" customWidth="true" hidden="false" outlineLevel="0" max="5" min="5" style="0" width="24.16"/>
    <col collapsed="false" customWidth="true" hidden="false" outlineLevel="0" max="6" min="6" style="2441" width="7.49"/>
    <col collapsed="false" customWidth="true" hidden="false" outlineLevel="0" max="7" min="7" style="0" width="10.5"/>
    <col collapsed="false" customWidth="true" hidden="false" outlineLevel="0" max="8" min="8" style="0" width="10.66"/>
    <col collapsed="false" customWidth="true" hidden="false" outlineLevel="0" max="9" min="9" style="0" width="5.16"/>
    <col collapsed="false" customWidth="true" hidden="false" outlineLevel="0" max="10" min="10" style="2442" width="17.16"/>
    <col collapsed="false" customWidth="true" hidden="false" outlineLevel="0" max="11" min="11" style="0" width="10.5"/>
    <col collapsed="false" customWidth="true" hidden="false" outlineLevel="0" max="12" min="12" style="0" width="16.49"/>
    <col collapsed="false" customWidth="true" hidden="false" outlineLevel="0" max="13" min="13" style="0" width="10.99"/>
    <col collapsed="false" customWidth="true" hidden="false" outlineLevel="0" max="14" min="14" style="0" width="10.5"/>
    <col collapsed="false" customWidth="true" hidden="false" outlineLevel="0" max="15" min="15" style="0" width="18.51"/>
    <col collapsed="false" customWidth="true" hidden="false" outlineLevel="0" max="16" min="16" style="0" width="13.66"/>
    <col collapsed="false" customWidth="true" hidden="false" outlineLevel="0" max="20" min="17" style="0" width="10.5"/>
    <col collapsed="false" customWidth="true" hidden="false" outlineLevel="0" max="21" min="21" style="0" width="10.99"/>
    <col collapsed="false" customWidth="true" hidden="false" outlineLevel="0" max="1025" min="22" style="0" width="10.5"/>
  </cols>
  <sheetData>
    <row r="1" customFormat="false" ht="60" hidden="false" customHeight="true" outlineLevel="0" collapsed="false">
      <c r="A1" s="2443" t="s">
        <v>3097</v>
      </c>
      <c r="B1" s="2443"/>
      <c r="C1" s="2443"/>
      <c r="D1" s="2443"/>
      <c r="E1" s="2443"/>
      <c r="F1" s="2443"/>
      <c r="G1" s="2443"/>
      <c r="H1" s="2443"/>
      <c r="I1" s="2443"/>
      <c r="J1" s="2443"/>
      <c r="K1" s="2443"/>
    </row>
    <row r="2" customFormat="false" ht="29.25" hidden="false" customHeight="true" outlineLevel="0" collapsed="false">
      <c r="B2" s="2444"/>
    </row>
    <row r="3" customFormat="false" ht="12.75" hidden="false" customHeight="true" outlineLevel="0" collapsed="false">
      <c r="A3" s="2445" t="s">
        <v>3098</v>
      </c>
      <c r="B3" s="2221" t="s">
        <v>829</v>
      </c>
      <c r="C3" s="2446" t="s">
        <v>3099</v>
      </c>
      <c r="D3" s="2446"/>
      <c r="E3" s="2446"/>
      <c r="F3" s="2446"/>
      <c r="G3" s="2446"/>
      <c r="H3" s="2447" t="s">
        <v>3100</v>
      </c>
      <c r="I3" s="2448"/>
      <c r="J3" s="2344" t="s">
        <v>2922</v>
      </c>
      <c r="L3" s="1926" t="s">
        <v>3101</v>
      </c>
      <c r="M3" s="1926" t="s">
        <v>2782</v>
      </c>
    </row>
    <row r="4" customFormat="false" ht="15.75" hidden="false" customHeight="true" outlineLevel="0" collapsed="false">
      <c r="A4" s="2445"/>
      <c r="B4" s="972"/>
      <c r="C4" s="972"/>
      <c r="D4" s="972"/>
      <c r="E4" s="972"/>
      <c r="F4" s="2208"/>
      <c r="G4" s="972"/>
      <c r="H4" s="972"/>
      <c r="I4" s="2382"/>
      <c r="J4" s="2344"/>
      <c r="L4" s="1926" t="n">
        <v>0</v>
      </c>
      <c r="M4" s="1926" t="n">
        <v>0</v>
      </c>
      <c r="O4" s="1607"/>
    </row>
    <row r="5" customFormat="false" ht="26.25" hidden="false" customHeight="true" outlineLevel="0" collapsed="false">
      <c r="A5" s="2445"/>
      <c r="B5" s="972"/>
      <c r="C5" s="2158" t="s">
        <v>2698</v>
      </c>
      <c r="D5" s="2158"/>
      <c r="E5" s="2158"/>
      <c r="F5" s="2158"/>
      <c r="G5" s="2120" t="s">
        <v>2699</v>
      </c>
      <c r="H5" s="1926" t="s">
        <v>2700</v>
      </c>
      <c r="I5" s="2118"/>
      <c r="J5" s="2449" t="n">
        <f aca="false">MIN(35,SUM(H6,H15,H22))</f>
        <v>15</v>
      </c>
      <c r="L5" s="1675" t="n">
        <v>0.5</v>
      </c>
      <c r="M5" s="1675" t="n">
        <v>4</v>
      </c>
      <c r="O5" s="1607"/>
    </row>
    <row r="6" customFormat="false" ht="12.75" hidden="false" customHeight="true" outlineLevel="0" collapsed="false">
      <c r="A6" s="2445"/>
      <c r="B6" s="972"/>
      <c r="C6" s="2124" t="s">
        <v>3102</v>
      </c>
      <c r="D6" s="2124"/>
      <c r="E6" s="2124"/>
      <c r="F6" s="2153" t="n">
        <f aca="false">IF(E7&lt;L4,M4,IF(E7&lt;L5,M5,IF(E7&lt;L6,M6,IF(E7&lt;L7,M7,IF(E7&lt;L8,M8,M9)))))</f>
        <v>12</v>
      </c>
      <c r="G6" s="2239" t="n">
        <f aca="false">F6+F9</f>
        <v>12</v>
      </c>
      <c r="H6" s="2450" t="n">
        <f aca="false">MIN(20,G6)</f>
        <v>12</v>
      </c>
      <c r="I6" s="1865"/>
      <c r="J6" s="2449"/>
      <c r="L6" s="1926" t="n">
        <v>1</v>
      </c>
      <c r="M6" s="1926" t="n">
        <v>8</v>
      </c>
      <c r="O6" s="1607"/>
    </row>
    <row r="7" customFormat="false" ht="12.75" hidden="false" customHeight="true" outlineLevel="0" collapsed="false">
      <c r="A7" s="2445"/>
      <c r="B7" s="972"/>
      <c r="C7" s="2129" t="s">
        <v>3103</v>
      </c>
      <c r="D7" s="972"/>
      <c r="E7" s="2451" t="n">
        <f aca="false">'Saisie et Calculateur'!D1209</f>
        <v>1.39695203529747</v>
      </c>
      <c r="F7" s="2153"/>
      <c r="G7" s="2239"/>
      <c r="H7" s="2450"/>
      <c r="I7" s="1865"/>
      <c r="J7" s="2449"/>
      <c r="L7" s="1926" t="n">
        <v>1.5</v>
      </c>
      <c r="M7" s="1926" t="n">
        <v>12</v>
      </c>
      <c r="O7" s="1607"/>
    </row>
    <row r="8" customFormat="false" ht="12.75" hidden="false" customHeight="true" outlineLevel="0" collapsed="false">
      <c r="A8" s="2445"/>
      <c r="B8" s="972"/>
      <c r="C8" s="2129"/>
      <c r="D8" s="972"/>
      <c r="E8" s="972"/>
      <c r="F8" s="2153"/>
      <c r="G8" s="2239"/>
      <c r="H8" s="2450"/>
      <c r="I8" s="1865"/>
      <c r="J8" s="2449"/>
      <c r="L8" s="1926" t="n">
        <v>2.5</v>
      </c>
      <c r="M8" s="1926" t="n">
        <v>16</v>
      </c>
      <c r="O8" s="1607"/>
    </row>
    <row r="9" customFormat="false" ht="12.75" hidden="false" customHeight="true" outlineLevel="0" collapsed="false">
      <c r="A9" s="2445"/>
      <c r="B9" s="972"/>
      <c r="C9" s="2145" t="s">
        <v>3104</v>
      </c>
      <c r="D9" s="2145"/>
      <c r="E9" s="2145"/>
      <c r="F9" s="2367" t="n">
        <f aca="false">'Saisie et Calculateur'!D1213</f>
        <v>0</v>
      </c>
      <c r="G9" s="2239"/>
      <c r="H9" s="2450"/>
      <c r="I9" s="1865"/>
      <c r="J9" s="2449"/>
      <c r="L9" s="1675"/>
      <c r="M9" s="2452" t="n">
        <v>20</v>
      </c>
      <c r="O9" s="1607"/>
    </row>
    <row r="10" customFormat="false" ht="15" hidden="false" customHeight="true" outlineLevel="0" collapsed="false">
      <c r="A10" s="2445"/>
      <c r="B10" s="2453"/>
      <c r="C10" s="972"/>
      <c r="D10" s="972"/>
      <c r="E10" s="972"/>
      <c r="F10" s="2208"/>
      <c r="G10" s="972"/>
      <c r="H10" s="972"/>
      <c r="I10" s="972"/>
      <c r="J10" s="2449"/>
      <c r="O10" s="1607"/>
    </row>
    <row r="11" customFormat="false" ht="15" hidden="false" customHeight="true" outlineLevel="0" collapsed="false">
      <c r="A11" s="2445"/>
      <c r="B11" s="2453"/>
      <c r="C11" s="972"/>
      <c r="D11" s="972"/>
      <c r="E11" s="972"/>
      <c r="F11" s="2208"/>
      <c r="G11" s="972"/>
      <c r="H11" s="972"/>
      <c r="I11" s="972"/>
      <c r="J11" s="2449"/>
      <c r="L11" s="1607"/>
      <c r="M11" s="1607"/>
      <c r="N11" s="1607"/>
      <c r="O11" s="1607"/>
    </row>
    <row r="12" customFormat="false" ht="12.75" hidden="false" customHeight="true" outlineLevel="0" collapsed="false">
      <c r="A12" s="2445"/>
      <c r="B12" s="972" t="s">
        <v>853</v>
      </c>
      <c r="C12" s="2454" t="s">
        <v>3105</v>
      </c>
      <c r="D12" s="2454"/>
      <c r="E12" s="2454"/>
      <c r="F12" s="2454"/>
      <c r="G12" s="2454"/>
      <c r="H12" s="2455" t="s">
        <v>3106</v>
      </c>
      <c r="I12" s="2021"/>
      <c r="J12" s="2449"/>
      <c r="L12" s="2456"/>
      <c r="M12" s="2457"/>
      <c r="N12" s="1607"/>
      <c r="O12" s="1607"/>
    </row>
    <row r="13" customFormat="false" ht="15" hidden="false" customHeight="true" outlineLevel="0" collapsed="false">
      <c r="A13" s="2445"/>
      <c r="B13" s="972"/>
      <c r="C13" s="2118"/>
      <c r="D13" s="2118"/>
      <c r="E13" s="2118"/>
      <c r="F13" s="2458"/>
      <c r="G13" s="2118"/>
      <c r="H13" s="2118"/>
      <c r="I13" s="2118"/>
      <c r="J13" s="2449"/>
      <c r="L13" s="2459" t="s">
        <v>3107</v>
      </c>
      <c r="M13" s="2460" t="s">
        <v>2732</v>
      </c>
      <c r="N13" s="1607"/>
      <c r="O13" s="1607"/>
      <c r="P13" s="1949"/>
    </row>
    <row r="14" customFormat="false" ht="25.5" hidden="false" customHeight="true" outlineLevel="0" collapsed="false">
      <c r="A14" s="2445"/>
      <c r="B14" s="972"/>
      <c r="C14" s="2158" t="s">
        <v>2698</v>
      </c>
      <c r="D14" s="2158"/>
      <c r="E14" s="2158"/>
      <c r="F14" s="2158"/>
      <c r="G14" s="2120" t="s">
        <v>2699</v>
      </c>
      <c r="H14" s="1926" t="s">
        <v>2700</v>
      </c>
      <c r="I14" s="2118"/>
      <c r="J14" s="2449"/>
      <c r="L14" s="2461" t="n">
        <v>0.3</v>
      </c>
      <c r="M14" s="1926" t="n">
        <v>12</v>
      </c>
      <c r="N14" s="1607"/>
      <c r="O14" s="1607"/>
    </row>
    <row r="15" customFormat="false" ht="12.75" hidden="false" customHeight="true" outlineLevel="0" collapsed="false">
      <c r="A15" s="2445"/>
      <c r="B15" s="972"/>
      <c r="C15" s="2462" t="s">
        <v>3108</v>
      </c>
      <c r="D15" s="1983"/>
      <c r="E15" s="1983"/>
      <c r="F15" s="2426" t="n">
        <f aca="false">IF(E16&lt;0,0,IF(E16&lt;L14,M14,IF(E16&lt;L15,M15,IF(E16&lt;L16,M16,M17))))</f>
        <v>0</v>
      </c>
      <c r="G15" s="2347" t="n">
        <f aca="false">F15</f>
        <v>0</v>
      </c>
      <c r="H15" s="2450" t="n">
        <f aca="false">MIN(12,G15)</f>
        <v>0</v>
      </c>
      <c r="I15" s="1865"/>
      <c r="J15" s="2449"/>
      <c r="L15" s="2121" t="n">
        <v>0.45</v>
      </c>
      <c r="M15" s="1926" t="n">
        <v>8</v>
      </c>
      <c r="N15" s="1607"/>
      <c r="O15" s="1607"/>
    </row>
    <row r="16" customFormat="false" ht="12.75" hidden="false" customHeight="true" outlineLevel="0" collapsed="false">
      <c r="A16" s="2445"/>
      <c r="B16" s="972"/>
      <c r="C16" s="2194"/>
      <c r="D16" s="2384" t="s">
        <v>3109</v>
      </c>
      <c r="E16" s="2242" t="n">
        <f aca="false">'Saisie et Calculateur'!D1218</f>
        <v>1.31346631417363</v>
      </c>
      <c r="F16" s="2426"/>
      <c r="G16" s="2347"/>
      <c r="H16" s="2450"/>
      <c r="I16" s="1865"/>
      <c r="J16" s="2449"/>
      <c r="L16" s="2358" t="n">
        <v>0.6</v>
      </c>
      <c r="M16" s="2120" t="n">
        <v>4</v>
      </c>
      <c r="N16" s="1607"/>
      <c r="O16" s="2463"/>
    </row>
    <row r="17" customFormat="false" ht="15" hidden="false" customHeight="true" outlineLevel="0" collapsed="false">
      <c r="A17" s="2445"/>
      <c r="B17" s="972"/>
      <c r="C17" s="972"/>
      <c r="D17" s="972"/>
      <c r="E17" s="972"/>
      <c r="F17" s="2208"/>
      <c r="G17" s="972"/>
      <c r="H17" s="972"/>
      <c r="I17" s="972"/>
      <c r="J17" s="2449"/>
      <c r="L17" s="1861"/>
      <c r="M17" s="2452" t="n">
        <v>0</v>
      </c>
      <c r="N17" s="1607"/>
      <c r="O17" s="1607"/>
    </row>
    <row r="18" customFormat="false" ht="15.75" hidden="false" customHeight="true" outlineLevel="0" collapsed="false">
      <c r="A18" s="2445"/>
      <c r="B18" s="972"/>
      <c r="C18" s="972"/>
      <c r="D18" s="972"/>
      <c r="E18" s="972"/>
      <c r="F18" s="2208"/>
      <c r="G18" s="972"/>
      <c r="H18" s="972"/>
      <c r="I18" s="972"/>
      <c r="J18" s="2449"/>
      <c r="L18" s="1607"/>
      <c r="M18" s="1607"/>
      <c r="N18" s="1607"/>
      <c r="O18" s="1607"/>
    </row>
    <row r="19" customFormat="false" ht="12.75" hidden="false" customHeight="true" outlineLevel="0" collapsed="false">
      <c r="A19" s="2445"/>
      <c r="B19" s="972" t="s">
        <v>847</v>
      </c>
      <c r="C19" s="2454" t="s">
        <v>3110</v>
      </c>
      <c r="D19" s="2454"/>
      <c r="E19" s="2454"/>
      <c r="F19" s="2454"/>
      <c r="G19" s="2454"/>
      <c r="H19" s="2455" t="s">
        <v>2866</v>
      </c>
      <c r="I19" s="2021"/>
      <c r="J19" s="2449"/>
      <c r="L19" s="2456"/>
      <c r="M19" s="2457"/>
      <c r="N19" s="1607"/>
      <c r="O19" s="1607"/>
      <c r="R19" s="972"/>
    </row>
    <row r="20" customFormat="false" ht="12.75" hidden="false" customHeight="true" outlineLevel="0" collapsed="false">
      <c r="A20" s="2445"/>
      <c r="B20" s="972"/>
      <c r="C20" s="2118"/>
      <c r="D20" s="2118"/>
      <c r="E20" s="2118"/>
      <c r="F20" s="2458"/>
      <c r="G20" s="2118"/>
      <c r="H20" s="2118"/>
      <c r="I20" s="2118"/>
      <c r="J20" s="2449"/>
      <c r="L20" s="2459" t="s">
        <v>3111</v>
      </c>
      <c r="M20" s="2460" t="s">
        <v>2772</v>
      </c>
      <c r="N20" s="1607"/>
      <c r="O20" s="1607"/>
      <c r="R20" s="972"/>
      <c r="S20" s="972"/>
      <c r="T20" s="972"/>
      <c r="U20" s="972"/>
    </row>
    <row r="21" customFormat="false" ht="30" hidden="false" customHeight="true" outlineLevel="0" collapsed="false">
      <c r="A21" s="2445"/>
      <c r="B21" s="972"/>
      <c r="C21" s="2158" t="s">
        <v>2698</v>
      </c>
      <c r="D21" s="2158"/>
      <c r="E21" s="2158"/>
      <c r="F21" s="2158"/>
      <c r="G21" s="2120" t="s">
        <v>2699</v>
      </c>
      <c r="H21" s="1926" t="s">
        <v>2700</v>
      </c>
      <c r="I21" s="2118"/>
      <c r="J21" s="2449"/>
      <c r="L21" s="2121" t="n">
        <v>0.3</v>
      </c>
      <c r="M21" s="1926" t="n">
        <v>6</v>
      </c>
      <c r="N21" s="2464"/>
      <c r="O21" s="1607"/>
      <c r="R21" s="972"/>
      <c r="S21" s="972"/>
      <c r="T21" s="972"/>
      <c r="U21" s="972"/>
    </row>
    <row r="22" customFormat="false" ht="12.75" hidden="false" customHeight="true" outlineLevel="0" collapsed="false">
      <c r="A22" s="2445"/>
      <c r="B22" s="972"/>
      <c r="C22" s="2462" t="s">
        <v>3112</v>
      </c>
      <c r="D22" s="1983"/>
      <c r="E22" s="1983"/>
      <c r="F22" s="2426" t="n">
        <f aca="false">IF(E23&lt;L21,M21,IF(E23&lt;L22,M22,M23))</f>
        <v>3</v>
      </c>
      <c r="G22" s="2347" t="n">
        <f aca="false">F22</f>
        <v>3</v>
      </c>
      <c r="H22" s="2450" t="n">
        <f aca="false">MIN(6,G22)</f>
        <v>3</v>
      </c>
      <c r="I22" s="1865"/>
      <c r="J22" s="2449"/>
      <c r="L22" s="2121" t="n">
        <v>0.6</v>
      </c>
      <c r="M22" s="1926" t="n">
        <v>3</v>
      </c>
      <c r="N22" s="2464"/>
      <c r="O22" s="1607"/>
      <c r="S22" s="972"/>
      <c r="T22" s="972"/>
      <c r="U22" s="972"/>
    </row>
    <row r="23" customFormat="false" ht="12.75" hidden="false" customHeight="true" outlineLevel="0" collapsed="false">
      <c r="A23" s="2445"/>
      <c r="B23" s="972"/>
      <c r="C23" s="2194"/>
      <c r="D23" s="2384" t="s">
        <v>1110</v>
      </c>
      <c r="E23" s="2233" t="n">
        <f aca="false">'Saisie et Calculateur'!D1223</f>
        <v>0.374418415788656</v>
      </c>
      <c r="F23" s="2426"/>
      <c r="G23" s="2347"/>
      <c r="H23" s="2450"/>
      <c r="I23" s="1865"/>
      <c r="J23" s="2449"/>
      <c r="L23" s="2121"/>
      <c r="M23" s="1926" t="n">
        <v>0</v>
      </c>
      <c r="N23" s="1607"/>
      <c r="O23" s="1607"/>
      <c r="S23" s="972"/>
      <c r="T23" s="972"/>
      <c r="U23" s="972"/>
    </row>
    <row r="24" customFormat="false" ht="13.5" hidden="false" customHeight="true" outlineLevel="0" collapsed="false">
      <c r="A24" s="2445"/>
      <c r="B24" s="2248"/>
      <c r="C24" s="2248"/>
      <c r="D24" s="2248"/>
      <c r="E24" s="2248"/>
      <c r="F24" s="2465"/>
      <c r="G24" s="2248"/>
      <c r="H24" s="2248"/>
      <c r="I24" s="2248"/>
      <c r="J24" s="2449"/>
    </row>
    <row r="25" customFormat="false" ht="13.5" hidden="false" customHeight="true" outlineLevel="0" collapsed="false"/>
    <row r="26" customFormat="false" ht="15" hidden="false" customHeight="true" outlineLevel="0" collapsed="false">
      <c r="A26" s="2466" t="s">
        <v>3113</v>
      </c>
      <c r="B26" s="2221" t="s">
        <v>3114</v>
      </c>
      <c r="C26" s="2446" t="s">
        <v>3115</v>
      </c>
      <c r="D26" s="2446"/>
      <c r="E26" s="2446"/>
      <c r="F26" s="2446"/>
      <c r="G26" s="2446"/>
      <c r="H26" s="2447" t="s">
        <v>3116</v>
      </c>
      <c r="I26" s="2467"/>
      <c r="J26" s="2468" t="n">
        <f aca="false">MIN(25,SUM(H29+H40+H53+H60))</f>
        <v>8</v>
      </c>
      <c r="L26" s="1926" t="s">
        <v>3117</v>
      </c>
      <c r="M26" s="1926" t="s">
        <v>2772</v>
      </c>
      <c r="O26" s="2469" t="s">
        <v>3118</v>
      </c>
      <c r="P26" s="2346" t="s">
        <v>2772</v>
      </c>
    </row>
    <row r="27" customFormat="false" ht="15" hidden="false" customHeight="true" outlineLevel="0" collapsed="false">
      <c r="A27" s="2466"/>
      <c r="B27" s="972"/>
      <c r="C27" s="2118"/>
      <c r="D27" s="2118"/>
      <c r="E27" s="2118"/>
      <c r="F27" s="2458"/>
      <c r="G27" s="2118"/>
      <c r="H27" s="2118"/>
      <c r="I27" s="2118"/>
      <c r="J27" s="2468"/>
      <c r="L27" s="2121" t="n">
        <v>0.5</v>
      </c>
      <c r="M27" s="1926" t="n">
        <v>8</v>
      </c>
      <c r="O27" s="2346" t="n">
        <v>3</v>
      </c>
      <c r="P27" s="2346" t="n">
        <v>4</v>
      </c>
    </row>
    <row r="28" customFormat="false" ht="26.25" hidden="false" customHeight="true" outlineLevel="0" collapsed="false">
      <c r="A28" s="2466"/>
      <c r="B28" s="972"/>
      <c r="C28" s="2158" t="s">
        <v>2698</v>
      </c>
      <c r="D28" s="2158"/>
      <c r="E28" s="2158"/>
      <c r="F28" s="2158"/>
      <c r="G28" s="2120" t="s">
        <v>2699</v>
      </c>
      <c r="H28" s="1926" t="s">
        <v>2700</v>
      </c>
      <c r="I28" s="2118"/>
      <c r="J28" s="2468"/>
      <c r="L28" s="2121" t="n">
        <v>0.75</v>
      </c>
      <c r="M28" s="1926" t="n">
        <v>4</v>
      </c>
      <c r="N28" s="2351"/>
      <c r="O28" s="2346" t="n">
        <v>1</v>
      </c>
      <c r="P28" s="2346" t="n">
        <v>2</v>
      </c>
    </row>
    <row r="29" customFormat="false" ht="28.5" hidden="false" customHeight="true" outlineLevel="0" collapsed="false">
      <c r="A29" s="2466"/>
      <c r="B29" s="972"/>
      <c r="C29" s="2124" t="s">
        <v>3119</v>
      </c>
      <c r="D29" s="2124"/>
      <c r="E29" s="2124"/>
      <c r="F29" s="2153" t="n">
        <f aca="false">IF(E30&lt;L27,M27,IF(E30&lt;L28,M28,IF(E30&lt;L29,M29,M30)))</f>
        <v>2</v>
      </c>
      <c r="G29" s="2347" t="n">
        <f aca="false">F29+F32</f>
        <v>2</v>
      </c>
      <c r="H29" s="2450" t="n">
        <f aca="false">MIN(10,G29)</f>
        <v>2</v>
      </c>
      <c r="I29" s="2470"/>
      <c r="J29" s="2468"/>
      <c r="K29" s="2471"/>
      <c r="L29" s="2121" t="n">
        <v>0.95</v>
      </c>
      <c r="M29" s="1926" t="n">
        <v>2</v>
      </c>
      <c r="N29" s="2351"/>
      <c r="O29" s="2346"/>
      <c r="P29" s="2346" t="n">
        <v>0</v>
      </c>
    </row>
    <row r="30" customFormat="false" ht="12.75" hidden="false" customHeight="true" outlineLevel="0" collapsed="false">
      <c r="A30" s="2466"/>
      <c r="B30" s="972"/>
      <c r="C30" s="2129"/>
      <c r="D30" s="675" t="s">
        <v>1110</v>
      </c>
      <c r="E30" s="2180" t="n">
        <f aca="false">'Saisie et Calculateur'!J1235</f>
        <v>0.758061786474342</v>
      </c>
      <c r="F30" s="2153"/>
      <c r="G30" s="2347"/>
      <c r="H30" s="2450"/>
      <c r="I30" s="2470"/>
      <c r="J30" s="2468"/>
      <c r="K30" s="2471"/>
      <c r="L30" s="1861"/>
      <c r="M30" s="2472" t="n">
        <v>0</v>
      </c>
    </row>
    <row r="31" customFormat="false" ht="12.75" hidden="false" customHeight="true" outlineLevel="0" collapsed="false">
      <c r="A31" s="2466"/>
      <c r="B31" s="972"/>
      <c r="C31" s="2129"/>
      <c r="D31" s="675"/>
      <c r="E31" s="2180"/>
      <c r="F31" s="2153"/>
      <c r="G31" s="2347"/>
      <c r="H31" s="2450"/>
      <c r="I31" s="2470"/>
      <c r="J31" s="2468"/>
      <c r="K31" s="972"/>
      <c r="L31" s="972"/>
      <c r="M31" s="2473"/>
    </row>
    <row r="32" customFormat="false" ht="12.75" hidden="false" customHeight="true" outlineLevel="0" collapsed="false">
      <c r="A32" s="2466"/>
      <c r="B32" s="972"/>
      <c r="C32" s="2192" t="s">
        <v>3120</v>
      </c>
      <c r="D32" s="2192"/>
      <c r="E32" s="2192"/>
      <c r="F32" s="2144" t="n">
        <f aca="false">IF(ISNUMBER(E34)=0,0,IF(E34="0",P27,IF(E34&gt;O27,P27,IF(E34&gt;O28,P28,P29))))</f>
        <v>0</v>
      </c>
      <c r="G32" s="2347"/>
      <c r="H32" s="2450"/>
      <c r="I32" s="2200"/>
      <c r="J32" s="2468"/>
      <c r="K32" s="972"/>
      <c r="L32" s="2419"/>
    </row>
    <row r="33" customFormat="false" ht="12.75" hidden="false" customHeight="true" outlineLevel="0" collapsed="false">
      <c r="A33" s="2466"/>
      <c r="B33" s="972"/>
      <c r="C33" s="2279" t="s">
        <v>3121</v>
      </c>
      <c r="D33" s="2279"/>
      <c r="E33" s="2279"/>
      <c r="F33" s="2144"/>
      <c r="G33" s="2347"/>
      <c r="H33" s="2450"/>
      <c r="I33" s="2470"/>
      <c r="J33" s="2468"/>
      <c r="K33" s="972"/>
      <c r="L33" s="972"/>
    </row>
    <row r="34" customFormat="false" ht="12.75" hidden="false" customHeight="true" outlineLevel="0" collapsed="false">
      <c r="A34" s="2466"/>
      <c r="B34" s="972"/>
      <c r="C34" s="2194"/>
      <c r="D34" s="2384" t="s">
        <v>3122</v>
      </c>
      <c r="E34" s="2474" t="n">
        <f aca="false">'Saisie et Calculateur'!J1246</f>
        <v>1</v>
      </c>
      <c r="F34" s="2144"/>
      <c r="G34" s="2347"/>
      <c r="H34" s="2450"/>
      <c r="I34" s="2470"/>
      <c r="J34" s="2468"/>
      <c r="K34" s="972"/>
      <c r="L34" s="972"/>
    </row>
    <row r="35" customFormat="false" ht="15" hidden="false" customHeight="true" outlineLevel="0" collapsed="false">
      <c r="A35" s="2466"/>
      <c r="B35" s="972"/>
      <c r="C35" s="972"/>
      <c r="D35" s="972"/>
      <c r="E35" s="2475"/>
      <c r="G35" s="972"/>
      <c r="H35" s="972"/>
      <c r="I35" s="972"/>
      <c r="J35" s="2468"/>
      <c r="N35" s="1949"/>
    </row>
    <row r="36" customFormat="false" ht="12.75" hidden="false" customHeight="true" outlineLevel="0" collapsed="false">
      <c r="A36" s="2466"/>
      <c r="B36" s="972"/>
      <c r="C36" s="972"/>
      <c r="D36" s="972"/>
      <c r="E36" s="972"/>
      <c r="F36" s="2208"/>
      <c r="G36" s="972"/>
      <c r="H36" s="972"/>
      <c r="I36" s="972"/>
      <c r="J36" s="2468"/>
    </row>
    <row r="37" customFormat="false" ht="12.75" hidden="false" customHeight="true" outlineLevel="0" collapsed="false">
      <c r="A37" s="2466"/>
      <c r="B37" s="972" t="s">
        <v>933</v>
      </c>
      <c r="C37" s="2454" t="s">
        <v>3123</v>
      </c>
      <c r="D37" s="2454"/>
      <c r="E37" s="2454"/>
      <c r="F37" s="2454"/>
      <c r="G37" s="2454"/>
      <c r="H37" s="2455" t="s">
        <v>3116</v>
      </c>
      <c r="I37" s="2021"/>
      <c r="J37" s="2468"/>
    </row>
    <row r="38" customFormat="false" ht="12.75" hidden="false" customHeight="true" outlineLevel="0" collapsed="false">
      <c r="A38" s="2466"/>
      <c r="B38" s="972"/>
      <c r="C38" s="2118"/>
      <c r="D38" s="2118"/>
      <c r="E38" s="2118"/>
      <c r="F38" s="2458"/>
      <c r="G38" s="2118"/>
      <c r="H38" s="2118"/>
      <c r="I38" s="2118"/>
      <c r="J38" s="2468"/>
    </row>
    <row r="39" customFormat="false" ht="24.75" hidden="false" customHeight="true" outlineLevel="0" collapsed="false">
      <c r="A39" s="2466"/>
      <c r="B39" s="972"/>
      <c r="C39" s="2158" t="s">
        <v>2698</v>
      </c>
      <c r="D39" s="2158"/>
      <c r="E39" s="2158"/>
      <c r="F39" s="2158"/>
      <c r="G39" s="2120" t="s">
        <v>2699</v>
      </c>
      <c r="H39" s="1926" t="s">
        <v>2700</v>
      </c>
      <c r="I39" s="2118"/>
      <c r="J39" s="2468"/>
      <c r="L39" s="2476" t="s">
        <v>3124</v>
      </c>
      <c r="M39" s="2477" t="s">
        <v>2772</v>
      </c>
      <c r="O39" s="2476" t="s">
        <v>3125</v>
      </c>
      <c r="P39" s="2477" t="s">
        <v>2772</v>
      </c>
      <c r="Q39" s="2409"/>
      <c r="S39" s="2224" t="s">
        <v>3126</v>
      </c>
    </row>
    <row r="40" customFormat="false" ht="15" hidden="false" customHeight="true" outlineLevel="0" collapsed="false">
      <c r="A40" s="2466"/>
      <c r="B40" s="972"/>
      <c r="C40" s="2124" t="s">
        <v>3127</v>
      </c>
      <c r="D40" s="2124"/>
      <c r="E40" s="2124"/>
      <c r="F40" s="2153" t="n">
        <f aca="false">IF(E42=0,0,IF(E42&lt;L40,M40,IF(E42&lt;L41,M41,M42)))</f>
        <v>0</v>
      </c>
      <c r="G40" s="2347" t="n">
        <f aca="false">IF(F40+F44&lt;0,0,F40+F44 )</f>
        <v>0</v>
      </c>
      <c r="H40" s="2450" t="n">
        <f aca="false">MIN(10,G40)</f>
        <v>0</v>
      </c>
      <c r="I40" s="1865"/>
      <c r="J40" s="2468"/>
      <c r="L40" s="2121" t="n">
        <v>0.33</v>
      </c>
      <c r="M40" s="1926" t="n">
        <v>6</v>
      </c>
      <c r="O40" s="1926" t="s">
        <v>940</v>
      </c>
      <c r="P40" s="1926" t="n">
        <v>6</v>
      </c>
      <c r="R40" s="1861" t="s">
        <v>242</v>
      </c>
      <c r="S40" s="1861" t="n">
        <v>-2</v>
      </c>
    </row>
    <row r="41" customFormat="false" ht="12.75" hidden="false" customHeight="true" outlineLevel="0" collapsed="false">
      <c r="A41" s="2466"/>
      <c r="B41" s="972"/>
      <c r="C41" s="2129" t="s">
        <v>3128</v>
      </c>
      <c r="D41" s="972"/>
      <c r="E41" s="2478"/>
      <c r="F41" s="2153"/>
      <c r="G41" s="2347"/>
      <c r="H41" s="2450"/>
      <c r="I41" s="1865"/>
      <c r="J41" s="2468"/>
      <c r="L41" s="2121" t="n">
        <v>0.66</v>
      </c>
      <c r="M41" s="1926" t="n">
        <v>3</v>
      </c>
      <c r="N41" s="2351"/>
      <c r="O41" s="1926" t="s">
        <v>941</v>
      </c>
      <c r="P41" s="1926" t="n">
        <v>6</v>
      </c>
      <c r="R41" s="1861" t="s">
        <v>243</v>
      </c>
      <c r="S41" s="1861" t="n">
        <v>0</v>
      </c>
    </row>
    <row r="42" customFormat="false" ht="13.5" hidden="false" customHeight="true" outlineLevel="0" collapsed="false">
      <c r="A42" s="2466"/>
      <c r="B42" s="972"/>
      <c r="C42" s="2129"/>
      <c r="D42" s="675" t="s">
        <v>1110</v>
      </c>
      <c r="E42" s="2180" t="n">
        <f aca="false">'Saisie et Calculateur'!D1294</f>
        <v>0.7</v>
      </c>
      <c r="F42" s="2153"/>
      <c r="G42" s="2347"/>
      <c r="H42" s="2450"/>
      <c r="I42" s="1865"/>
      <c r="J42" s="2468"/>
      <c r="L42" s="2121"/>
      <c r="M42" s="1926" t="n">
        <v>0</v>
      </c>
      <c r="N42" s="2351"/>
      <c r="O42" s="1926" t="s">
        <v>938</v>
      </c>
      <c r="P42" s="1926" t="n">
        <v>3</v>
      </c>
    </row>
    <row r="43" customFormat="false" ht="12.75" hidden="false" customHeight="true" outlineLevel="0" collapsed="false">
      <c r="A43" s="2466"/>
      <c r="B43" s="972"/>
      <c r="C43" s="2129"/>
      <c r="D43" s="972"/>
      <c r="E43" s="2479"/>
      <c r="F43" s="2153"/>
      <c r="G43" s="2347"/>
      <c r="H43" s="2450"/>
      <c r="I43" s="1865"/>
      <c r="J43" s="2468"/>
      <c r="L43" s="2480"/>
      <c r="M43" s="2382"/>
      <c r="N43" s="2351"/>
      <c r="O43" s="1926" t="s">
        <v>937</v>
      </c>
      <c r="P43" s="1926" t="n">
        <v>0</v>
      </c>
    </row>
    <row r="44" customFormat="false" ht="12.75" hidden="false" customHeight="true" outlineLevel="0" collapsed="false">
      <c r="A44" s="2466"/>
      <c r="B44" s="972"/>
      <c r="C44" s="2131" t="s">
        <v>3129</v>
      </c>
      <c r="D44" s="2131"/>
      <c r="E44" s="2131"/>
      <c r="F44" s="2168" t="n">
        <f aca="false">E45+E47</f>
        <v>0</v>
      </c>
      <c r="G44" s="2347"/>
      <c r="H44" s="2450"/>
      <c r="I44" s="2481"/>
      <c r="J44" s="2468"/>
    </row>
    <row r="45" customFormat="false" ht="12.75" hidden="false" customHeight="true" outlineLevel="0" collapsed="false">
      <c r="A45" s="2466"/>
      <c r="B45" s="972"/>
      <c r="C45" s="2206" t="s">
        <v>3130</v>
      </c>
      <c r="D45" s="2482" t="str">
        <f aca="false">'Saisie et Calculateur'!D1297</f>
        <v>absence de contrat</v>
      </c>
      <c r="E45" s="2388" t="n">
        <f aca="false">IF(D45=O40,P40,IF(D45=O41,P41,IF(D45=O42,P42,P43)))</f>
        <v>0</v>
      </c>
      <c r="F45" s="2168"/>
      <c r="G45" s="2347"/>
      <c r="H45" s="2450"/>
      <c r="I45" s="1865"/>
      <c r="J45" s="2468"/>
      <c r="L45" s="2483"/>
      <c r="S45" s="972"/>
    </row>
    <row r="46" customFormat="false" ht="15" hidden="false" customHeight="true" outlineLevel="0" collapsed="false">
      <c r="A46" s="2466"/>
      <c r="B46" s="972"/>
      <c r="C46" s="2484" t="s">
        <v>3131</v>
      </c>
      <c r="D46" s="972"/>
      <c r="E46" s="972"/>
      <c r="F46" s="2168"/>
      <c r="G46" s="2347"/>
      <c r="H46" s="2450"/>
      <c r="I46" s="2481"/>
      <c r="J46" s="2468"/>
      <c r="N46" s="1949"/>
    </row>
    <row r="47" customFormat="false" ht="12.75" hidden="false" customHeight="true" outlineLevel="0" collapsed="false">
      <c r="A47" s="2466"/>
      <c r="B47" s="972"/>
      <c r="C47" s="2485" t="s">
        <v>3132</v>
      </c>
      <c r="D47" s="2266" t="str">
        <f aca="false">'Saisie et Calculateur'!D1300</f>
        <v>non</v>
      </c>
      <c r="E47" s="2486" t="n">
        <f aca="false">IF(D47=R40,S40,S41)</f>
        <v>0</v>
      </c>
      <c r="F47" s="2168"/>
      <c r="G47" s="2347"/>
      <c r="H47" s="2450"/>
      <c r="I47" s="1865"/>
      <c r="J47" s="2468"/>
    </row>
    <row r="48" customFormat="false" ht="12.75" hidden="false" customHeight="true" outlineLevel="0" collapsed="false">
      <c r="A48" s="2466"/>
      <c r="B48" s="972"/>
      <c r="C48" s="972"/>
      <c r="D48" s="972"/>
      <c r="E48" s="972"/>
      <c r="F48" s="2208"/>
      <c r="G48" s="972"/>
      <c r="H48" s="972"/>
      <c r="I48" s="972"/>
      <c r="J48" s="2468"/>
    </row>
    <row r="49" customFormat="false" ht="12.75" hidden="false" customHeight="true" outlineLevel="0" collapsed="false">
      <c r="A49" s="2466"/>
      <c r="B49" s="972"/>
      <c r="C49" s="972"/>
      <c r="D49" s="972"/>
      <c r="E49" s="972"/>
      <c r="F49" s="2208"/>
      <c r="G49" s="972"/>
      <c r="H49" s="972"/>
      <c r="I49" s="972"/>
      <c r="J49" s="2468"/>
    </row>
    <row r="50" customFormat="false" ht="12.75" hidden="false" customHeight="true" outlineLevel="0" collapsed="false">
      <c r="A50" s="2466"/>
      <c r="B50" s="972" t="s">
        <v>840</v>
      </c>
      <c r="C50" s="2454" t="s">
        <v>3133</v>
      </c>
      <c r="D50" s="2454"/>
      <c r="E50" s="2454"/>
      <c r="F50" s="2454"/>
      <c r="G50" s="2454"/>
      <c r="H50" s="2455" t="s">
        <v>2866</v>
      </c>
      <c r="I50" s="2021"/>
      <c r="J50" s="2468"/>
      <c r="L50" s="1926" t="s">
        <v>3134</v>
      </c>
      <c r="M50" s="1926" t="s">
        <v>2772</v>
      </c>
    </row>
    <row r="51" customFormat="false" ht="12.75" hidden="false" customHeight="true" outlineLevel="0" collapsed="false">
      <c r="A51" s="2466"/>
      <c r="B51" s="972"/>
      <c r="C51" s="2118"/>
      <c r="D51" s="2118"/>
      <c r="E51" s="2200"/>
      <c r="F51" s="2458"/>
      <c r="G51" s="2118"/>
      <c r="H51" s="2118"/>
      <c r="I51" s="2118"/>
      <c r="J51" s="2468"/>
      <c r="L51" s="2121" t="n">
        <v>0.25</v>
      </c>
      <c r="M51" s="1926" t="n">
        <v>6</v>
      </c>
    </row>
    <row r="52" customFormat="false" ht="24.75" hidden="false" customHeight="true" outlineLevel="0" collapsed="false">
      <c r="A52" s="2466"/>
      <c r="B52" s="972"/>
      <c r="C52" s="2158" t="s">
        <v>2698</v>
      </c>
      <c r="D52" s="2158"/>
      <c r="E52" s="2158"/>
      <c r="F52" s="2158"/>
      <c r="G52" s="2120" t="s">
        <v>2699</v>
      </c>
      <c r="H52" s="1926" t="s">
        <v>2700</v>
      </c>
      <c r="I52" s="2118"/>
      <c r="J52" s="2468"/>
      <c r="L52" s="2121" t="n">
        <v>0.5</v>
      </c>
      <c r="M52" s="1926" t="n">
        <v>4</v>
      </c>
      <c r="N52" s="2351"/>
    </row>
    <row r="53" customFormat="false" ht="12.75" hidden="false" customHeight="true" outlineLevel="0" collapsed="false">
      <c r="A53" s="2466"/>
      <c r="B53" s="972"/>
      <c r="C53" s="2487" t="s">
        <v>3135</v>
      </c>
      <c r="D53" s="1983"/>
      <c r="E53" s="1983"/>
      <c r="F53" s="2426" t="n">
        <f aca="false">IF(E54&lt;0,0,IF(E54&lt;L51,M51,IF(E54&lt;L52,M52,IF(E54&lt;L53,M53,M54))))</f>
        <v>2</v>
      </c>
      <c r="G53" s="2347" t="n">
        <f aca="false">F53</f>
        <v>2</v>
      </c>
      <c r="H53" s="2450" t="n">
        <f aca="false">MIN(6,G53)</f>
        <v>2</v>
      </c>
      <c r="I53" s="1865"/>
      <c r="J53" s="2468"/>
      <c r="L53" s="2142" t="n">
        <v>1</v>
      </c>
      <c r="M53" s="1874" t="n">
        <v>2</v>
      </c>
      <c r="N53" s="2351"/>
      <c r="O53" s="972"/>
    </row>
    <row r="54" customFormat="false" ht="12.75" hidden="false" customHeight="true" outlineLevel="0" collapsed="false">
      <c r="A54" s="2466"/>
      <c r="B54" s="972"/>
      <c r="C54" s="2194"/>
      <c r="D54" s="2384" t="s">
        <v>1110</v>
      </c>
      <c r="E54" s="2233" t="n">
        <f aca="false">'Saisie et Calculateur'!D1305</f>
        <v>0.519848285860481</v>
      </c>
      <c r="F54" s="2426"/>
      <c r="G54" s="2347"/>
      <c r="H54" s="2450"/>
      <c r="I54" s="1865"/>
      <c r="J54" s="2468"/>
      <c r="L54" s="2121"/>
      <c r="M54" s="1926" t="n">
        <v>0</v>
      </c>
      <c r="N54" s="2351"/>
    </row>
    <row r="55" customFormat="false" ht="12.75" hidden="false" customHeight="true" outlineLevel="0" collapsed="false">
      <c r="A55" s="2466"/>
      <c r="B55" s="972"/>
      <c r="C55" s="972"/>
      <c r="D55" s="972"/>
      <c r="E55" s="972"/>
      <c r="F55" s="2208"/>
      <c r="G55" s="972"/>
      <c r="H55" s="972"/>
      <c r="I55" s="972"/>
      <c r="J55" s="2468"/>
    </row>
    <row r="56" customFormat="false" ht="12.75" hidden="false" customHeight="true" outlineLevel="0" collapsed="false">
      <c r="A56" s="2466"/>
      <c r="B56" s="972"/>
      <c r="C56" s="972"/>
      <c r="D56" s="972"/>
      <c r="E56" s="972"/>
      <c r="F56" s="2208"/>
      <c r="G56" s="972"/>
      <c r="H56" s="972"/>
      <c r="I56" s="972"/>
      <c r="J56" s="2468"/>
    </row>
    <row r="57" customFormat="false" ht="15" hidden="false" customHeight="true" outlineLevel="0" collapsed="false">
      <c r="A57" s="2466"/>
      <c r="B57" s="972" t="s">
        <v>862</v>
      </c>
      <c r="C57" s="2454" t="s">
        <v>3136</v>
      </c>
      <c r="D57" s="2454"/>
      <c r="E57" s="2454"/>
      <c r="F57" s="2454"/>
      <c r="G57" s="2454"/>
      <c r="H57" s="2455" t="s">
        <v>2851</v>
      </c>
      <c r="I57" s="2488"/>
      <c r="J57" s="2468"/>
      <c r="L57" s="2419"/>
    </row>
    <row r="58" customFormat="false" ht="12.75" hidden="false" customHeight="true" outlineLevel="0" collapsed="false">
      <c r="A58" s="2466"/>
      <c r="B58" s="972"/>
      <c r="C58" s="972"/>
      <c r="D58" s="972"/>
      <c r="E58" s="972"/>
      <c r="F58" s="2208"/>
      <c r="G58" s="972"/>
      <c r="H58" s="972"/>
      <c r="I58" s="972"/>
      <c r="J58" s="2468"/>
    </row>
    <row r="59" customFormat="false" ht="27.75" hidden="false" customHeight="true" outlineLevel="0" collapsed="false">
      <c r="A59" s="2466"/>
      <c r="B59" s="972"/>
      <c r="C59" s="2158" t="s">
        <v>2698</v>
      </c>
      <c r="D59" s="2158"/>
      <c r="E59" s="2158"/>
      <c r="F59" s="2158"/>
      <c r="G59" s="2120" t="s">
        <v>2699</v>
      </c>
      <c r="H59" s="1926" t="s">
        <v>2700</v>
      </c>
      <c r="I59" s="2118"/>
      <c r="J59" s="2468"/>
      <c r="L59" s="2476" t="s">
        <v>3137</v>
      </c>
      <c r="M59" s="1926" t="s">
        <v>2772</v>
      </c>
    </row>
    <row r="60" customFormat="false" ht="15" hidden="false" customHeight="true" outlineLevel="0" collapsed="false">
      <c r="A60" s="2466"/>
      <c r="B60" s="972"/>
      <c r="C60" s="2462" t="s">
        <v>3138</v>
      </c>
      <c r="D60" s="1983"/>
      <c r="E60" s="1983"/>
      <c r="F60" s="2256" t="n">
        <f aca="false">IF(E61=L60,M60,M61)</f>
        <v>4</v>
      </c>
      <c r="G60" s="2347" t="n">
        <f aca="false">F60</f>
        <v>4</v>
      </c>
      <c r="H60" s="2450" t="n">
        <f aca="false">MIN(4,G60)</f>
        <v>4</v>
      </c>
      <c r="I60" s="1865"/>
      <c r="J60" s="2468"/>
      <c r="L60" s="2120" t="s">
        <v>242</v>
      </c>
      <c r="M60" s="2120" t="n">
        <v>4</v>
      </c>
      <c r="N60" s="1949"/>
    </row>
    <row r="61" customFormat="false" ht="15" hidden="false" customHeight="true" outlineLevel="0" collapsed="false">
      <c r="A61" s="2466"/>
      <c r="B61" s="972"/>
      <c r="C61" s="2194"/>
      <c r="D61" s="2489" t="s">
        <v>2720</v>
      </c>
      <c r="E61" s="2474" t="str">
        <f aca="false">'Saisie et Calculateur'!D1310</f>
        <v>oui</v>
      </c>
      <c r="F61" s="2256"/>
      <c r="G61" s="2347"/>
      <c r="H61" s="2450"/>
      <c r="I61" s="1865"/>
      <c r="J61" s="2468"/>
      <c r="L61" s="2364" t="s">
        <v>243</v>
      </c>
      <c r="M61" s="2364" t="n">
        <v>0</v>
      </c>
    </row>
    <row r="62" customFormat="false" ht="13.5" hidden="false" customHeight="true" outlineLevel="0" collapsed="false">
      <c r="A62" s="2466"/>
      <c r="B62" s="2248"/>
      <c r="C62" s="2248"/>
      <c r="D62" s="2248"/>
      <c r="E62" s="2248"/>
      <c r="F62" s="2465"/>
      <c r="G62" s="2248"/>
      <c r="H62" s="2248"/>
      <c r="I62" s="2248"/>
      <c r="J62" s="2468"/>
    </row>
    <row r="63" customFormat="false" ht="15" hidden="false" customHeight="true" outlineLevel="0" collapsed="false"/>
    <row r="64" customFormat="false" ht="13.5" hidden="false" customHeight="true" outlineLevel="0" collapsed="false">
      <c r="A64" s="2490" t="s">
        <v>3139</v>
      </c>
      <c r="B64" s="2221" t="s">
        <v>856</v>
      </c>
      <c r="C64" s="2446" t="s">
        <v>3140</v>
      </c>
      <c r="D64" s="2446"/>
      <c r="E64" s="2446"/>
      <c r="F64" s="2446"/>
      <c r="G64" s="2446"/>
      <c r="H64" s="2447" t="s">
        <v>3141</v>
      </c>
      <c r="I64" s="2467"/>
      <c r="J64" s="2491" t="n">
        <f aca="false">MIN(20,SUM(H67,H76))</f>
        <v>10</v>
      </c>
      <c r="L64" s="2016"/>
    </row>
    <row r="65" customFormat="false" ht="12" hidden="false" customHeight="true" outlineLevel="0" collapsed="false">
      <c r="A65" s="2490"/>
      <c r="B65" s="972"/>
      <c r="C65" s="972"/>
      <c r="D65" s="972"/>
      <c r="E65" s="972"/>
      <c r="F65" s="2208"/>
      <c r="G65" s="972"/>
      <c r="H65" s="972"/>
      <c r="I65" s="972"/>
      <c r="J65" s="2491"/>
      <c r="L65" s="1675" t="s">
        <v>3142</v>
      </c>
      <c r="M65" s="1675"/>
      <c r="O65" s="2492"/>
      <c r="P65" s="2493"/>
      <c r="Q65" s="2494" t="s">
        <v>3143</v>
      </c>
      <c r="R65" s="2494"/>
      <c r="S65" s="2494"/>
      <c r="T65" s="2494"/>
      <c r="U65" s="2494"/>
    </row>
    <row r="66" customFormat="false" ht="26.25" hidden="false" customHeight="true" outlineLevel="0" collapsed="false">
      <c r="A66" s="2490"/>
      <c r="B66" s="972"/>
      <c r="C66" s="2158" t="s">
        <v>2698</v>
      </c>
      <c r="D66" s="2158"/>
      <c r="E66" s="2158"/>
      <c r="F66" s="2158"/>
      <c r="G66" s="2120" t="s">
        <v>2699</v>
      </c>
      <c r="H66" s="1926" t="s">
        <v>2700</v>
      </c>
      <c r="I66" s="2200"/>
      <c r="J66" s="2491"/>
      <c r="L66" s="2495" t="n">
        <f aca="false">E68</f>
        <v>569018.5</v>
      </c>
      <c r="M66" s="2495" t="n">
        <f aca="false">IF(L66&lt;=P67,P67,IF(L66&lt;=P68,P68,IF(L66&lt;=P69,P69,IF(L66&lt;=P70,P70,P71))))</f>
        <v>999999</v>
      </c>
      <c r="O66" s="2496"/>
      <c r="P66" s="2493"/>
      <c r="Q66" s="2497" t="n">
        <v>10000</v>
      </c>
      <c r="R66" s="2498" t="n">
        <v>25000</v>
      </c>
      <c r="S66" s="2498" t="n">
        <v>45000</v>
      </c>
      <c r="T66" s="2498" t="n">
        <v>70000</v>
      </c>
      <c r="U66" s="2499"/>
    </row>
    <row r="67" customFormat="false" ht="15" hidden="false" customHeight="true" outlineLevel="0" collapsed="false">
      <c r="A67" s="2490"/>
      <c r="B67" s="972"/>
      <c r="C67" s="2174" t="s">
        <v>3144</v>
      </c>
      <c r="D67" s="2174"/>
      <c r="E67" s="2174"/>
      <c r="F67" s="2256" t="n">
        <f aca="false">VLOOKUP(M66,P67:U71,M68,0)</f>
        <v>4</v>
      </c>
      <c r="G67" s="2347" t="n">
        <f aca="false">F67</f>
        <v>4</v>
      </c>
      <c r="H67" s="2450" t="n">
        <f aca="false">MIN(15,G67)</f>
        <v>4</v>
      </c>
      <c r="I67" s="1865"/>
      <c r="J67" s="2491"/>
      <c r="L67" s="1675" t="s">
        <v>3145</v>
      </c>
      <c r="M67" s="1675"/>
      <c r="O67" s="2500" t="s">
        <v>3146</v>
      </c>
      <c r="P67" s="2501" t="n">
        <v>50000</v>
      </c>
      <c r="Q67" s="2502" t="n">
        <v>0</v>
      </c>
      <c r="R67" s="2503" t="n">
        <v>10</v>
      </c>
      <c r="S67" s="2504" t="n">
        <v>15</v>
      </c>
      <c r="T67" s="2504" t="n">
        <v>15</v>
      </c>
      <c r="U67" s="2504" t="n">
        <v>15</v>
      </c>
    </row>
    <row r="68" customFormat="false" ht="15" hidden="false" customHeight="true" outlineLevel="0" collapsed="false">
      <c r="A68" s="2490"/>
      <c r="B68" s="972"/>
      <c r="C68" s="2129"/>
      <c r="D68" s="675" t="s">
        <v>1622</v>
      </c>
      <c r="E68" s="2482" t="n">
        <f aca="false">'Saisie et Calculateur'!D1315</f>
        <v>569018.5</v>
      </c>
      <c r="F68" s="2256"/>
      <c r="G68" s="2347"/>
      <c r="H68" s="2450"/>
      <c r="I68" s="1865"/>
      <c r="J68" s="2491"/>
      <c r="L68" s="2505" t="n">
        <f aca="false">E70</f>
        <v>58630</v>
      </c>
      <c r="M68" s="1857" t="n">
        <f aca="false">IF(L68&lt;=Q66,2,IF(L68&lt;=R66,3,IF(L68&lt;=S66,4,IF(L68&lt;=T66,5,6))))</f>
        <v>5</v>
      </c>
      <c r="O68" s="2500"/>
      <c r="P68" s="2506" t="n">
        <v>100000</v>
      </c>
      <c r="Q68" s="2502" t="n">
        <v>0</v>
      </c>
      <c r="R68" s="2507" t="n">
        <v>8</v>
      </c>
      <c r="S68" s="2508" t="n">
        <v>12</v>
      </c>
      <c r="T68" s="2504" t="n">
        <v>15</v>
      </c>
      <c r="U68" s="2504" t="n">
        <v>15</v>
      </c>
    </row>
    <row r="69" customFormat="false" ht="15.75" hidden="false" customHeight="true" outlineLevel="0" collapsed="false">
      <c r="A69" s="2490"/>
      <c r="B69" s="972"/>
      <c r="C69" s="2143" t="s">
        <v>3147</v>
      </c>
      <c r="D69" s="2143"/>
      <c r="E69" s="2143"/>
      <c r="F69" s="2256"/>
      <c r="G69" s="2347"/>
      <c r="H69" s="2450"/>
      <c r="I69" s="1865"/>
      <c r="J69" s="2491"/>
      <c r="O69" s="2500"/>
      <c r="P69" s="2506" t="n">
        <v>200000</v>
      </c>
      <c r="Q69" s="2502" t="n">
        <v>0</v>
      </c>
      <c r="R69" s="2509" t="n">
        <v>6</v>
      </c>
      <c r="S69" s="2507" t="n">
        <v>8</v>
      </c>
      <c r="T69" s="2508" t="n">
        <v>12</v>
      </c>
      <c r="U69" s="2504" t="n">
        <v>15</v>
      </c>
    </row>
    <row r="70" customFormat="false" ht="15" hidden="false" customHeight="true" outlineLevel="0" collapsed="false">
      <c r="A70" s="2490"/>
      <c r="B70" s="972"/>
      <c r="C70" s="2194"/>
      <c r="D70" s="2384" t="s">
        <v>1622</v>
      </c>
      <c r="E70" s="2510" t="n">
        <f aca="false">'Saisie et Calculateur'!D1317</f>
        <v>58630</v>
      </c>
      <c r="F70" s="2256"/>
      <c r="G70" s="2347"/>
      <c r="H70" s="2450"/>
      <c r="I70" s="1865"/>
      <c r="J70" s="2491"/>
      <c r="O70" s="2500"/>
      <c r="P70" s="2511" t="n">
        <v>300000</v>
      </c>
      <c r="Q70" s="2502" t="n">
        <v>0</v>
      </c>
      <c r="R70" s="2512" t="n">
        <v>2</v>
      </c>
      <c r="S70" s="2513" t="n">
        <v>4</v>
      </c>
      <c r="T70" s="2509" t="n">
        <v>6</v>
      </c>
      <c r="U70" s="2503" t="n">
        <v>10</v>
      </c>
    </row>
    <row r="71" customFormat="false" ht="15.75" hidden="false" customHeight="true" outlineLevel="0" collapsed="false">
      <c r="A71" s="2490"/>
      <c r="B71" s="972"/>
      <c r="C71" s="972"/>
      <c r="D71" s="972"/>
      <c r="E71" s="972"/>
      <c r="F71" s="2514"/>
      <c r="G71" s="972"/>
      <c r="H71" s="972"/>
      <c r="I71" s="972"/>
      <c r="J71" s="2491"/>
      <c r="O71" s="2500"/>
      <c r="P71" s="2515" t="n">
        <v>999999</v>
      </c>
      <c r="Q71" s="2502" t="n">
        <v>0</v>
      </c>
      <c r="R71" s="2516" t="n">
        <v>0</v>
      </c>
      <c r="S71" s="2517" t="n">
        <v>2</v>
      </c>
      <c r="T71" s="2518" t="n">
        <v>4</v>
      </c>
      <c r="U71" s="2519" t="n">
        <v>6</v>
      </c>
    </row>
    <row r="72" customFormat="false" ht="13.5" hidden="false" customHeight="true" outlineLevel="0" collapsed="false">
      <c r="A72" s="2490"/>
      <c r="B72" s="972"/>
      <c r="C72" s="972"/>
      <c r="D72" s="972"/>
      <c r="E72" s="972"/>
      <c r="F72" s="2208"/>
      <c r="G72" s="972"/>
      <c r="H72" s="972"/>
      <c r="I72" s="972"/>
      <c r="J72" s="2491"/>
      <c r="L72" s="2118"/>
      <c r="M72" s="2118"/>
      <c r="N72" s="2118"/>
      <c r="O72" s="2118"/>
      <c r="Q72" s="2277"/>
      <c r="U72" s="1416"/>
    </row>
    <row r="73" customFormat="false" ht="13.5" hidden="false" customHeight="true" outlineLevel="0" collapsed="false">
      <c r="A73" s="2490"/>
      <c r="B73" s="972" t="s">
        <v>866</v>
      </c>
      <c r="C73" s="2454" t="s">
        <v>3148</v>
      </c>
      <c r="D73" s="2454"/>
      <c r="E73" s="2454"/>
      <c r="F73" s="2454"/>
      <c r="G73" s="2454"/>
      <c r="H73" s="2455" t="s">
        <v>2790</v>
      </c>
      <c r="I73" s="2021"/>
      <c r="J73" s="2491"/>
    </row>
    <row r="74" customFormat="false" ht="13.5" hidden="false" customHeight="true" outlineLevel="0" collapsed="false">
      <c r="A74" s="2490"/>
      <c r="B74" s="972"/>
      <c r="C74" s="972"/>
      <c r="D74" s="972"/>
      <c r="E74" s="972"/>
      <c r="F74" s="2208"/>
      <c r="G74" s="972"/>
      <c r="H74" s="972"/>
      <c r="I74" s="972"/>
      <c r="J74" s="2491"/>
      <c r="L74" s="1926" t="s">
        <v>3149</v>
      </c>
      <c r="M74" s="1926"/>
      <c r="N74" s="1926"/>
      <c r="O74" s="2477" t="s">
        <v>2772</v>
      </c>
    </row>
    <row r="75" customFormat="false" ht="27.75" hidden="false" customHeight="true" outlineLevel="0" collapsed="false">
      <c r="A75" s="2490"/>
      <c r="B75" s="972"/>
      <c r="C75" s="2158" t="s">
        <v>2698</v>
      </c>
      <c r="D75" s="2158"/>
      <c r="E75" s="2158"/>
      <c r="F75" s="2158"/>
      <c r="G75" s="2120" t="s">
        <v>2699</v>
      </c>
      <c r="H75" s="1926" t="s">
        <v>2700</v>
      </c>
      <c r="I75" s="2200"/>
      <c r="J75" s="2491"/>
      <c r="L75" s="1619" t="s">
        <v>868</v>
      </c>
      <c r="M75" s="1619"/>
      <c r="N75" s="1619"/>
      <c r="O75" s="1861" t="n">
        <v>5</v>
      </c>
      <c r="Q75" s="1861"/>
      <c r="R75" s="2429" t="s">
        <v>3150</v>
      </c>
      <c r="S75" s="2429" t="s">
        <v>3151</v>
      </c>
      <c r="U75" s="1861"/>
      <c r="V75" s="2429" t="s">
        <v>3152</v>
      </c>
    </row>
    <row r="76" customFormat="false" ht="13.5" hidden="false" customHeight="true" outlineLevel="0" collapsed="false">
      <c r="A76" s="2490"/>
      <c r="B76" s="972"/>
      <c r="C76" s="2462" t="s">
        <v>3153</v>
      </c>
      <c r="D76" s="1983"/>
      <c r="E76" s="1983"/>
      <c r="F76" s="2125" t="n">
        <f aca="false">IF(E77=L75,O75,IF(E77=L76,O76,IF(E77=L77,O77,O78)))</f>
        <v>3</v>
      </c>
      <c r="G76" s="2347" t="n">
        <f aca="false">F76+F79</f>
        <v>6</v>
      </c>
      <c r="H76" s="2450" t="n">
        <f aca="false">MIN(8,G76)</f>
        <v>6</v>
      </c>
      <c r="I76" s="2481"/>
      <c r="J76" s="2491"/>
      <c r="L76" s="1619" t="s">
        <v>869</v>
      </c>
      <c r="M76" s="1619"/>
      <c r="N76" s="1619"/>
      <c r="O76" s="1861" t="n">
        <v>3</v>
      </c>
      <c r="Q76" s="1861" t="s">
        <v>242</v>
      </c>
      <c r="R76" s="1861" t="n">
        <v>2</v>
      </c>
      <c r="S76" s="1861" t="n">
        <v>1</v>
      </c>
      <c r="U76" s="1861" t="s">
        <v>877</v>
      </c>
      <c r="V76" s="1861" t="n">
        <v>0</v>
      </c>
    </row>
    <row r="77" customFormat="false" ht="13.5" hidden="false" customHeight="true" outlineLevel="0" collapsed="false">
      <c r="A77" s="2490"/>
      <c r="B77" s="972"/>
      <c r="C77" s="2129"/>
      <c r="D77" s="972"/>
      <c r="E77" s="2161" t="str">
        <f aca="false">'Saisie et Calculateur'!D1322</f>
        <v>Existence probable</v>
      </c>
      <c r="F77" s="2125"/>
      <c r="G77" s="2347"/>
      <c r="H77" s="2450"/>
      <c r="I77" s="1865"/>
      <c r="J77" s="2491"/>
      <c r="L77" s="1619" t="s">
        <v>870</v>
      </c>
      <c r="M77" s="1619"/>
      <c r="N77" s="1619"/>
      <c r="O77" s="1861" t="n">
        <v>1</v>
      </c>
      <c r="Q77" s="1861" t="s">
        <v>243</v>
      </c>
      <c r="R77" s="1861" t="n">
        <v>0</v>
      </c>
      <c r="S77" s="1861" t="n">
        <v>0</v>
      </c>
      <c r="U77" s="1861" t="s">
        <v>879</v>
      </c>
      <c r="V77" s="1861" t="n">
        <v>1</v>
      </c>
    </row>
    <row r="78" customFormat="false" ht="13.5" hidden="false" customHeight="true" outlineLevel="0" collapsed="false">
      <c r="A78" s="2490"/>
      <c r="B78" s="972"/>
      <c r="C78" s="2129"/>
      <c r="D78" s="972"/>
      <c r="E78" s="972"/>
      <c r="F78" s="2125"/>
      <c r="G78" s="2347"/>
      <c r="H78" s="2450"/>
      <c r="I78" s="1865"/>
      <c r="J78" s="2491"/>
      <c r="L78" s="1619" t="s">
        <v>3154</v>
      </c>
      <c r="M78" s="1619"/>
      <c r="N78" s="1619"/>
      <c r="O78" s="1861" t="n">
        <v>0</v>
      </c>
      <c r="U78" s="1861" t="s">
        <v>881</v>
      </c>
      <c r="V78" s="1861" t="n">
        <v>2</v>
      </c>
    </row>
    <row r="79" customFormat="false" ht="13.5" hidden="false" customHeight="true" outlineLevel="0" collapsed="false">
      <c r="A79" s="2490"/>
      <c r="B79" s="972"/>
      <c r="C79" s="2129" t="s">
        <v>3155</v>
      </c>
      <c r="D79" s="972"/>
      <c r="E79" s="972"/>
      <c r="F79" s="2520" t="n">
        <f aca="false">MIN(3,F82+F81+F80)</f>
        <v>3</v>
      </c>
      <c r="G79" s="2347"/>
      <c r="H79" s="2450"/>
      <c r="I79" s="1865"/>
      <c r="J79" s="2491"/>
    </row>
    <row r="80" customFormat="false" ht="13.5" hidden="false" customHeight="true" outlineLevel="0" collapsed="false">
      <c r="A80" s="2490"/>
      <c r="B80" s="972"/>
      <c r="C80" s="2129" t="s">
        <v>3156</v>
      </c>
      <c r="D80" s="972"/>
      <c r="E80" s="2161" t="str">
        <f aca="false">'Saisie et Calculateur'!D1325</f>
        <v>oui</v>
      </c>
      <c r="F80" s="2521" t="n">
        <f aca="false">IF(E80=Q76,R76,R77)</f>
        <v>2</v>
      </c>
      <c r="G80" s="2347"/>
      <c r="H80" s="2450"/>
      <c r="I80" s="1865"/>
      <c r="J80" s="2491"/>
    </row>
    <row r="81" customFormat="false" ht="13.5" hidden="false" customHeight="true" outlineLevel="0" collapsed="false">
      <c r="A81" s="2490"/>
      <c r="B81" s="972"/>
      <c r="C81" s="2129" t="s">
        <v>3157</v>
      </c>
      <c r="D81" s="972"/>
      <c r="E81" s="2161" t="str">
        <f aca="false">'Saisie et Calculateur'!D1328</f>
        <v>oui</v>
      </c>
      <c r="F81" s="2521" t="n">
        <f aca="false">IF(E81=Q76,S76,S77)</f>
        <v>1</v>
      </c>
      <c r="G81" s="2347"/>
      <c r="H81" s="2450"/>
      <c r="I81" s="1865"/>
      <c r="J81" s="2491"/>
    </row>
    <row r="82" customFormat="false" ht="13.5" hidden="false" customHeight="true" outlineLevel="0" collapsed="false">
      <c r="A82" s="2490"/>
      <c r="B82" s="972"/>
      <c r="C82" s="2194" t="s">
        <v>3158</v>
      </c>
      <c r="D82" s="2148"/>
      <c r="E82" s="2266" t="str">
        <f aca="false">'Saisie et Calculateur'!D1331</f>
        <v>Normale</v>
      </c>
      <c r="F82" s="2522" t="n">
        <f aca="false">IF(E82=U78,V78,IF(E82=U77,V77,V76))</f>
        <v>1</v>
      </c>
      <c r="G82" s="2347"/>
      <c r="H82" s="2450"/>
      <c r="I82" s="1865"/>
      <c r="J82" s="2491"/>
    </row>
    <row r="83" customFormat="false" ht="13.5" hidden="false" customHeight="true" outlineLevel="0" collapsed="false">
      <c r="A83" s="2490"/>
      <c r="B83" s="2248"/>
      <c r="C83" s="2248"/>
      <c r="D83" s="2248"/>
      <c r="E83" s="2248"/>
      <c r="F83" s="2465"/>
      <c r="G83" s="2248"/>
      <c r="H83" s="2248"/>
      <c r="I83" s="2248"/>
      <c r="J83" s="2491"/>
    </row>
    <row r="84" customFormat="false" ht="13.5" hidden="false" customHeight="true" outlineLevel="0" collapsed="false">
      <c r="L84" s="1926" t="s">
        <v>3159</v>
      </c>
      <c r="M84" s="1926" t="s">
        <v>2732</v>
      </c>
    </row>
    <row r="85" customFormat="false" ht="13.5" hidden="false" customHeight="true" outlineLevel="0" collapsed="false">
      <c r="A85" s="2523" t="s">
        <v>3160</v>
      </c>
      <c r="B85" s="2111" t="s">
        <v>815</v>
      </c>
      <c r="C85" s="2446" t="s">
        <v>3161</v>
      </c>
      <c r="D85" s="2446"/>
      <c r="E85" s="2446"/>
      <c r="F85" s="2446"/>
      <c r="G85" s="2446"/>
      <c r="H85" s="2447" t="s">
        <v>3106</v>
      </c>
      <c r="I85" s="2524"/>
      <c r="J85" s="2525" t="n">
        <f aca="false">MIN(20,SUM(H88,H96))</f>
        <v>8</v>
      </c>
      <c r="L85" s="2526" t="n">
        <v>0.1</v>
      </c>
      <c r="M85" s="1926" t="n">
        <v>0</v>
      </c>
    </row>
    <row r="86" customFormat="false" ht="14" hidden="false" customHeight="true" outlineLevel="0" collapsed="false">
      <c r="A86" s="2523"/>
      <c r="B86" s="2116"/>
      <c r="C86" s="972"/>
      <c r="D86" s="972"/>
      <c r="E86" s="972"/>
      <c r="F86" s="2208"/>
      <c r="G86" s="972"/>
      <c r="H86" s="972"/>
      <c r="I86" s="2117"/>
      <c r="J86" s="2525"/>
      <c r="L86" s="2526" t="n">
        <v>0.2</v>
      </c>
      <c r="M86" s="1926" t="n">
        <v>2</v>
      </c>
    </row>
    <row r="87" customFormat="false" ht="27" hidden="false" customHeight="true" outlineLevel="0" collapsed="false">
      <c r="A87" s="2523"/>
      <c r="B87" s="2116"/>
      <c r="C87" s="2158" t="s">
        <v>2698</v>
      </c>
      <c r="D87" s="2158"/>
      <c r="E87" s="2158"/>
      <c r="F87" s="2158"/>
      <c r="G87" s="2120" t="s">
        <v>2699</v>
      </c>
      <c r="H87" s="1926" t="s">
        <v>2700</v>
      </c>
      <c r="I87" s="2527"/>
      <c r="J87" s="2525"/>
      <c r="L87" s="2526" t="n">
        <v>0.3</v>
      </c>
      <c r="M87" s="1926" t="n">
        <v>4</v>
      </c>
      <c r="O87" s="2351"/>
    </row>
    <row r="88" customFormat="false" ht="15" hidden="false" customHeight="true" outlineLevel="0" collapsed="false">
      <c r="A88" s="2523"/>
      <c r="B88" s="2116"/>
      <c r="C88" s="2462" t="s">
        <v>3162</v>
      </c>
      <c r="D88" s="1983"/>
      <c r="E88" s="1983"/>
      <c r="F88" s="2528" t="n">
        <f aca="false">IF(E89&gt;=L90,M91,IF(E89&gt;=L89,M90,IF(E89&gt;=L88,M89,IF(E89&gt;=L87,M88,IF(E89&gt;=L86,M87,IF(E89&gt;=L85,M86,M85))))))</f>
        <v>2</v>
      </c>
      <c r="G88" s="2347" t="n">
        <f aca="false">F88</f>
        <v>2</v>
      </c>
      <c r="H88" s="2450" t="n">
        <f aca="false">MIN(12,G88)</f>
        <v>2</v>
      </c>
      <c r="I88" s="2529"/>
      <c r="J88" s="2525"/>
      <c r="L88" s="2526" t="n">
        <v>0.4</v>
      </c>
      <c r="M88" s="1926" t="n">
        <v>6</v>
      </c>
      <c r="O88" s="2351"/>
    </row>
    <row r="89" customFormat="false" ht="13.5" hidden="false" customHeight="true" outlineLevel="0" collapsed="false">
      <c r="A89" s="2523"/>
      <c r="B89" s="2116"/>
      <c r="C89" s="2194"/>
      <c r="D89" s="2384" t="s">
        <v>3163</v>
      </c>
      <c r="E89" s="2530" t="n">
        <f aca="false">'Saisie et Calculateur'!D1339</f>
        <v>0.182117400172127</v>
      </c>
      <c r="F89" s="2528"/>
      <c r="G89" s="2347"/>
      <c r="H89" s="2450"/>
      <c r="I89" s="2529"/>
      <c r="J89" s="2525"/>
      <c r="L89" s="2526" t="n">
        <v>0.5</v>
      </c>
      <c r="M89" s="1926" t="n">
        <v>8</v>
      </c>
      <c r="O89" s="2351"/>
    </row>
    <row r="90" customFormat="false" ht="13.5" hidden="false" customHeight="true" outlineLevel="0" collapsed="false">
      <c r="A90" s="2523"/>
      <c r="B90" s="2116"/>
      <c r="C90" s="972"/>
      <c r="D90" s="972"/>
      <c r="E90" s="972"/>
      <c r="F90" s="2208"/>
      <c r="G90" s="972"/>
      <c r="H90" s="972"/>
      <c r="I90" s="2117"/>
      <c r="J90" s="2525"/>
      <c r="L90" s="2531" t="n">
        <v>0.6</v>
      </c>
      <c r="M90" s="2120" t="n">
        <v>10</v>
      </c>
      <c r="O90" s="2351"/>
    </row>
    <row r="91" customFormat="false" ht="15" hidden="false" customHeight="true" outlineLevel="0" collapsed="false">
      <c r="A91" s="2523"/>
      <c r="B91" s="2116"/>
      <c r="C91" s="972"/>
      <c r="D91" s="972"/>
      <c r="E91" s="972"/>
      <c r="F91" s="2208"/>
      <c r="G91" s="972"/>
      <c r="H91" s="972"/>
      <c r="I91" s="2117"/>
      <c r="J91" s="2525"/>
      <c r="L91" s="2526"/>
      <c r="M91" s="2452" t="n">
        <v>12</v>
      </c>
      <c r="O91" s="2351"/>
    </row>
    <row r="92" customFormat="false" ht="13.5" hidden="false" customHeight="true" outlineLevel="0" collapsed="false">
      <c r="A92" s="2523"/>
      <c r="B92" s="2116"/>
      <c r="C92" s="972"/>
      <c r="D92" s="972"/>
      <c r="E92" s="972"/>
      <c r="F92" s="2208"/>
      <c r="G92" s="972"/>
      <c r="H92" s="972"/>
      <c r="I92" s="2117"/>
      <c r="J92" s="2525"/>
      <c r="L92" s="2189"/>
      <c r="M92" s="2452"/>
      <c r="O92" s="2351"/>
    </row>
    <row r="93" customFormat="false" ht="13.5" hidden="false" customHeight="true" outlineLevel="0" collapsed="false">
      <c r="A93" s="2523"/>
      <c r="B93" s="2116" t="s">
        <v>822</v>
      </c>
      <c r="C93" s="2454" t="s">
        <v>3164</v>
      </c>
      <c r="D93" s="2454"/>
      <c r="E93" s="2454"/>
      <c r="F93" s="2454"/>
      <c r="G93" s="2454"/>
      <c r="H93" s="2455" t="s">
        <v>2790</v>
      </c>
      <c r="I93" s="2532"/>
      <c r="J93" s="2525"/>
      <c r="M93" s="1846"/>
      <c r="O93" s="2351"/>
    </row>
    <row r="94" customFormat="false" ht="14" hidden="false" customHeight="true" outlineLevel="0" collapsed="false">
      <c r="A94" s="2523"/>
      <c r="B94" s="2116"/>
      <c r="C94" s="972"/>
      <c r="D94" s="972"/>
      <c r="E94" s="972"/>
      <c r="F94" s="2208"/>
      <c r="G94" s="972"/>
      <c r="H94" s="972"/>
      <c r="I94" s="2117"/>
      <c r="J94" s="2525"/>
      <c r="L94" s="1926" t="s">
        <v>3165</v>
      </c>
      <c r="M94" s="1926"/>
      <c r="N94" s="1926" t="s">
        <v>2772</v>
      </c>
      <c r="O94" s="2351"/>
    </row>
    <row r="95" customFormat="false" ht="27" hidden="false" customHeight="true" outlineLevel="0" collapsed="false">
      <c r="A95" s="2523"/>
      <c r="B95" s="2116"/>
      <c r="C95" s="2119" t="s">
        <v>2698</v>
      </c>
      <c r="D95" s="2119"/>
      <c r="E95" s="2119"/>
      <c r="F95" s="2119"/>
      <c r="G95" s="2120" t="s">
        <v>2699</v>
      </c>
      <c r="H95" s="2120" t="s">
        <v>2700</v>
      </c>
      <c r="I95" s="2527"/>
      <c r="J95" s="2525"/>
      <c r="L95" s="1926" t="n">
        <v>400</v>
      </c>
      <c r="M95" s="1926"/>
      <c r="N95" s="1926" t="n">
        <v>8</v>
      </c>
      <c r="O95" s="2351"/>
    </row>
    <row r="96" customFormat="false" ht="14" hidden="false" customHeight="true" outlineLevel="0" collapsed="false">
      <c r="A96" s="2523"/>
      <c r="B96" s="2116"/>
      <c r="C96" s="2462" t="s">
        <v>3166</v>
      </c>
      <c r="D96" s="1983"/>
      <c r="E96" s="1983"/>
      <c r="F96" s="2528" t="n">
        <f aca="false">IF(E97&lt;L95,N95,IF(E97&lt;L96,N96,IF(E97&lt;L97,N97,IF(E97&lt;L98,N98,N99))))</f>
        <v>6</v>
      </c>
      <c r="G96" s="2347" t="n">
        <f aca="false">F96</f>
        <v>6</v>
      </c>
      <c r="H96" s="2450" t="n">
        <f aca="false">MIN(8,G96)</f>
        <v>6</v>
      </c>
      <c r="I96" s="2529"/>
      <c r="J96" s="2525"/>
      <c r="L96" s="1926" t="n">
        <v>600</v>
      </c>
      <c r="M96" s="1926"/>
      <c r="N96" s="1926" t="n">
        <v>6</v>
      </c>
      <c r="O96" s="2351"/>
    </row>
    <row r="97" customFormat="false" ht="14" hidden="false" customHeight="true" outlineLevel="0" collapsed="false">
      <c r="A97" s="2523"/>
      <c r="B97" s="2116"/>
      <c r="C97" s="2194"/>
      <c r="D97" s="2148" t="s">
        <v>3167</v>
      </c>
      <c r="E97" s="2533" t="n">
        <f aca="false">'Saisie et Calculateur'!D1344</f>
        <v>531.096861851333</v>
      </c>
      <c r="F97" s="2528"/>
      <c r="G97" s="2347"/>
      <c r="H97" s="2450"/>
      <c r="I97" s="2529"/>
      <c r="J97" s="2525"/>
      <c r="L97" s="1926" t="n">
        <v>700</v>
      </c>
      <c r="M97" s="1926"/>
      <c r="N97" s="1926" t="n">
        <v>4</v>
      </c>
      <c r="O97" s="2351"/>
    </row>
    <row r="98" customFormat="false" ht="14" hidden="false" customHeight="true" outlineLevel="0" collapsed="false">
      <c r="A98" s="2523"/>
      <c r="B98" s="2246"/>
      <c r="C98" s="2534"/>
      <c r="D98" s="2534"/>
      <c r="E98" s="2535"/>
      <c r="F98" s="2536"/>
      <c r="G98" s="2214"/>
      <c r="H98" s="2537"/>
      <c r="I98" s="2538"/>
      <c r="J98" s="2525"/>
      <c r="L98" s="1926" t="n">
        <v>1300</v>
      </c>
      <c r="M98" s="1926"/>
      <c r="N98" s="1926" t="n">
        <v>2</v>
      </c>
      <c r="O98" s="2351"/>
    </row>
    <row r="99" customFormat="false" ht="13.5" hidden="false" customHeight="true" outlineLevel="0" collapsed="false">
      <c r="L99" s="1926"/>
      <c r="M99" s="1926"/>
      <c r="N99" s="1926" t="n">
        <v>0</v>
      </c>
    </row>
    <row r="100" customFormat="false" ht="29.25" hidden="false" customHeight="true" outlineLevel="0" collapsed="false">
      <c r="A100" s="2539" t="s">
        <v>2917</v>
      </c>
      <c r="B100" s="2539"/>
      <c r="C100" s="2539"/>
      <c r="D100" s="2539"/>
      <c r="E100" s="2539"/>
      <c r="F100" s="2539"/>
      <c r="G100" s="2539"/>
      <c r="H100" s="2539"/>
      <c r="I100" s="2539"/>
      <c r="J100" s="2540" t="n">
        <f aca="false">SUM(J85,J64,J26,J5)</f>
        <v>41</v>
      </c>
    </row>
  </sheetData>
  <mergeCells count="92">
    <mergeCell ref="A1:K1"/>
    <mergeCell ref="A3:A24"/>
    <mergeCell ref="C3:G3"/>
    <mergeCell ref="J3:J4"/>
    <mergeCell ref="C5:F5"/>
    <mergeCell ref="J5:J24"/>
    <mergeCell ref="C6:E6"/>
    <mergeCell ref="F6:F8"/>
    <mergeCell ref="G6:G9"/>
    <mergeCell ref="H6:H9"/>
    <mergeCell ref="C9:E9"/>
    <mergeCell ref="C12:G12"/>
    <mergeCell ref="C14:F14"/>
    <mergeCell ref="F15:F16"/>
    <mergeCell ref="G15:G16"/>
    <mergeCell ref="H15:H16"/>
    <mergeCell ref="C19:G19"/>
    <mergeCell ref="C21:F21"/>
    <mergeCell ref="F22:F23"/>
    <mergeCell ref="G22:G23"/>
    <mergeCell ref="H22:H23"/>
    <mergeCell ref="A26:A62"/>
    <mergeCell ref="C26:G26"/>
    <mergeCell ref="J26:J62"/>
    <mergeCell ref="C28:F28"/>
    <mergeCell ref="C29:E29"/>
    <mergeCell ref="F29:F31"/>
    <mergeCell ref="G29:G34"/>
    <mergeCell ref="H29:H34"/>
    <mergeCell ref="C32:E32"/>
    <mergeCell ref="F32:F34"/>
    <mergeCell ref="C33:E33"/>
    <mergeCell ref="C37:G37"/>
    <mergeCell ref="C39:F39"/>
    <mergeCell ref="C40:E40"/>
    <mergeCell ref="F40:F43"/>
    <mergeCell ref="G40:G47"/>
    <mergeCell ref="H40:H47"/>
    <mergeCell ref="C44:E44"/>
    <mergeCell ref="F44:F47"/>
    <mergeCell ref="C50:G50"/>
    <mergeCell ref="C52:F52"/>
    <mergeCell ref="F53:F54"/>
    <mergeCell ref="G53:G54"/>
    <mergeCell ref="H53:H54"/>
    <mergeCell ref="C57:G57"/>
    <mergeCell ref="C59:F59"/>
    <mergeCell ref="F60:F61"/>
    <mergeCell ref="G60:G61"/>
    <mergeCell ref="H60:H61"/>
    <mergeCell ref="A64:A83"/>
    <mergeCell ref="C64:G64"/>
    <mergeCell ref="J64:J83"/>
    <mergeCell ref="L65:M65"/>
    <mergeCell ref="Q65:U65"/>
    <mergeCell ref="C66:F66"/>
    <mergeCell ref="C67:E67"/>
    <mergeCell ref="F67:F70"/>
    <mergeCell ref="G67:G70"/>
    <mergeCell ref="H67:H70"/>
    <mergeCell ref="L67:M67"/>
    <mergeCell ref="O67:O71"/>
    <mergeCell ref="C69:E69"/>
    <mergeCell ref="C73:G73"/>
    <mergeCell ref="L74:N74"/>
    <mergeCell ref="C75:F75"/>
    <mergeCell ref="L75:N75"/>
    <mergeCell ref="F76:F78"/>
    <mergeCell ref="G76:G82"/>
    <mergeCell ref="H76:H82"/>
    <mergeCell ref="L76:N76"/>
    <mergeCell ref="L77:N77"/>
    <mergeCell ref="L78:N78"/>
    <mergeCell ref="A85:A98"/>
    <mergeCell ref="C85:G85"/>
    <mergeCell ref="J85:J98"/>
    <mergeCell ref="C87:F87"/>
    <mergeCell ref="F88:F89"/>
    <mergeCell ref="G88:G89"/>
    <mergeCell ref="H88:H89"/>
    <mergeCell ref="C93:G93"/>
    <mergeCell ref="L94:M94"/>
    <mergeCell ref="C95:F95"/>
    <mergeCell ref="L95:M95"/>
    <mergeCell ref="F96:F97"/>
    <mergeCell ref="G96:G97"/>
    <mergeCell ref="H96:H97"/>
    <mergeCell ref="L96:M96"/>
    <mergeCell ref="L97:M97"/>
    <mergeCell ref="L98:M98"/>
    <mergeCell ref="L99:M99"/>
    <mergeCell ref="A100:I10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tabColor rgb="FFFF0000"/>
    <pageSetUpPr fitToPage="false"/>
  </sheetPr>
  <dimension ref="A1:AF211"/>
  <sheetViews>
    <sheetView showFormulas="false" showGridLines="true" showRowColHeaders="true" showZeros="true" rightToLeft="false" tabSelected="false" showOutlineSymbols="true" defaultGridColor="true" view="normal" topLeftCell="D152" colorId="64" zoomScale="100" zoomScaleNormal="100" zoomScalePageLayoutView="100" workbookViewId="0">
      <selection pane="topLeft" activeCell="U198" activeCellId="0" sqref="U198"/>
    </sheetView>
  </sheetViews>
  <sheetFormatPr defaultRowHeight="12.75" zeroHeight="false" outlineLevelRow="0" outlineLevelCol="0"/>
  <cols>
    <col collapsed="false" customWidth="true" hidden="false" outlineLevel="0" max="1" min="1" style="0" width="11.99"/>
    <col collapsed="false" customWidth="true" hidden="false" outlineLevel="0" max="3" min="2" style="0" width="15.66"/>
    <col collapsed="false" customWidth="true" hidden="false" outlineLevel="0" max="4" min="4" style="0" width="54.83"/>
    <col collapsed="false" customWidth="true" hidden="false" outlineLevel="0" max="5" min="5" style="0" width="6.5"/>
    <col collapsed="false" customWidth="true" hidden="false" outlineLevel="0" max="6" min="6" style="2541" width="7.49"/>
    <col collapsed="false" customWidth="true" hidden="false" outlineLevel="0" max="7" min="7" style="2442" width="1.66"/>
    <col collapsed="false" customWidth="true" hidden="false" outlineLevel="0" max="8" min="8" style="2016" width="4.5"/>
    <col collapsed="false" customWidth="true" hidden="false" outlineLevel="0" max="9" min="9" style="1397" width="8.33"/>
    <col collapsed="false" customWidth="true" hidden="false" outlineLevel="0" max="10" min="10" style="1846" width="2.16"/>
    <col collapsed="false" customWidth="true" hidden="false" outlineLevel="0" max="11" min="11" style="2331" width="4.66"/>
    <col collapsed="false" customWidth="true" hidden="false" outlineLevel="0" max="12" min="12" style="0" width="10.66"/>
    <col collapsed="false" customWidth="true" hidden="false" outlineLevel="0" max="13" min="13" style="0" width="8.33"/>
    <col collapsed="false" customWidth="true" hidden="false" outlineLevel="0" max="14" min="14" style="0" width="2.16"/>
    <col collapsed="false" customWidth="true" hidden="false" outlineLevel="0" max="15" min="15" style="0" width="4.66"/>
    <col collapsed="false" customWidth="true" hidden="false" outlineLevel="0" max="1025" min="16" style="0" width="10.66"/>
  </cols>
  <sheetData>
    <row r="1" customFormat="false" ht="46.25" hidden="false" customHeight="true" outlineLevel="0" collapsed="false">
      <c r="A1" s="2542" t="s">
        <v>3168</v>
      </c>
      <c r="B1" s="2542"/>
      <c r="C1" s="2542"/>
      <c r="D1" s="2542"/>
      <c r="E1" s="2542"/>
      <c r="F1" s="2542"/>
      <c r="G1" s="2542"/>
      <c r="H1" s="2542"/>
      <c r="I1" s="2542"/>
      <c r="J1" s="2542"/>
      <c r="K1" s="2542"/>
      <c r="V1" s="2543"/>
      <c r="W1" s="2543"/>
      <c r="X1" s="2543"/>
      <c r="Y1" s="2543"/>
      <c r="Z1" s="2543"/>
      <c r="AA1" s="2543"/>
      <c r="AB1" s="2543"/>
      <c r="AC1" s="2543"/>
      <c r="AD1" s="2543"/>
      <c r="AE1" s="2543"/>
      <c r="AF1" s="2543"/>
    </row>
    <row r="2" s="146" customFormat="true" ht="12" hidden="false" customHeight="true" outlineLevel="0" collapsed="false">
      <c r="A2" s="2544"/>
      <c r="B2" s="2544"/>
      <c r="C2" s="2544"/>
      <c r="D2" s="2544"/>
      <c r="E2" s="2544"/>
      <c r="F2" s="2544"/>
      <c r="G2" s="2544"/>
      <c r="H2" s="2544"/>
      <c r="I2" s="2544"/>
      <c r="J2" s="2544"/>
      <c r="K2" s="2544"/>
      <c r="U2" s="2545"/>
      <c r="V2" s="2545"/>
      <c r="W2" s="2545"/>
      <c r="X2" s="2545"/>
      <c r="Y2" s="2545"/>
      <c r="Z2" s="2545"/>
      <c r="AA2" s="2545"/>
      <c r="AB2" s="2545"/>
      <c r="AC2" s="2545"/>
      <c r="AD2" s="2545"/>
      <c r="AE2" s="2545"/>
      <c r="AF2" s="2545"/>
    </row>
    <row r="3" s="146" customFormat="true" ht="12" hidden="false" customHeight="true" outlineLevel="0" collapsed="false">
      <c r="A3" s="2544"/>
      <c r="B3" s="2544"/>
      <c r="C3" s="2544"/>
      <c r="D3" s="2544"/>
      <c r="E3" s="2544"/>
      <c r="F3" s="2544"/>
      <c r="G3" s="2544"/>
      <c r="H3" s="2544"/>
      <c r="I3" s="2544"/>
      <c r="J3" s="2544"/>
      <c r="K3" s="2544"/>
      <c r="U3" s="2545"/>
      <c r="V3" s="2545"/>
      <c r="W3" s="2545"/>
      <c r="X3" s="2545"/>
      <c r="Y3" s="2545"/>
      <c r="Z3" s="2545"/>
      <c r="AA3" s="2545"/>
      <c r="AB3" s="2545"/>
      <c r="AC3" s="2545"/>
      <c r="AD3" s="2545"/>
      <c r="AE3" s="2545"/>
      <c r="AF3" s="2545"/>
    </row>
    <row r="4" customFormat="false" ht="30" hidden="false" customHeight="false" outlineLevel="0" collapsed="false">
      <c r="A4" s="2546" t="s">
        <v>3169</v>
      </c>
      <c r="B4" s="2546"/>
      <c r="C4" s="2546"/>
      <c r="D4" s="2546"/>
      <c r="E4" s="2546"/>
      <c r="F4" s="2546"/>
      <c r="G4" s="2546"/>
      <c r="H4" s="2546"/>
      <c r="I4" s="2546"/>
      <c r="J4" s="2546"/>
      <c r="K4" s="2546"/>
      <c r="U4" s="2545"/>
      <c r="V4" s="2545"/>
      <c r="W4" s="2545"/>
      <c r="X4" s="2545"/>
      <c r="Y4" s="2545"/>
      <c r="Z4" s="2545"/>
      <c r="AA4" s="2545"/>
      <c r="AB4" s="2545"/>
      <c r="AC4" s="2545"/>
      <c r="AD4" s="2545"/>
      <c r="AE4" s="2545"/>
      <c r="AF4" s="2545"/>
    </row>
    <row r="5" customFormat="false" ht="14" hidden="false" customHeight="true" outlineLevel="0" collapsed="false"/>
    <row r="6" customFormat="false" ht="14" hidden="false" customHeight="true" outlineLevel="0" collapsed="false"/>
    <row r="7" customFormat="false" ht="14" hidden="false" customHeight="true" outlineLevel="0" collapsed="false">
      <c r="A7" s="2547" t="s">
        <v>3170</v>
      </c>
      <c r="B7" s="2547" t="s">
        <v>3171</v>
      </c>
      <c r="C7" s="2547"/>
      <c r="D7" s="2547" t="s">
        <v>3172</v>
      </c>
      <c r="E7" s="2547"/>
      <c r="F7" s="2547"/>
      <c r="G7" s="2547"/>
      <c r="H7" s="2547"/>
      <c r="I7" s="2547" t="s">
        <v>3171</v>
      </c>
      <c r="J7" s="2547"/>
      <c r="K7" s="2547"/>
    </row>
    <row r="8" customFormat="false" ht="24" hidden="false" customHeight="true" outlineLevel="0" collapsed="false">
      <c r="A8" s="2548" t="s">
        <v>3173</v>
      </c>
      <c r="B8" s="2548" t="s">
        <v>3173</v>
      </c>
      <c r="C8" s="2548"/>
      <c r="D8" s="2549" t="s">
        <v>3173</v>
      </c>
      <c r="E8" s="2550" t="s">
        <v>3174</v>
      </c>
      <c r="F8" s="2551" t="s">
        <v>3175</v>
      </c>
      <c r="G8" s="2551"/>
      <c r="H8" s="2551"/>
      <c r="I8" s="2552" t="s">
        <v>3175</v>
      </c>
      <c r="J8" s="2552"/>
      <c r="K8" s="2552"/>
    </row>
    <row r="9" customFormat="false" ht="14" hidden="false" customHeight="true" outlineLevel="0" collapsed="false"/>
    <row r="10" customFormat="false" ht="14" hidden="false" customHeight="true" outlineLevel="0" collapsed="false">
      <c r="A10" s="2553" t="s">
        <v>3176</v>
      </c>
      <c r="B10" s="2554" t="s">
        <v>2695</v>
      </c>
      <c r="C10" s="2554"/>
      <c r="D10" s="2555" t="s">
        <v>3177</v>
      </c>
      <c r="E10" s="2556" t="s">
        <v>460</v>
      </c>
      <c r="F10" s="2557" t="n">
        <f aca="false">'Dimension agroécologique'!I6</f>
        <v>5</v>
      </c>
      <c r="G10" s="2558" t="s">
        <v>3178</v>
      </c>
      <c r="H10" s="2559" t="n">
        <v>5</v>
      </c>
      <c r="I10" s="2560" t="n">
        <f aca="false">MIN(20,SUM(F10:F14))</f>
        <v>16</v>
      </c>
      <c r="J10" s="2561" t="s">
        <v>3178</v>
      </c>
      <c r="K10" s="2562" t="n">
        <v>20</v>
      </c>
    </row>
    <row r="11" customFormat="false" ht="14" hidden="false" customHeight="true" outlineLevel="0" collapsed="false">
      <c r="A11" s="2553"/>
      <c r="B11" s="2554"/>
      <c r="C11" s="2554"/>
      <c r="D11" s="2563" t="s">
        <v>3179</v>
      </c>
      <c r="E11" s="2564" t="s">
        <v>3180</v>
      </c>
      <c r="F11" s="2565" t="n">
        <f aca="false">'Dimension agroécologique'!I22</f>
        <v>2</v>
      </c>
      <c r="G11" s="2118" t="s">
        <v>3178</v>
      </c>
      <c r="H11" s="2566" t="n">
        <v>5</v>
      </c>
      <c r="I11" s="2560"/>
      <c r="J11" s="2561"/>
      <c r="K11" s="2562"/>
    </row>
    <row r="12" customFormat="false" ht="14" hidden="false" customHeight="true" outlineLevel="0" collapsed="false">
      <c r="A12" s="2553"/>
      <c r="B12" s="2554"/>
      <c r="C12" s="2554"/>
      <c r="D12" s="2563" t="s">
        <v>3181</v>
      </c>
      <c r="E12" s="2564" t="s">
        <v>3182</v>
      </c>
      <c r="F12" s="2565" t="n">
        <f aca="false">'Dimension agroécologique'!I45</f>
        <v>5</v>
      </c>
      <c r="G12" s="2118" t="s">
        <v>3178</v>
      </c>
      <c r="H12" s="2566" t="n">
        <v>5</v>
      </c>
      <c r="I12" s="2560"/>
      <c r="J12" s="2561"/>
      <c r="K12" s="2562"/>
    </row>
    <row r="13" customFormat="false" ht="13.5" hidden="false" customHeight="true" outlineLevel="0" collapsed="false">
      <c r="A13" s="2553"/>
      <c r="B13" s="2554"/>
      <c r="C13" s="2554"/>
      <c r="D13" s="2563" t="s">
        <v>3183</v>
      </c>
      <c r="E13" s="2564" t="s">
        <v>3184</v>
      </c>
      <c r="F13" s="2565" t="n">
        <f aca="false">'Dimension agroécologique'!I69</f>
        <v>1</v>
      </c>
      <c r="G13" s="2118" t="s">
        <v>3178</v>
      </c>
      <c r="H13" s="2566" t="n">
        <v>5</v>
      </c>
      <c r="I13" s="2560"/>
      <c r="J13" s="2561"/>
      <c r="K13" s="2562"/>
    </row>
    <row r="14" customFormat="false" ht="14" hidden="false" customHeight="true" outlineLevel="0" collapsed="false">
      <c r="A14" s="2553"/>
      <c r="B14" s="2554"/>
      <c r="C14" s="2554"/>
      <c r="D14" s="2567" t="s">
        <v>3185</v>
      </c>
      <c r="E14" s="2568" t="s">
        <v>3186</v>
      </c>
      <c r="F14" s="2569" t="n">
        <f aca="false">'Dimension agroécologique'!I85</f>
        <v>3</v>
      </c>
      <c r="G14" s="2570" t="s">
        <v>3178</v>
      </c>
      <c r="H14" s="2571" t="n">
        <v>5</v>
      </c>
      <c r="I14" s="2560"/>
      <c r="J14" s="2561"/>
      <c r="K14" s="2562"/>
    </row>
    <row r="15" customFormat="false" ht="14" hidden="false" customHeight="true" outlineLevel="0" collapsed="false">
      <c r="A15" s="2553"/>
      <c r="B15" s="2572" t="s">
        <v>3187</v>
      </c>
      <c r="C15" s="2572"/>
      <c r="D15" s="2573" t="s">
        <v>3188</v>
      </c>
      <c r="E15" s="2556" t="s">
        <v>3189</v>
      </c>
      <c r="F15" s="2557" t="n">
        <f aca="false">'Dimension agroécologique'!I100</f>
        <v>2</v>
      </c>
      <c r="G15" s="2558" t="s">
        <v>3178</v>
      </c>
      <c r="H15" s="2559" t="n">
        <v>8</v>
      </c>
      <c r="I15" s="2560" t="n">
        <f aca="false">MIN(20,SUM(F15:F17))</f>
        <v>12</v>
      </c>
      <c r="J15" s="2561" t="s">
        <v>3178</v>
      </c>
      <c r="K15" s="2562" t="n">
        <v>20</v>
      </c>
    </row>
    <row r="16" customFormat="false" ht="14" hidden="false" customHeight="true" outlineLevel="0" collapsed="false">
      <c r="A16" s="2553"/>
      <c r="B16" s="2572"/>
      <c r="C16" s="2572"/>
      <c r="D16" s="2574" t="s">
        <v>3190</v>
      </c>
      <c r="E16" s="2564" t="s">
        <v>3191</v>
      </c>
      <c r="F16" s="2565" t="n">
        <f aca="false">'Dimension agroécologique'!I111</f>
        <v>6</v>
      </c>
      <c r="G16" s="2118" t="s">
        <v>3178</v>
      </c>
      <c r="H16" s="2566" t="n">
        <v>8</v>
      </c>
      <c r="I16" s="2560"/>
      <c r="J16" s="2561"/>
      <c r="K16" s="2562"/>
    </row>
    <row r="17" customFormat="false" ht="14" hidden="false" customHeight="true" outlineLevel="0" collapsed="false">
      <c r="A17" s="2553"/>
      <c r="B17" s="2572"/>
      <c r="C17" s="2572"/>
      <c r="D17" s="2575" t="s">
        <v>3192</v>
      </c>
      <c r="E17" s="2568" t="s">
        <v>3193</v>
      </c>
      <c r="F17" s="2569" t="n">
        <f aca="false">'Dimension agroécologique'!I121</f>
        <v>4</v>
      </c>
      <c r="G17" s="2570" t="s">
        <v>3178</v>
      </c>
      <c r="H17" s="2571" t="n">
        <v>8</v>
      </c>
      <c r="I17" s="2560"/>
      <c r="J17" s="2561"/>
      <c r="K17" s="2562"/>
    </row>
    <row r="18" customFormat="false" ht="14" hidden="false" customHeight="true" outlineLevel="0" collapsed="false">
      <c r="A18" s="2553"/>
      <c r="B18" s="2576" t="s">
        <v>2810</v>
      </c>
      <c r="C18" s="2576"/>
      <c r="D18" s="2555" t="s">
        <v>3194</v>
      </c>
      <c r="E18" s="2577" t="s">
        <v>3195</v>
      </c>
      <c r="F18" s="2557" t="n">
        <f aca="false">'Dimension agroécologique'!I132</f>
        <v>8</v>
      </c>
      <c r="G18" s="2558" t="s">
        <v>3178</v>
      </c>
      <c r="H18" s="2559" t="n">
        <v>8</v>
      </c>
      <c r="I18" s="2560" t="n">
        <f aca="false">MIN(20,SUM(F18,F19,F20))</f>
        <v>20</v>
      </c>
      <c r="J18" s="2561" t="s">
        <v>3178</v>
      </c>
      <c r="K18" s="2562" t="n">
        <v>20</v>
      </c>
    </row>
    <row r="19" customFormat="false" ht="14" hidden="false" customHeight="true" outlineLevel="0" collapsed="false">
      <c r="A19" s="2553"/>
      <c r="B19" s="2576"/>
      <c r="C19" s="2576"/>
      <c r="D19" s="2574" t="s">
        <v>3196</v>
      </c>
      <c r="E19" s="2578" t="s">
        <v>3197</v>
      </c>
      <c r="F19" s="2565" t="n">
        <f aca="false">'Dimension agroécologique'!I140</f>
        <v>8</v>
      </c>
      <c r="G19" s="2118" t="s">
        <v>3178</v>
      </c>
      <c r="H19" s="2566" t="n">
        <v>8</v>
      </c>
      <c r="I19" s="2560"/>
      <c r="J19" s="2561"/>
      <c r="K19" s="2562"/>
    </row>
    <row r="20" customFormat="false" ht="14" hidden="false" customHeight="true" outlineLevel="0" collapsed="false">
      <c r="A20" s="2553"/>
      <c r="B20" s="2576"/>
      <c r="C20" s="2576"/>
      <c r="D20" s="2579" t="s">
        <v>3198</v>
      </c>
      <c r="E20" s="2580" t="s">
        <v>3199</v>
      </c>
      <c r="F20" s="2569" t="n">
        <f aca="false">'Dimension agroécologique'!I147</f>
        <v>8</v>
      </c>
      <c r="G20" s="2570" t="s">
        <v>3178</v>
      </c>
      <c r="H20" s="2571" t="n">
        <v>8</v>
      </c>
      <c r="I20" s="2560"/>
      <c r="J20" s="2561"/>
      <c r="K20" s="2562"/>
    </row>
    <row r="21" customFormat="false" ht="14" hidden="false" customHeight="true" outlineLevel="0" collapsed="false">
      <c r="A21" s="2553"/>
      <c r="B21" s="2581" t="s">
        <v>2821</v>
      </c>
      <c r="C21" s="2581"/>
      <c r="D21" s="2573" t="s">
        <v>3200</v>
      </c>
      <c r="E21" s="2556" t="s">
        <v>3201</v>
      </c>
      <c r="F21" s="2557" t="n">
        <f aca="false">'Dimension agroécologique'!I154</f>
        <v>5</v>
      </c>
      <c r="G21" s="2558" t="s">
        <v>3178</v>
      </c>
      <c r="H21" s="2559" t="n">
        <v>8</v>
      </c>
      <c r="I21" s="2560" t="n">
        <f aca="false">MIN(20,SUM(F21:F24))</f>
        <v>16</v>
      </c>
      <c r="J21" s="2561" t="s">
        <v>3178</v>
      </c>
      <c r="K21" s="2562" t="n">
        <v>20</v>
      </c>
    </row>
    <row r="22" customFormat="false" ht="14" hidden="false" customHeight="true" outlineLevel="0" collapsed="false">
      <c r="A22" s="2553"/>
      <c r="B22" s="2581"/>
      <c r="C22" s="2581"/>
      <c r="D22" s="2574" t="s">
        <v>3202</v>
      </c>
      <c r="E22" s="2564" t="s">
        <v>508</v>
      </c>
      <c r="F22" s="2565" t="n">
        <f aca="false">'Dimension agroécologique'!I169</f>
        <v>5</v>
      </c>
      <c r="G22" s="2118" t="s">
        <v>3178</v>
      </c>
      <c r="H22" s="2566" t="n">
        <v>8</v>
      </c>
      <c r="I22" s="2560"/>
      <c r="J22" s="2561"/>
      <c r="K22" s="2562"/>
    </row>
    <row r="23" customFormat="false" ht="27.75" hidden="false" customHeight="true" outlineLevel="0" collapsed="false">
      <c r="A23" s="2553"/>
      <c r="B23" s="2581"/>
      <c r="C23" s="2581"/>
      <c r="D23" s="2574" t="s">
        <v>3203</v>
      </c>
      <c r="E23" s="2564" t="s">
        <v>256</v>
      </c>
      <c r="F23" s="2565" t="n">
        <f aca="false">'Dimension agroécologique'!I189</f>
        <v>2</v>
      </c>
      <c r="G23" s="2118" t="s">
        <v>3178</v>
      </c>
      <c r="H23" s="2566" t="n">
        <v>4</v>
      </c>
      <c r="I23" s="2560"/>
      <c r="J23" s="2561"/>
      <c r="K23" s="2562"/>
    </row>
    <row r="24" customFormat="false" ht="13.5" hidden="false" customHeight="true" outlineLevel="0" collapsed="false">
      <c r="A24" s="2553"/>
      <c r="B24" s="2581"/>
      <c r="C24" s="2581"/>
      <c r="D24" s="2582" t="s">
        <v>3204</v>
      </c>
      <c r="E24" s="2568" t="s">
        <v>237</v>
      </c>
      <c r="F24" s="2569" t="n">
        <f aca="false">'Dimension agroécologique'!I198</f>
        <v>4</v>
      </c>
      <c r="G24" s="2570" t="s">
        <v>3178</v>
      </c>
      <c r="H24" s="2571" t="n">
        <v>4</v>
      </c>
      <c r="I24" s="2560"/>
      <c r="J24" s="2561"/>
      <c r="K24" s="2562"/>
    </row>
    <row r="25" customFormat="false" ht="14" hidden="false" customHeight="true" outlineLevel="0" collapsed="false">
      <c r="A25" s="2553"/>
      <c r="B25" s="2583" t="s">
        <v>2864</v>
      </c>
      <c r="C25" s="2583"/>
      <c r="D25" s="2573" t="s">
        <v>3205</v>
      </c>
      <c r="E25" s="2584" t="s">
        <v>583</v>
      </c>
      <c r="F25" s="2557" t="n">
        <f aca="false">'Dimension agroécologique'!I209</f>
        <v>5</v>
      </c>
      <c r="G25" s="2558" t="s">
        <v>3178</v>
      </c>
      <c r="H25" s="2559" t="n">
        <v>6</v>
      </c>
      <c r="I25" s="2560" t="n">
        <f aca="false">MIN(20,SUM(F25:F28))</f>
        <v>17</v>
      </c>
      <c r="J25" s="2561" t="s">
        <v>3178</v>
      </c>
      <c r="K25" s="2562" t="n">
        <v>20</v>
      </c>
    </row>
    <row r="26" customFormat="false" ht="14" hidden="false" customHeight="true" outlineLevel="0" collapsed="false">
      <c r="A26" s="2553"/>
      <c r="B26" s="2583"/>
      <c r="C26" s="2583"/>
      <c r="D26" s="2574" t="s">
        <v>3206</v>
      </c>
      <c r="E26" s="2585" t="s">
        <v>482</v>
      </c>
      <c r="F26" s="2586" t="n">
        <f aca="false">'Dimension agroécologique'!I229</f>
        <v>4</v>
      </c>
      <c r="G26" s="2118" t="s">
        <v>3178</v>
      </c>
      <c r="H26" s="2566" t="n">
        <v>6</v>
      </c>
      <c r="I26" s="2560"/>
      <c r="J26" s="2561"/>
      <c r="K26" s="2562"/>
    </row>
    <row r="27" customFormat="false" ht="14" hidden="false" customHeight="true" outlineLevel="0" collapsed="false">
      <c r="A27" s="2553"/>
      <c r="B27" s="2583"/>
      <c r="C27" s="2583"/>
      <c r="D27" s="2574" t="s">
        <v>3207</v>
      </c>
      <c r="E27" s="2585" t="s">
        <v>548</v>
      </c>
      <c r="F27" s="2565" t="n">
        <f aca="false">'Dimension agroécologique'!I240</f>
        <v>4</v>
      </c>
      <c r="G27" s="2118" t="s">
        <v>3178</v>
      </c>
      <c r="H27" s="2566" t="n">
        <v>6</v>
      </c>
      <c r="I27" s="2560"/>
      <c r="J27" s="2561"/>
      <c r="K27" s="2562"/>
    </row>
    <row r="28" customFormat="false" ht="27" hidden="false" customHeight="true" outlineLevel="0" collapsed="false">
      <c r="A28" s="2553"/>
      <c r="B28" s="2583"/>
      <c r="C28" s="2583"/>
      <c r="D28" s="2587" t="s">
        <v>3208</v>
      </c>
      <c r="E28" s="2588" t="s">
        <v>249</v>
      </c>
      <c r="F28" s="2569" t="n">
        <f aca="false">'Dimension agroécologique'!I247</f>
        <v>4</v>
      </c>
      <c r="G28" s="2570" t="s">
        <v>3178</v>
      </c>
      <c r="H28" s="2571" t="n">
        <v>6</v>
      </c>
      <c r="I28" s="2560"/>
      <c r="J28" s="2561"/>
      <c r="K28" s="2562"/>
    </row>
    <row r="29" customFormat="false" ht="14" hidden="false" customHeight="true" outlineLevel="0" collapsed="false">
      <c r="A29" s="698"/>
      <c r="B29" s="698"/>
      <c r="C29" s="698"/>
      <c r="F29" s="2589" t="s">
        <v>1220</v>
      </c>
      <c r="G29" s="2589"/>
      <c r="H29" s="2589"/>
      <c r="I29" s="2590" t="n">
        <f aca="false">I10+I15+I18+I21+I25</f>
        <v>81</v>
      </c>
      <c r="J29" s="2591" t="s">
        <v>3178</v>
      </c>
      <c r="K29" s="2592" t="n">
        <v>100</v>
      </c>
      <c r="T29" s="2593"/>
      <c r="U29" s="2593"/>
    </row>
    <row r="30" customFormat="false" ht="14" hidden="false" customHeight="true" outlineLevel="0" collapsed="false">
      <c r="A30" s="698"/>
      <c r="B30" s="698"/>
      <c r="C30" s="698"/>
      <c r="E30" s="2594"/>
      <c r="T30" s="2593"/>
      <c r="U30" s="2593"/>
    </row>
    <row r="31" customFormat="false" ht="14" hidden="false" customHeight="true" outlineLevel="0" collapsed="false">
      <c r="A31" s="469"/>
      <c r="B31" s="469"/>
      <c r="C31" s="469"/>
      <c r="E31" s="469"/>
      <c r="F31" s="2595"/>
    </row>
    <row r="32" customFormat="false" ht="14" hidden="false" customHeight="true" outlineLevel="0" collapsed="false">
      <c r="A32" s="2596" t="s">
        <v>3209</v>
      </c>
      <c r="B32" s="2597" t="s">
        <v>2919</v>
      </c>
      <c r="C32" s="2597"/>
      <c r="D32" s="2598" t="s">
        <v>3210</v>
      </c>
      <c r="E32" s="2577" t="s">
        <v>2920</v>
      </c>
      <c r="F32" s="2557" t="n">
        <f aca="false">'Dimension socio-territoriale'!I7</f>
        <v>6</v>
      </c>
      <c r="G32" s="2558" t="s">
        <v>3178</v>
      </c>
      <c r="H32" s="2599" t="n">
        <v>6</v>
      </c>
      <c r="I32" s="2600" t="n">
        <f aca="false">MIN(25,SUM(F32:F36))</f>
        <v>17</v>
      </c>
      <c r="J32" s="2561" t="s">
        <v>3178</v>
      </c>
      <c r="K32" s="2562" t="n">
        <v>25</v>
      </c>
    </row>
    <row r="33" customFormat="false" ht="14" hidden="false" customHeight="true" outlineLevel="0" collapsed="false">
      <c r="A33" s="2596"/>
      <c r="B33" s="2597"/>
      <c r="C33" s="2597"/>
      <c r="D33" s="2601" t="s">
        <v>3211</v>
      </c>
      <c r="E33" s="2578" t="s">
        <v>219</v>
      </c>
      <c r="F33" s="2565" t="n">
        <f aca="false">'Dimension socio-territoriale'!I19</f>
        <v>6</v>
      </c>
      <c r="G33" s="2118" t="s">
        <v>3178</v>
      </c>
      <c r="H33" s="2602" t="n">
        <v>6</v>
      </c>
      <c r="I33" s="2600"/>
      <c r="J33" s="2561"/>
      <c r="K33" s="2562"/>
    </row>
    <row r="34" customFormat="false" ht="14" hidden="false" customHeight="true" outlineLevel="0" collapsed="false">
      <c r="A34" s="2596"/>
      <c r="B34" s="2597"/>
      <c r="C34" s="2597"/>
      <c r="D34" s="2601" t="s">
        <v>3212</v>
      </c>
      <c r="E34" s="2578" t="s">
        <v>662</v>
      </c>
      <c r="F34" s="2565" t="n">
        <f aca="false">'Dimension socio-territoriale'!I30</f>
        <v>0</v>
      </c>
      <c r="G34" s="2118" t="s">
        <v>3178</v>
      </c>
      <c r="H34" s="2602" t="n">
        <v>6</v>
      </c>
      <c r="I34" s="2600"/>
      <c r="J34" s="2561"/>
      <c r="K34" s="2562"/>
    </row>
    <row r="35" customFormat="false" ht="14" hidden="false" customHeight="true" outlineLevel="0" collapsed="false">
      <c r="A35" s="2596"/>
      <c r="B35" s="2597"/>
      <c r="C35" s="2597"/>
      <c r="D35" s="2601" t="s">
        <v>3213</v>
      </c>
      <c r="E35" s="2578" t="s">
        <v>677</v>
      </c>
      <c r="F35" s="2565" t="n">
        <f aca="false">'Dimension socio-territoriale'!I45</f>
        <v>2</v>
      </c>
      <c r="G35" s="2118" t="s">
        <v>3178</v>
      </c>
      <c r="H35" s="2602" t="n">
        <v>6</v>
      </c>
      <c r="I35" s="2600"/>
      <c r="J35" s="2561"/>
      <c r="K35" s="2562"/>
    </row>
    <row r="36" customFormat="false" ht="14" hidden="false" customHeight="true" outlineLevel="0" collapsed="false">
      <c r="A36" s="2596"/>
      <c r="B36" s="2597"/>
      <c r="C36" s="2597"/>
      <c r="D36" s="2603" t="s">
        <v>730</v>
      </c>
      <c r="E36" s="2580" t="s">
        <v>729</v>
      </c>
      <c r="F36" s="2569" t="n">
        <f aca="false">'Dimension socio-territoriale'!I52</f>
        <v>3</v>
      </c>
      <c r="G36" s="2570" t="s">
        <v>3178</v>
      </c>
      <c r="H36" s="2604" t="n">
        <v>6</v>
      </c>
      <c r="I36" s="2600"/>
      <c r="J36" s="2561"/>
      <c r="K36" s="2562"/>
    </row>
    <row r="37" customFormat="false" ht="27" hidden="false" customHeight="true" outlineLevel="0" collapsed="false">
      <c r="A37" s="2596"/>
      <c r="B37" s="2605" t="s">
        <v>3214</v>
      </c>
      <c r="C37" s="2605"/>
      <c r="D37" s="2606" t="s">
        <v>3215</v>
      </c>
      <c r="E37" s="2607" t="s">
        <v>3216</v>
      </c>
      <c r="F37" s="2608" t="n">
        <f aca="false">'Dimension socio-territoriale'!I68</f>
        <v>5</v>
      </c>
      <c r="G37" s="2558" t="s">
        <v>3178</v>
      </c>
      <c r="H37" s="2599" t="n">
        <v>5</v>
      </c>
      <c r="I37" s="2609" t="n">
        <f aca="false">MIN(25,SUM(F37:F44))</f>
        <v>23</v>
      </c>
      <c r="J37" s="2561" t="s">
        <v>3178</v>
      </c>
      <c r="K37" s="2562" t="n">
        <v>25</v>
      </c>
    </row>
    <row r="38" customFormat="false" ht="14" hidden="false" customHeight="true" outlineLevel="0" collapsed="false">
      <c r="A38" s="2596"/>
      <c r="B38" s="2605"/>
      <c r="C38" s="2605"/>
      <c r="D38" s="2610" t="s">
        <v>3217</v>
      </c>
      <c r="E38" s="2611" t="s">
        <v>705</v>
      </c>
      <c r="F38" s="2565" t="n">
        <f aca="false">'Dimension socio-territoriale'!I78</f>
        <v>0</v>
      </c>
      <c r="G38" s="2118" t="s">
        <v>3178</v>
      </c>
      <c r="H38" s="2602" t="n">
        <v>3</v>
      </c>
      <c r="I38" s="2609"/>
      <c r="J38" s="2561"/>
      <c r="K38" s="2562"/>
    </row>
    <row r="39" customFormat="false" ht="14" hidden="false" customHeight="true" outlineLevel="0" collapsed="false">
      <c r="A39" s="2596"/>
      <c r="B39" s="2605"/>
      <c r="C39" s="2605"/>
      <c r="D39" s="2610" t="s">
        <v>3218</v>
      </c>
      <c r="E39" s="2611" t="s">
        <v>943</v>
      </c>
      <c r="F39" s="2565" t="n">
        <f aca="false">'Dimension socio-territoriale'!I89</f>
        <v>4</v>
      </c>
      <c r="G39" s="2118" t="s">
        <v>3178</v>
      </c>
      <c r="H39" s="2602" t="n">
        <v>5</v>
      </c>
      <c r="I39" s="2609"/>
      <c r="J39" s="2561"/>
      <c r="K39" s="2562"/>
    </row>
    <row r="40" customFormat="false" ht="14" hidden="false" customHeight="true" outlineLevel="0" collapsed="false">
      <c r="A40" s="2596"/>
      <c r="B40" s="2605"/>
      <c r="C40" s="2605"/>
      <c r="D40" s="2610" t="s">
        <v>3219</v>
      </c>
      <c r="E40" s="2611" t="s">
        <v>216</v>
      </c>
      <c r="F40" s="2565" t="n">
        <f aca="false">'Dimension socio-territoriale'!I102</f>
        <v>5</v>
      </c>
      <c r="G40" s="2118" t="s">
        <v>3178</v>
      </c>
      <c r="H40" s="2602" t="n">
        <v>5</v>
      </c>
      <c r="I40" s="2609"/>
      <c r="J40" s="2561"/>
      <c r="K40" s="2562"/>
    </row>
    <row r="41" customFormat="false" ht="28" hidden="false" customHeight="false" outlineLevel="0" collapsed="false">
      <c r="A41" s="2596"/>
      <c r="B41" s="2605"/>
      <c r="C41" s="2605"/>
      <c r="D41" s="2601" t="s">
        <v>3220</v>
      </c>
      <c r="E41" s="2611" t="s">
        <v>246</v>
      </c>
      <c r="F41" s="2586" t="n">
        <f aca="false">'Dimension socio-territoriale'!I125</f>
        <v>2</v>
      </c>
      <c r="G41" s="2118" t="s">
        <v>3178</v>
      </c>
      <c r="H41" s="2602" t="n">
        <v>3</v>
      </c>
      <c r="I41" s="2609"/>
      <c r="J41" s="2561"/>
      <c r="K41" s="2562"/>
    </row>
    <row r="42" customFormat="false" ht="14" hidden="false" customHeight="true" outlineLevel="0" collapsed="false">
      <c r="A42" s="2596"/>
      <c r="B42" s="2605"/>
      <c r="C42" s="2605"/>
      <c r="D42" s="2610" t="s">
        <v>3221</v>
      </c>
      <c r="E42" s="2611" t="s">
        <v>710</v>
      </c>
      <c r="F42" s="2565" t="n">
        <f aca="false">'Dimension socio-territoriale'!I141</f>
        <v>2</v>
      </c>
      <c r="G42" s="2118" t="s">
        <v>3178</v>
      </c>
      <c r="H42" s="2602" t="n">
        <v>3</v>
      </c>
      <c r="I42" s="2609"/>
      <c r="J42" s="2561"/>
      <c r="K42" s="2562"/>
    </row>
    <row r="43" customFormat="false" ht="14" hidden="false" customHeight="true" outlineLevel="0" collapsed="false">
      <c r="A43" s="2596"/>
      <c r="B43" s="2605"/>
      <c r="C43" s="2605"/>
      <c r="D43" s="2610" t="s">
        <v>3222</v>
      </c>
      <c r="E43" s="2611" t="s">
        <v>690</v>
      </c>
      <c r="F43" s="2586" t="n">
        <f aca="false">'Dimension socio-territoriale'!I154</f>
        <v>2</v>
      </c>
      <c r="G43" s="2118" t="s">
        <v>3178</v>
      </c>
      <c r="H43" s="2602" t="n">
        <v>3</v>
      </c>
      <c r="I43" s="2609"/>
      <c r="J43" s="2561"/>
      <c r="K43" s="2562"/>
    </row>
    <row r="44" customFormat="false" ht="15" hidden="false" customHeight="false" outlineLevel="0" collapsed="false">
      <c r="A44" s="2596"/>
      <c r="B44" s="2605"/>
      <c r="C44" s="2605"/>
      <c r="D44" s="2612" t="s">
        <v>3223</v>
      </c>
      <c r="E44" s="2613" t="s">
        <v>3224</v>
      </c>
      <c r="F44" s="2569" t="n">
        <f aca="false">'Dimension socio-territoriale'!I162</f>
        <v>3</v>
      </c>
      <c r="G44" s="2570" t="s">
        <v>3178</v>
      </c>
      <c r="H44" s="2604" t="n">
        <v>3</v>
      </c>
      <c r="I44" s="2609"/>
      <c r="J44" s="2561"/>
      <c r="K44" s="2562"/>
    </row>
    <row r="45" customFormat="false" ht="14" hidden="false" customHeight="true" outlineLevel="0" collapsed="false">
      <c r="A45" s="2596"/>
      <c r="B45" s="2614" t="s">
        <v>3013</v>
      </c>
      <c r="C45" s="2614"/>
      <c r="D45" s="2606" t="s">
        <v>3225</v>
      </c>
      <c r="E45" s="2607" t="s">
        <v>745</v>
      </c>
      <c r="F45" s="2557" t="n">
        <f aca="false">'Dimension socio-territoriale'!I172</f>
        <v>0</v>
      </c>
      <c r="G45" s="2558" t="s">
        <v>3178</v>
      </c>
      <c r="H45" s="2599" t="n">
        <v>6</v>
      </c>
      <c r="I45" s="2600" t="n">
        <f aca="false">MIN(25,SUM(F45:F49))</f>
        <v>12</v>
      </c>
      <c r="J45" s="2561" t="s">
        <v>3178</v>
      </c>
      <c r="K45" s="2562" t="n">
        <v>25</v>
      </c>
    </row>
    <row r="46" customFormat="false" ht="14" hidden="false" customHeight="true" outlineLevel="0" collapsed="false">
      <c r="A46" s="2596"/>
      <c r="B46" s="2614"/>
      <c r="C46" s="2614"/>
      <c r="D46" s="2610" t="s">
        <v>3226</v>
      </c>
      <c r="E46" s="2611" t="s">
        <v>658</v>
      </c>
      <c r="F46" s="2565" t="n">
        <f aca="false">'Dimension socio-territoriale'!I186</f>
        <v>5</v>
      </c>
      <c r="G46" s="2118" t="s">
        <v>3178</v>
      </c>
      <c r="H46" s="2602" t="n">
        <v>6</v>
      </c>
      <c r="I46" s="2600"/>
      <c r="J46" s="2561"/>
      <c r="K46" s="2562"/>
    </row>
    <row r="47" customFormat="false" ht="14" hidden="false" customHeight="true" outlineLevel="0" collapsed="false">
      <c r="A47" s="2596"/>
      <c r="B47" s="2614"/>
      <c r="C47" s="2614"/>
      <c r="D47" s="2610" t="s">
        <v>3227</v>
      </c>
      <c r="E47" s="2611" t="s">
        <v>763</v>
      </c>
      <c r="F47" s="2565" t="n">
        <f aca="false">'Dimension socio-territoriale'!I195</f>
        <v>0</v>
      </c>
      <c r="G47" s="2118" t="s">
        <v>3178</v>
      </c>
      <c r="H47" s="2602" t="n">
        <v>6</v>
      </c>
      <c r="I47" s="2600"/>
      <c r="J47" s="2561"/>
      <c r="K47" s="2562"/>
    </row>
    <row r="48" customFormat="false" ht="14" hidden="false" customHeight="true" outlineLevel="0" collapsed="false">
      <c r="A48" s="2596"/>
      <c r="B48" s="2614"/>
      <c r="C48" s="2614"/>
      <c r="D48" s="2610" t="s">
        <v>3228</v>
      </c>
      <c r="E48" s="2611" t="s">
        <v>771</v>
      </c>
      <c r="F48" s="2565" t="n">
        <f aca="false">'Dimension socio-territoriale'!I210</f>
        <v>2</v>
      </c>
      <c r="G48" s="2118" t="s">
        <v>3178</v>
      </c>
      <c r="H48" s="2602" t="n">
        <v>5</v>
      </c>
      <c r="I48" s="2600"/>
      <c r="J48" s="2561"/>
      <c r="K48" s="2562"/>
    </row>
    <row r="49" customFormat="false" ht="14" hidden="false" customHeight="true" outlineLevel="0" collapsed="false">
      <c r="A49" s="2596"/>
      <c r="B49" s="2614"/>
      <c r="C49" s="2614"/>
      <c r="D49" s="2612" t="s">
        <v>3229</v>
      </c>
      <c r="E49" s="2613" t="s">
        <v>740</v>
      </c>
      <c r="F49" s="2569" t="n">
        <f aca="false">'Dimension socio-territoriale'!I224</f>
        <v>5</v>
      </c>
      <c r="G49" s="2570" t="s">
        <v>3178</v>
      </c>
      <c r="H49" s="2604" t="n">
        <v>5</v>
      </c>
      <c r="I49" s="2600"/>
      <c r="J49" s="2561"/>
      <c r="K49" s="2562"/>
    </row>
    <row r="50" customFormat="false" ht="14" hidden="false" customHeight="true" outlineLevel="0" collapsed="false">
      <c r="A50" s="2596"/>
      <c r="B50" s="2615" t="s">
        <v>3059</v>
      </c>
      <c r="C50" s="2615"/>
      <c r="D50" s="2616" t="s">
        <v>3230</v>
      </c>
      <c r="E50" s="2617" t="s">
        <v>780</v>
      </c>
      <c r="F50" s="2557" t="n">
        <f aca="false">'Dimension socio-territoriale'!I238</f>
        <v>5</v>
      </c>
      <c r="G50" s="2558" t="s">
        <v>3178</v>
      </c>
      <c r="H50" s="2599" t="n">
        <v>6</v>
      </c>
      <c r="I50" s="2600" t="n">
        <f aca="false">MIN(25,SUM(F50:F54))</f>
        <v>22</v>
      </c>
      <c r="J50" s="2561" t="s">
        <v>3178</v>
      </c>
      <c r="K50" s="2562" t="n">
        <v>25</v>
      </c>
    </row>
    <row r="51" customFormat="false" ht="14" hidden="false" customHeight="true" outlineLevel="0" collapsed="false">
      <c r="A51" s="2596"/>
      <c r="B51" s="2615"/>
      <c r="C51" s="2615"/>
      <c r="D51" s="2618" t="s">
        <v>3231</v>
      </c>
      <c r="E51" s="2611" t="s">
        <v>789</v>
      </c>
      <c r="F51" s="2565" t="n">
        <f aca="false">'Dimension socio-territoriale'!I259</f>
        <v>2</v>
      </c>
      <c r="G51" s="2118" t="s">
        <v>3178</v>
      </c>
      <c r="H51" s="2602" t="n">
        <v>6</v>
      </c>
      <c r="I51" s="2600"/>
      <c r="J51" s="2561"/>
      <c r="K51" s="2562"/>
    </row>
    <row r="52" customFormat="false" ht="14" hidden="false" customHeight="true" outlineLevel="0" collapsed="false">
      <c r="A52" s="2596"/>
      <c r="B52" s="2615"/>
      <c r="C52" s="2615"/>
      <c r="D52" s="2618" t="s">
        <v>3232</v>
      </c>
      <c r="E52" s="2611" t="s">
        <v>797</v>
      </c>
      <c r="F52" s="2565" t="n">
        <f aca="false">'Dimension socio-territoriale'!I269</f>
        <v>4</v>
      </c>
      <c r="G52" s="2118" t="s">
        <v>3178</v>
      </c>
      <c r="H52" s="2602" t="n">
        <v>6</v>
      </c>
      <c r="I52" s="2600"/>
      <c r="J52" s="2561"/>
      <c r="K52" s="2562"/>
    </row>
    <row r="53" customFormat="false" ht="14" hidden="false" customHeight="true" outlineLevel="0" collapsed="false">
      <c r="A53" s="2596"/>
      <c r="B53" s="2615"/>
      <c r="C53" s="2615"/>
      <c r="D53" s="2618" t="s">
        <v>3233</v>
      </c>
      <c r="E53" s="2611" t="s">
        <v>800</v>
      </c>
      <c r="F53" s="2565" t="n">
        <f aca="false">'Dimension socio-territoriale'!I276</f>
        <v>5</v>
      </c>
      <c r="G53" s="2118" t="s">
        <v>3178</v>
      </c>
      <c r="H53" s="2602" t="n">
        <v>6</v>
      </c>
      <c r="I53" s="2600"/>
      <c r="J53" s="2561"/>
      <c r="K53" s="2562"/>
    </row>
    <row r="54" customFormat="false" ht="14" hidden="false" customHeight="true" outlineLevel="0" collapsed="false">
      <c r="A54" s="2596"/>
      <c r="B54" s="2615"/>
      <c r="C54" s="2615"/>
      <c r="D54" s="2619" t="s">
        <v>3234</v>
      </c>
      <c r="E54" s="2613" t="s">
        <v>3080</v>
      </c>
      <c r="F54" s="2569" t="n">
        <f aca="false">'Dimension socio-territoriale'!I284</f>
        <v>6</v>
      </c>
      <c r="G54" s="2570" t="s">
        <v>3178</v>
      </c>
      <c r="H54" s="2604" t="n">
        <v>6</v>
      </c>
      <c r="I54" s="2600"/>
      <c r="J54" s="2561"/>
      <c r="K54" s="2562"/>
    </row>
    <row r="55" customFormat="false" ht="14" hidden="false" customHeight="true" outlineLevel="0" collapsed="false">
      <c r="A55" s="698"/>
      <c r="B55" s="698"/>
      <c r="C55" s="698"/>
      <c r="D55" s="698"/>
      <c r="E55" s="2594"/>
      <c r="F55" s="2589" t="s">
        <v>1220</v>
      </c>
      <c r="G55" s="2589"/>
      <c r="H55" s="2589"/>
      <c r="I55" s="2620" t="n">
        <f aca="false">I32+I37+I45+I50</f>
        <v>74</v>
      </c>
      <c r="J55" s="2621" t="s">
        <v>3178</v>
      </c>
      <c r="K55" s="2622" t="n">
        <v>100</v>
      </c>
    </row>
    <row r="56" customFormat="false" ht="14" hidden="false" customHeight="true" outlineLevel="0" collapsed="false">
      <c r="A56" s="698"/>
      <c r="B56" s="698"/>
      <c r="C56" s="698"/>
      <c r="D56" s="698"/>
      <c r="E56" s="2594"/>
      <c r="F56" s="2623"/>
      <c r="T56" s="2593"/>
      <c r="U56" s="2593"/>
    </row>
    <row r="57" customFormat="false" ht="14" hidden="false" customHeight="true" outlineLevel="0" collapsed="false">
      <c r="A57" s="469"/>
      <c r="B57" s="469"/>
      <c r="C57" s="469"/>
      <c r="D57" s="469"/>
      <c r="E57" s="469"/>
      <c r="F57" s="2595"/>
      <c r="T57" s="2593"/>
      <c r="U57" s="2593"/>
    </row>
    <row r="58" customFormat="false" ht="14" hidden="false" customHeight="true" outlineLevel="0" collapsed="false">
      <c r="A58" s="2624" t="s">
        <v>3235</v>
      </c>
      <c r="B58" s="2625" t="s">
        <v>3098</v>
      </c>
      <c r="C58" s="2625"/>
      <c r="D58" s="2626" t="s">
        <v>3236</v>
      </c>
      <c r="E58" s="2577" t="s">
        <v>829</v>
      </c>
      <c r="F58" s="2557" t="n">
        <f aca="false">'Dimension économique'!H6</f>
        <v>12</v>
      </c>
      <c r="G58" s="2558" t="s">
        <v>3178</v>
      </c>
      <c r="H58" s="2559" t="n">
        <v>20</v>
      </c>
      <c r="I58" s="2627" t="n">
        <f aca="false">MIN(35,SUM(F58:F60))</f>
        <v>15</v>
      </c>
      <c r="J58" s="2561" t="s">
        <v>3178</v>
      </c>
      <c r="K58" s="2562" t="n">
        <v>35</v>
      </c>
    </row>
    <row r="59" customFormat="false" ht="14" hidden="false" customHeight="true" outlineLevel="0" collapsed="false">
      <c r="A59" s="2624"/>
      <c r="B59" s="2625"/>
      <c r="C59" s="2625"/>
      <c r="D59" s="2628" t="s">
        <v>3108</v>
      </c>
      <c r="E59" s="2578" t="s">
        <v>853</v>
      </c>
      <c r="F59" s="2565" t="n">
        <f aca="false">'Dimension économique'!H15</f>
        <v>0</v>
      </c>
      <c r="G59" s="2118" t="s">
        <v>3178</v>
      </c>
      <c r="H59" s="2566" t="n">
        <v>12</v>
      </c>
      <c r="I59" s="2627"/>
      <c r="J59" s="2561"/>
      <c r="K59" s="2562"/>
    </row>
    <row r="60" customFormat="false" ht="14" hidden="false" customHeight="true" outlineLevel="0" collapsed="false">
      <c r="A60" s="2624"/>
      <c r="B60" s="2625"/>
      <c r="C60" s="2625"/>
      <c r="D60" s="2629" t="s">
        <v>3237</v>
      </c>
      <c r="E60" s="2580" t="s">
        <v>847</v>
      </c>
      <c r="F60" s="2569" t="n">
        <f aca="false">'Dimension économique'!H22</f>
        <v>3</v>
      </c>
      <c r="G60" s="2570" t="s">
        <v>3178</v>
      </c>
      <c r="H60" s="2571" t="n">
        <v>6</v>
      </c>
      <c r="I60" s="2627"/>
      <c r="J60" s="2561"/>
      <c r="K60" s="2562"/>
    </row>
    <row r="61" customFormat="false" ht="14" hidden="false" customHeight="true" outlineLevel="0" collapsed="false">
      <c r="A61" s="2624"/>
      <c r="B61" s="2630" t="s">
        <v>3113</v>
      </c>
      <c r="C61" s="2630"/>
      <c r="D61" s="2626" t="s">
        <v>3238</v>
      </c>
      <c r="E61" s="2577" t="s">
        <v>3114</v>
      </c>
      <c r="F61" s="2557" t="n">
        <f aca="false">'Dimension économique'!H29</f>
        <v>2</v>
      </c>
      <c r="G61" s="2558" t="s">
        <v>3178</v>
      </c>
      <c r="H61" s="2559" t="n">
        <v>10</v>
      </c>
      <c r="I61" s="2627" t="n">
        <f aca="false">MIN(25,SUM(F61:F64))</f>
        <v>8</v>
      </c>
      <c r="J61" s="2561" t="s">
        <v>3178</v>
      </c>
      <c r="K61" s="2562" t="n">
        <v>25</v>
      </c>
    </row>
    <row r="62" customFormat="false" ht="14" hidden="false" customHeight="true" outlineLevel="0" collapsed="false">
      <c r="A62" s="2624"/>
      <c r="B62" s="2630"/>
      <c r="C62" s="2630"/>
      <c r="D62" s="2628" t="s">
        <v>3239</v>
      </c>
      <c r="E62" s="2578" t="s">
        <v>933</v>
      </c>
      <c r="F62" s="2565" t="n">
        <f aca="false">'Dimension économique'!H40</f>
        <v>0</v>
      </c>
      <c r="G62" s="2118" t="s">
        <v>3178</v>
      </c>
      <c r="H62" s="2566" t="n">
        <v>10</v>
      </c>
      <c r="I62" s="2627"/>
      <c r="J62" s="2561"/>
      <c r="K62" s="2562"/>
    </row>
    <row r="63" customFormat="false" ht="14" hidden="false" customHeight="true" outlineLevel="0" collapsed="false">
      <c r="A63" s="2624"/>
      <c r="B63" s="2630"/>
      <c r="C63" s="2630"/>
      <c r="D63" s="2628" t="s">
        <v>3240</v>
      </c>
      <c r="E63" s="2578" t="s">
        <v>840</v>
      </c>
      <c r="F63" s="2565" t="n">
        <f aca="false">'Dimension économique'!H53</f>
        <v>2</v>
      </c>
      <c r="G63" s="2118" t="s">
        <v>3178</v>
      </c>
      <c r="H63" s="2566" t="n">
        <v>6</v>
      </c>
      <c r="I63" s="2627"/>
      <c r="J63" s="2561"/>
      <c r="K63" s="2562"/>
    </row>
    <row r="64" customFormat="false" ht="14" hidden="false" customHeight="true" outlineLevel="0" collapsed="false">
      <c r="A64" s="2624"/>
      <c r="B64" s="2630"/>
      <c r="C64" s="2630"/>
      <c r="D64" s="2629" t="s">
        <v>3241</v>
      </c>
      <c r="E64" s="2580" t="s">
        <v>862</v>
      </c>
      <c r="F64" s="2569" t="n">
        <f aca="false">'Dimension économique'!H60</f>
        <v>4</v>
      </c>
      <c r="G64" s="2570" t="s">
        <v>3178</v>
      </c>
      <c r="H64" s="2571" t="n">
        <v>4</v>
      </c>
      <c r="I64" s="2627"/>
      <c r="J64" s="2561"/>
      <c r="K64" s="2562"/>
    </row>
    <row r="65" customFormat="false" ht="14" hidden="false" customHeight="true" outlineLevel="0" collapsed="false">
      <c r="A65" s="2624"/>
      <c r="B65" s="2631" t="s">
        <v>3139</v>
      </c>
      <c r="C65" s="2631"/>
      <c r="D65" s="2626" t="s">
        <v>3242</v>
      </c>
      <c r="E65" s="2577" t="s">
        <v>856</v>
      </c>
      <c r="F65" s="2608" t="n">
        <f aca="false">'Dimension économique'!H67</f>
        <v>4</v>
      </c>
      <c r="G65" s="2558" t="s">
        <v>3178</v>
      </c>
      <c r="H65" s="2559" t="n">
        <v>15</v>
      </c>
      <c r="I65" s="2632" t="n">
        <f aca="false">MIN(20,SUM(F65:F66))</f>
        <v>10</v>
      </c>
      <c r="J65" s="2561" t="s">
        <v>3178</v>
      </c>
      <c r="K65" s="2562" t="n">
        <v>20</v>
      </c>
    </row>
    <row r="66" customFormat="false" ht="14" hidden="false" customHeight="true" outlineLevel="0" collapsed="false">
      <c r="A66" s="2624"/>
      <c r="B66" s="2631"/>
      <c r="C66" s="2631"/>
      <c r="D66" s="2629" t="s">
        <v>3243</v>
      </c>
      <c r="E66" s="2580" t="s">
        <v>866</v>
      </c>
      <c r="F66" s="2633" t="n">
        <f aca="false">'Dimension économique'!H76</f>
        <v>6</v>
      </c>
      <c r="G66" s="2570" t="s">
        <v>3178</v>
      </c>
      <c r="H66" s="2571" t="n">
        <v>8</v>
      </c>
      <c r="I66" s="2632"/>
      <c r="J66" s="2561"/>
      <c r="K66" s="2562"/>
    </row>
    <row r="67" customFormat="false" ht="14" hidden="false" customHeight="true" outlineLevel="0" collapsed="false">
      <c r="A67" s="2624"/>
      <c r="B67" s="2634" t="s">
        <v>3160</v>
      </c>
      <c r="C67" s="2634"/>
      <c r="D67" s="2626" t="s">
        <v>3244</v>
      </c>
      <c r="E67" s="2577" t="s">
        <v>815</v>
      </c>
      <c r="F67" s="2608" t="n">
        <f aca="false">'Dimension économique'!H88</f>
        <v>2</v>
      </c>
      <c r="G67" s="2558" t="s">
        <v>3178</v>
      </c>
      <c r="H67" s="2559" t="n">
        <v>12</v>
      </c>
      <c r="I67" s="2632" t="n">
        <f aca="false">MIN(20,SUM(F67:F68))</f>
        <v>8</v>
      </c>
      <c r="J67" s="2561" t="s">
        <v>3178</v>
      </c>
      <c r="K67" s="2562" t="n">
        <v>20</v>
      </c>
    </row>
    <row r="68" customFormat="false" ht="14" hidden="false" customHeight="true" outlineLevel="0" collapsed="false">
      <c r="A68" s="2624"/>
      <c r="B68" s="2634"/>
      <c r="C68" s="2634"/>
      <c r="D68" s="2629" t="s">
        <v>3245</v>
      </c>
      <c r="E68" s="2580" t="s">
        <v>822</v>
      </c>
      <c r="F68" s="2633" t="n">
        <f aca="false">'Dimension économique'!H96</f>
        <v>6</v>
      </c>
      <c r="G68" s="2570" t="s">
        <v>3178</v>
      </c>
      <c r="H68" s="2571" t="n">
        <v>8</v>
      </c>
      <c r="I68" s="2632"/>
      <c r="J68" s="2561"/>
      <c r="K68" s="2562"/>
    </row>
    <row r="69" customFormat="false" ht="14" hidden="false" customHeight="true" outlineLevel="0" collapsed="false">
      <c r="A69" s="469"/>
      <c r="B69" s="469"/>
      <c r="C69" s="469"/>
      <c r="D69" s="469"/>
      <c r="E69" s="2594"/>
      <c r="F69" s="2589" t="s">
        <v>1220</v>
      </c>
      <c r="G69" s="2589"/>
      <c r="H69" s="2589"/>
      <c r="I69" s="2590" t="n">
        <f aca="false">I58+I61+I65+I67</f>
        <v>41</v>
      </c>
      <c r="J69" s="2591" t="s">
        <v>3178</v>
      </c>
      <c r="K69" s="2592" t="n">
        <v>100</v>
      </c>
    </row>
    <row r="70" customFormat="false" ht="14" hidden="false" customHeight="true" outlineLevel="0" collapsed="false">
      <c r="E70" s="2594"/>
      <c r="F70" s="2635"/>
    </row>
    <row r="71" customFormat="false" ht="14" hidden="false" customHeight="true" outlineLevel="0" collapsed="false"/>
    <row r="72" customFormat="false" ht="14" hidden="false" customHeight="true" outlineLevel="0" collapsed="false">
      <c r="E72" s="2636" t="s">
        <v>3246</v>
      </c>
      <c r="F72" s="2636"/>
      <c r="G72" s="2636"/>
      <c r="H72" s="2636"/>
      <c r="I72" s="2590" t="n">
        <f aca="false">MIN(I29,I55,I69)</f>
        <v>41</v>
      </c>
      <c r="J72" s="2591" t="s">
        <v>3178</v>
      </c>
      <c r="K72" s="2592" t="n">
        <v>100</v>
      </c>
    </row>
    <row r="73" customFormat="false" ht="14" hidden="false" customHeight="true" outlineLevel="0" collapsed="false">
      <c r="E73" s="469"/>
      <c r="F73" s="2595"/>
    </row>
    <row r="74" customFormat="false" ht="14" hidden="false" customHeight="true" outlineLevel="0" collapsed="false">
      <c r="E74" s="469"/>
      <c r="F74" s="2595"/>
    </row>
    <row r="75" customFormat="false" ht="30" hidden="false" customHeight="false" outlineLevel="0" collapsed="false">
      <c r="A75" s="2546" t="s">
        <v>3247</v>
      </c>
      <c r="B75" s="2546"/>
      <c r="C75" s="2546"/>
      <c r="D75" s="2546"/>
      <c r="E75" s="2546"/>
      <c r="F75" s="2546"/>
      <c r="G75" s="2546"/>
      <c r="H75" s="2546"/>
      <c r="I75" s="2546"/>
      <c r="J75" s="2546"/>
      <c r="K75" s="2546"/>
    </row>
    <row r="76" customFormat="false" ht="14" hidden="false" customHeight="true" outlineLevel="0" collapsed="false">
      <c r="A76" s="146"/>
      <c r="B76" s="146"/>
      <c r="C76" s="146"/>
      <c r="D76" s="146"/>
    </row>
    <row r="77" customFormat="false" ht="14" hidden="false" customHeight="true" outlineLevel="0" collapsed="false"/>
    <row r="80" customFormat="false" ht="12.75" hidden="false" customHeight="true" outlineLevel="0" collapsed="false">
      <c r="D80" s="2637" t="s">
        <v>3248</v>
      </c>
    </row>
    <row r="81" customFormat="false" ht="12.75" hidden="false" customHeight="true" outlineLevel="0" collapsed="false">
      <c r="D81" s="2637"/>
    </row>
    <row r="82" customFormat="false" ht="12.75" hidden="false" customHeight="true" outlineLevel="0" collapsed="false">
      <c r="D82" s="2638"/>
    </row>
    <row r="83" customFormat="false" ht="12.75" hidden="false" customHeight="true" outlineLevel="0" collapsed="false">
      <c r="D83" s="2638"/>
    </row>
    <row r="84" customFormat="false" ht="12.75" hidden="false" customHeight="true" outlineLevel="0" collapsed="false">
      <c r="D84" s="2639" t="s">
        <v>2917</v>
      </c>
      <c r="E84" s="556"/>
      <c r="F84" s="556"/>
    </row>
    <row r="85" customFormat="false" ht="12.75" hidden="false" customHeight="true" outlineLevel="0" collapsed="false">
      <c r="C85" s="146"/>
      <c r="D85" s="2637" t="s">
        <v>3249</v>
      </c>
      <c r="E85" s="2637" t="n">
        <f aca="false">I29</f>
        <v>81</v>
      </c>
      <c r="F85" s="2640" t="s">
        <v>3250</v>
      </c>
    </row>
    <row r="86" customFormat="false" ht="12.75" hidden="false" customHeight="true" outlineLevel="0" collapsed="false">
      <c r="C86" s="556"/>
      <c r="D86" s="2637" t="s">
        <v>3251</v>
      </c>
      <c r="E86" s="2641" t="n">
        <f aca="false">I55</f>
        <v>74</v>
      </c>
      <c r="F86" s="2640" t="s">
        <v>3250</v>
      </c>
    </row>
    <row r="87" customFormat="false" ht="12.75" hidden="false" customHeight="true" outlineLevel="0" collapsed="false">
      <c r="C87" s="556"/>
      <c r="D87" s="2637" t="s">
        <v>3252</v>
      </c>
      <c r="E87" s="2641" t="n">
        <f aca="false">I69</f>
        <v>41</v>
      </c>
      <c r="F87" s="2640" t="s">
        <v>3250</v>
      </c>
    </row>
    <row r="88" customFormat="false" ht="12.75" hidden="false" customHeight="true" outlineLevel="0" collapsed="false">
      <c r="C88" s="146"/>
      <c r="D88" s="2637" t="s">
        <v>3246</v>
      </c>
      <c r="E88" s="2641" t="n">
        <f aca="false">MIN(E85:E87)</f>
        <v>41</v>
      </c>
      <c r="F88" s="2642" t="s">
        <v>3250</v>
      </c>
    </row>
    <row r="105" customFormat="false" ht="30" hidden="false" customHeight="false" outlineLevel="0" collapsed="false">
      <c r="A105" s="2546" t="s">
        <v>3253</v>
      </c>
      <c r="B105" s="2546"/>
      <c r="C105" s="2546"/>
      <c r="D105" s="2546"/>
      <c r="E105" s="2546"/>
      <c r="F105" s="2546"/>
      <c r="G105" s="2546"/>
      <c r="H105" s="2546"/>
      <c r="I105" s="2546"/>
      <c r="J105" s="2546"/>
      <c r="K105" s="2546"/>
      <c r="L105" s="2546"/>
      <c r="M105" s="2546"/>
      <c r="N105" s="2546"/>
      <c r="O105" s="2546"/>
      <c r="P105" s="2546"/>
      <c r="Q105" s="2546"/>
      <c r="R105" s="2546"/>
      <c r="S105" s="2546"/>
      <c r="T105" s="2546"/>
      <c r="U105" s="2546"/>
      <c r="V105" s="2546"/>
      <c r="W105" s="2546"/>
      <c r="X105" s="2546"/>
      <c r="Y105" s="2546"/>
      <c r="Z105" s="2546"/>
      <c r="AA105" s="2546"/>
      <c r="AB105" s="2546"/>
      <c r="AC105" s="2546"/>
      <c r="AD105" s="2546"/>
    </row>
    <row r="112" customFormat="false" ht="12.75" hidden="false" customHeight="true" outlineLevel="0" collapsed="false">
      <c r="D112" s="2637" t="s">
        <v>3248</v>
      </c>
    </row>
    <row r="114" customFormat="false" ht="26.5" hidden="false" customHeight="true" outlineLevel="0" collapsed="false">
      <c r="D114" s="2643" t="s">
        <v>3254</v>
      </c>
      <c r="M114" s="2644" t="s">
        <v>3255</v>
      </c>
      <c r="N114" s="2644"/>
      <c r="O114" s="2644"/>
    </row>
    <row r="115" customFormat="false" ht="12.75" hidden="false" customHeight="true" outlineLevel="0" collapsed="false">
      <c r="D115" s="2637" t="s">
        <v>2695</v>
      </c>
      <c r="F115" s="2645" t="n">
        <f aca="false">I10</f>
        <v>16</v>
      </c>
      <c r="G115" s="2646" t="s">
        <v>3178</v>
      </c>
      <c r="H115" s="2647" t="n">
        <v>20</v>
      </c>
      <c r="K115" s="2647" t="n">
        <f aca="false">H115-F115</f>
        <v>4</v>
      </c>
      <c r="M115" s="2648" t="n">
        <f aca="false">(F115/H115)*100</f>
        <v>80</v>
      </c>
      <c r="N115" s="2646" t="s">
        <v>3178</v>
      </c>
      <c r="O115" s="2647" t="n">
        <v>100</v>
      </c>
    </row>
    <row r="116" customFormat="false" ht="12.75" hidden="false" customHeight="true" outlineLevel="0" collapsed="false">
      <c r="D116" s="2637" t="s">
        <v>2788</v>
      </c>
      <c r="F116" s="2649" t="n">
        <f aca="false">I15</f>
        <v>12</v>
      </c>
      <c r="G116" s="2646" t="s">
        <v>3178</v>
      </c>
      <c r="H116" s="2647" t="n">
        <v>20</v>
      </c>
      <c r="K116" s="2647" t="n">
        <f aca="false">H116-F116</f>
        <v>8</v>
      </c>
      <c r="M116" s="2648" t="n">
        <f aca="false">(F116/H116)*100</f>
        <v>60</v>
      </c>
      <c r="N116" s="2646" t="s">
        <v>3178</v>
      </c>
      <c r="O116" s="2647" t="n">
        <v>100</v>
      </c>
    </row>
    <row r="117" customFormat="false" ht="12.75" hidden="false" customHeight="true" outlineLevel="0" collapsed="false">
      <c r="D117" s="2637" t="s">
        <v>2810</v>
      </c>
      <c r="F117" s="2645" t="n">
        <f aca="false">I18</f>
        <v>20</v>
      </c>
      <c r="G117" s="2646" t="s">
        <v>3178</v>
      </c>
      <c r="H117" s="2647" t="n">
        <v>20</v>
      </c>
      <c r="K117" s="2647" t="n">
        <f aca="false">H117-F117</f>
        <v>0</v>
      </c>
      <c r="M117" s="2648" t="n">
        <f aca="false">(F117/H117)*100</f>
        <v>100</v>
      </c>
      <c r="N117" s="2646" t="s">
        <v>3178</v>
      </c>
      <c r="O117" s="2647" t="n">
        <v>100</v>
      </c>
    </row>
    <row r="118" customFormat="false" ht="12.75" hidden="false" customHeight="true" outlineLevel="0" collapsed="false">
      <c r="D118" s="2637" t="s">
        <v>2821</v>
      </c>
      <c r="F118" s="2645" t="n">
        <f aca="false">I21</f>
        <v>16</v>
      </c>
      <c r="G118" s="2646" t="s">
        <v>3178</v>
      </c>
      <c r="H118" s="2647" t="n">
        <v>20</v>
      </c>
      <c r="K118" s="2647" t="n">
        <f aca="false">H118-F118</f>
        <v>4</v>
      </c>
      <c r="M118" s="2648" t="n">
        <f aca="false">(F118/H118)*100</f>
        <v>80</v>
      </c>
      <c r="N118" s="2646" t="s">
        <v>3178</v>
      </c>
      <c r="O118" s="2647" t="n">
        <v>100</v>
      </c>
    </row>
    <row r="119" customFormat="false" ht="12.75" hidden="false" customHeight="true" outlineLevel="0" collapsed="false">
      <c r="D119" s="2637" t="s">
        <v>3256</v>
      </c>
      <c r="F119" s="2645" t="n">
        <f aca="false">I25</f>
        <v>17</v>
      </c>
      <c r="G119" s="2646" t="s">
        <v>3178</v>
      </c>
      <c r="H119" s="2647" t="n">
        <v>20</v>
      </c>
      <c r="K119" s="2647" t="n">
        <f aca="false">H119-F119</f>
        <v>3</v>
      </c>
      <c r="M119" s="2648" t="n">
        <f aca="false">(F119/H119)*100</f>
        <v>85</v>
      </c>
      <c r="N119" s="2646" t="s">
        <v>3178</v>
      </c>
      <c r="O119" s="2647" t="n">
        <v>100</v>
      </c>
    </row>
    <row r="120" customFormat="false" ht="12.75" hidden="false" customHeight="true" outlineLevel="0" collapsed="false">
      <c r="D120" s="2637" t="s">
        <v>2919</v>
      </c>
      <c r="F120" s="2650" t="n">
        <f aca="false">I32</f>
        <v>17</v>
      </c>
      <c r="G120" s="2646" t="s">
        <v>3178</v>
      </c>
      <c r="H120" s="2647" t="n">
        <v>25</v>
      </c>
      <c r="K120" s="2647" t="n">
        <f aca="false">H120-F120</f>
        <v>8</v>
      </c>
      <c r="M120" s="2648" t="n">
        <f aca="false">(F120/H120)*100</f>
        <v>68</v>
      </c>
      <c r="N120" s="2646" t="s">
        <v>3178</v>
      </c>
      <c r="O120" s="2647" t="n">
        <v>100</v>
      </c>
    </row>
    <row r="121" customFormat="false" ht="12.75" hidden="false" customHeight="true" outlineLevel="0" collapsed="false">
      <c r="D121" s="2637" t="s">
        <v>2956</v>
      </c>
      <c r="F121" s="2650" t="n">
        <f aca="false">I37</f>
        <v>23</v>
      </c>
      <c r="G121" s="2646" t="s">
        <v>3178</v>
      </c>
      <c r="H121" s="2647" t="n">
        <v>25</v>
      </c>
      <c r="K121" s="2647" t="n">
        <f aca="false">H121-F121</f>
        <v>2</v>
      </c>
      <c r="M121" s="2648" t="n">
        <f aca="false">(F121/H121)*100</f>
        <v>92</v>
      </c>
      <c r="N121" s="2646" t="s">
        <v>3178</v>
      </c>
      <c r="O121" s="2647" t="n">
        <v>100</v>
      </c>
    </row>
    <row r="122" customFormat="false" ht="12.75" hidden="false" customHeight="true" outlineLevel="0" collapsed="false">
      <c r="D122" s="2637" t="s">
        <v>3013</v>
      </c>
      <c r="F122" s="2650" t="n">
        <f aca="false">I45</f>
        <v>12</v>
      </c>
      <c r="G122" s="2646" t="s">
        <v>3178</v>
      </c>
      <c r="H122" s="2647" t="n">
        <v>25</v>
      </c>
      <c r="K122" s="2647" t="n">
        <f aca="false">H122-F122</f>
        <v>13</v>
      </c>
      <c r="M122" s="2648" t="n">
        <f aca="false">(F122/H122)*100</f>
        <v>48</v>
      </c>
      <c r="N122" s="2646" t="s">
        <v>3178</v>
      </c>
      <c r="O122" s="2647" t="n">
        <v>100</v>
      </c>
    </row>
    <row r="123" customFormat="false" ht="12.75" hidden="false" customHeight="true" outlineLevel="0" collapsed="false">
      <c r="D123" s="2637" t="s">
        <v>3059</v>
      </c>
      <c r="F123" s="2645" t="n">
        <f aca="false">I50</f>
        <v>22</v>
      </c>
      <c r="G123" s="2646" t="s">
        <v>3178</v>
      </c>
      <c r="H123" s="2647" t="n">
        <v>25</v>
      </c>
      <c r="K123" s="2647" t="n">
        <f aca="false">H123-F123</f>
        <v>3</v>
      </c>
      <c r="M123" s="2648" t="n">
        <f aca="false">(F123/H123)*100</f>
        <v>88</v>
      </c>
      <c r="N123" s="2646" t="s">
        <v>3178</v>
      </c>
      <c r="O123" s="2647" t="n">
        <v>100</v>
      </c>
    </row>
    <row r="124" customFormat="false" ht="12.75" hidden="false" customHeight="true" outlineLevel="0" collapsed="false">
      <c r="A124" s="146"/>
      <c r="B124" s="146"/>
      <c r="C124" s="146"/>
      <c r="D124" s="2637" t="s">
        <v>3098</v>
      </c>
      <c r="F124" s="2645" t="n">
        <f aca="false">I58</f>
        <v>15</v>
      </c>
      <c r="G124" s="2646" t="s">
        <v>3178</v>
      </c>
      <c r="H124" s="2647" t="n">
        <v>35</v>
      </c>
      <c r="K124" s="2647" t="n">
        <f aca="false">H124-F124</f>
        <v>20</v>
      </c>
      <c r="M124" s="2648" t="n">
        <f aca="false">(F124/H124)*100</f>
        <v>42.8571428571429</v>
      </c>
      <c r="N124" s="2646" t="s">
        <v>3178</v>
      </c>
      <c r="O124" s="2647" t="n">
        <v>100</v>
      </c>
    </row>
    <row r="125" customFormat="false" ht="12.75" hidden="false" customHeight="true" outlineLevel="0" collapsed="false">
      <c r="A125" s="146"/>
      <c r="B125" s="146"/>
      <c r="C125" s="146"/>
      <c r="D125" s="2637" t="s">
        <v>3113</v>
      </c>
      <c r="F125" s="2650" t="n">
        <f aca="false">I61</f>
        <v>8</v>
      </c>
      <c r="G125" s="2646" t="s">
        <v>3178</v>
      </c>
      <c r="H125" s="2647" t="n">
        <v>25</v>
      </c>
      <c r="K125" s="2647" t="n">
        <f aca="false">H125-F125</f>
        <v>17</v>
      </c>
      <c r="M125" s="2648" t="n">
        <f aca="false">(F125/H125)*100</f>
        <v>32</v>
      </c>
      <c r="N125" s="2646" t="s">
        <v>3178</v>
      </c>
      <c r="O125" s="2647" t="n">
        <v>100</v>
      </c>
    </row>
    <row r="126" customFormat="false" ht="12.75" hidden="false" customHeight="true" outlineLevel="0" collapsed="false">
      <c r="A126" s="146"/>
      <c r="B126" s="556"/>
      <c r="C126" s="556"/>
      <c r="D126" s="2637" t="s">
        <v>3139</v>
      </c>
      <c r="F126" s="2650" t="n">
        <f aca="false">I65</f>
        <v>10</v>
      </c>
      <c r="G126" s="2646" t="s">
        <v>3178</v>
      </c>
      <c r="H126" s="2647" t="n">
        <v>20</v>
      </c>
      <c r="K126" s="2647" t="n">
        <f aca="false">H126-F126</f>
        <v>10</v>
      </c>
      <c r="M126" s="2648" t="n">
        <f aca="false">(F126/H126)*100</f>
        <v>50</v>
      </c>
      <c r="N126" s="2646" t="s">
        <v>3178</v>
      </c>
      <c r="O126" s="2647" t="n">
        <v>100</v>
      </c>
    </row>
    <row r="127" customFormat="false" ht="12.75" hidden="false" customHeight="true" outlineLevel="0" collapsed="false">
      <c r="D127" s="2651" t="s">
        <v>3160</v>
      </c>
      <c r="F127" s="2652" t="n">
        <f aca="false">I67</f>
        <v>8</v>
      </c>
      <c r="G127" s="2646" t="s">
        <v>3178</v>
      </c>
      <c r="H127" s="2647" t="n">
        <v>20</v>
      </c>
      <c r="K127" s="2647" t="n">
        <f aca="false">H127-F127</f>
        <v>12</v>
      </c>
      <c r="M127" s="2648" t="n">
        <f aca="false">(F127/H127)*100</f>
        <v>40</v>
      </c>
      <c r="N127" s="2646" t="s">
        <v>3178</v>
      </c>
      <c r="O127" s="2647" t="n">
        <v>100</v>
      </c>
    </row>
    <row r="128" customFormat="false" ht="12.75" hidden="false" customHeight="true" outlineLevel="0" collapsed="false">
      <c r="G128" s="2653"/>
      <c r="M128" s="146"/>
    </row>
    <row r="145" customFormat="false" ht="30" hidden="false" customHeight="false" outlineLevel="0" collapsed="false">
      <c r="A145" s="2546" t="s">
        <v>3257</v>
      </c>
      <c r="B145" s="2546"/>
      <c r="C145" s="2546"/>
      <c r="D145" s="2546"/>
      <c r="E145" s="2546"/>
      <c r="F145" s="2546"/>
      <c r="G145" s="2546"/>
      <c r="H145" s="2546"/>
      <c r="I145" s="2546"/>
      <c r="J145" s="2546"/>
      <c r="K145" s="2546"/>
      <c r="L145" s="2546"/>
      <c r="M145" s="2546"/>
      <c r="N145" s="2546"/>
      <c r="O145" s="2546"/>
      <c r="P145" s="2546"/>
      <c r="Q145" s="2546"/>
      <c r="R145" s="2546"/>
      <c r="S145" s="2546"/>
      <c r="T145" s="2546"/>
      <c r="U145" s="2546"/>
      <c r="V145" s="2546"/>
      <c r="W145" s="2546"/>
      <c r="X145" s="2546"/>
      <c r="Y145" s="2546"/>
      <c r="Z145" s="2546"/>
      <c r="AA145" s="2546"/>
      <c r="AB145" s="2546"/>
      <c r="AC145" s="2546"/>
      <c r="AD145" s="2546"/>
    </row>
    <row r="147" customFormat="false" ht="10.25" hidden="false" customHeight="true" outlineLevel="0" collapsed="false">
      <c r="D147" s="2654"/>
      <c r="E147" s="2654"/>
      <c r="F147" s="2655"/>
      <c r="G147" s="2656"/>
      <c r="H147" s="2657"/>
      <c r="I147" s="2658"/>
      <c r="J147" s="2659"/>
      <c r="K147" s="2660"/>
      <c r="L147" s="2654"/>
    </row>
    <row r="148" customFormat="false" ht="10.25" hidden="false" customHeight="true" outlineLevel="0" collapsed="false">
      <c r="D148" s="2654"/>
      <c r="E148" s="2654"/>
      <c r="F148" s="2655"/>
      <c r="G148" s="2656"/>
      <c r="H148" s="2657"/>
      <c r="I148" s="2658"/>
      <c r="J148" s="2659"/>
      <c r="K148" s="2660"/>
      <c r="L148" s="2654"/>
    </row>
    <row r="149" customFormat="false" ht="10.25" hidden="false" customHeight="true" outlineLevel="0" collapsed="false">
      <c r="D149" s="2661" t="s">
        <v>3248</v>
      </c>
      <c r="E149" s="2654"/>
      <c r="F149" s="2655"/>
      <c r="G149" s="2656"/>
      <c r="H149" s="2657"/>
      <c r="I149" s="2658"/>
      <c r="J149" s="2659"/>
      <c r="K149" s="2660"/>
      <c r="L149" s="2654"/>
    </row>
    <row r="150" customFormat="false" ht="10.25" hidden="false" customHeight="true" outlineLevel="0" collapsed="false">
      <c r="D150" s="2662"/>
      <c r="E150" s="2663" t="s">
        <v>3258</v>
      </c>
      <c r="F150" s="2663"/>
      <c r="G150" s="2663"/>
      <c r="H150" s="2663"/>
      <c r="I150" s="2664" t="s">
        <v>3259</v>
      </c>
      <c r="J150" s="2664"/>
      <c r="K150" s="2664"/>
      <c r="L150" s="2654"/>
    </row>
    <row r="151" customFormat="false" ht="10.25" hidden="false" customHeight="true" outlineLevel="0" collapsed="false">
      <c r="D151" s="2662" t="str">
        <f aca="false">D10</f>
        <v>Diversité des espèces cultivées</v>
      </c>
      <c r="E151" s="2654"/>
      <c r="F151" s="2662" t="n">
        <f aca="false">F10</f>
        <v>5</v>
      </c>
      <c r="G151" s="2665" t="s">
        <v>3178</v>
      </c>
      <c r="H151" s="2662" t="n">
        <f aca="false">H10</f>
        <v>5</v>
      </c>
      <c r="I151" s="2658"/>
      <c r="J151" s="2659"/>
      <c r="K151" s="2662" t="n">
        <f aca="false">H151-F151</f>
        <v>0</v>
      </c>
      <c r="L151" s="2654"/>
    </row>
    <row r="152" customFormat="false" ht="10.25" hidden="false" customHeight="true" outlineLevel="0" collapsed="false">
      <c r="D152" s="2662" t="str">
        <f aca="false">D11</f>
        <v>Diversité génétique</v>
      </c>
      <c r="E152" s="2654"/>
      <c r="F152" s="2662" t="n">
        <f aca="false">F11</f>
        <v>2</v>
      </c>
      <c r="G152" s="2665" t="s">
        <v>3178</v>
      </c>
      <c r="H152" s="2662" t="n">
        <f aca="false">H11</f>
        <v>5</v>
      </c>
      <c r="I152" s="2658"/>
      <c r="J152" s="2659"/>
      <c r="K152" s="2662" t="n">
        <f aca="false">H152-F152</f>
        <v>3</v>
      </c>
      <c r="L152" s="2654"/>
    </row>
    <row r="153" customFormat="false" ht="10.25" hidden="false" customHeight="true" outlineLevel="0" collapsed="false">
      <c r="D153" s="2662" t="str">
        <f aca="false">D12</f>
        <v>Diversité temporelle des cultures</v>
      </c>
      <c r="E153" s="2654"/>
      <c r="F153" s="2662" t="n">
        <f aca="false">F12</f>
        <v>5</v>
      </c>
      <c r="G153" s="2665" t="s">
        <v>3178</v>
      </c>
      <c r="H153" s="2662" t="n">
        <f aca="false">H12</f>
        <v>5</v>
      </c>
      <c r="I153" s="2658"/>
      <c r="J153" s="2659"/>
      <c r="K153" s="2662" t="n">
        <f aca="false">H153-F153</f>
        <v>0</v>
      </c>
      <c r="L153" s="2654"/>
    </row>
    <row r="154" customFormat="false" ht="10.25" hidden="false" customHeight="true" outlineLevel="0" collapsed="false">
      <c r="D154" s="2662" t="str">
        <f aca="false">D13</f>
        <v>Qualité de l'organisation spatiale</v>
      </c>
      <c r="E154" s="2654"/>
      <c r="F154" s="2662" t="n">
        <f aca="false">F13</f>
        <v>1</v>
      </c>
      <c r="G154" s="2665" t="s">
        <v>3178</v>
      </c>
      <c r="H154" s="2662" t="n">
        <f aca="false">H13</f>
        <v>5</v>
      </c>
      <c r="I154" s="2658"/>
      <c r="J154" s="2659"/>
      <c r="K154" s="2662" t="n">
        <f aca="false">H154-F154</f>
        <v>4</v>
      </c>
      <c r="L154" s="2654"/>
    </row>
    <row r="155" customFormat="false" ht="10.25" hidden="false" customHeight="true" outlineLevel="0" collapsed="false">
      <c r="D155" s="2662" t="str">
        <f aca="false">D14</f>
        <v>Gestion des insectes pollinisateurs et des auxiliaires des cultures </v>
      </c>
      <c r="E155" s="2654"/>
      <c r="F155" s="2662" t="n">
        <f aca="false">F14</f>
        <v>3</v>
      </c>
      <c r="G155" s="2665" t="s">
        <v>3178</v>
      </c>
      <c r="H155" s="2662" t="n">
        <f aca="false">H14</f>
        <v>5</v>
      </c>
      <c r="I155" s="2658"/>
      <c r="J155" s="2659"/>
      <c r="K155" s="2662" t="n">
        <f aca="false">H155-F155</f>
        <v>2</v>
      </c>
      <c r="L155" s="2654"/>
    </row>
    <row r="156" customFormat="false" ht="10.25" hidden="false" customHeight="true" outlineLevel="0" collapsed="false">
      <c r="D156" s="2662" t="str">
        <f aca="false">D15</f>
        <v>Autonomie en énergie, matériaux, matériels, semences et plants</v>
      </c>
      <c r="E156" s="2654"/>
      <c r="F156" s="2662" t="n">
        <f aca="false">F15</f>
        <v>2</v>
      </c>
      <c r="G156" s="2665" t="s">
        <v>3178</v>
      </c>
      <c r="H156" s="2662" t="n">
        <f aca="false">H15</f>
        <v>8</v>
      </c>
      <c r="I156" s="2658"/>
      <c r="J156" s="2659"/>
      <c r="K156" s="2662" t="n">
        <f aca="false">H156-F156</f>
        <v>6</v>
      </c>
      <c r="L156" s="2654"/>
    </row>
    <row r="157" customFormat="false" ht="10.25" hidden="false" customHeight="true" outlineLevel="0" collapsed="false">
      <c r="D157" s="2662" t="str">
        <f aca="false">D16</f>
        <v>Autonomie alimentaire de l’élevage</v>
      </c>
      <c r="E157" s="2654"/>
      <c r="F157" s="2662" t="n">
        <f aca="false">F16</f>
        <v>6</v>
      </c>
      <c r="G157" s="2665" t="s">
        <v>3178</v>
      </c>
      <c r="H157" s="2662" t="n">
        <f aca="false">H16</f>
        <v>8</v>
      </c>
      <c r="I157" s="2658"/>
      <c r="J157" s="2659"/>
      <c r="K157" s="2662" t="n">
        <f aca="false">H157-F157</f>
        <v>2</v>
      </c>
      <c r="L157" s="2654"/>
    </row>
    <row r="158" customFormat="false" ht="10.25" hidden="false" customHeight="true" outlineLevel="0" collapsed="false">
      <c r="D158" s="2662" t="str">
        <f aca="false">D17</f>
        <v>Autonomie en azote</v>
      </c>
      <c r="E158" s="2654"/>
      <c r="F158" s="2662" t="n">
        <f aca="false">F17</f>
        <v>4</v>
      </c>
      <c r="G158" s="2665" t="s">
        <v>3178</v>
      </c>
      <c r="H158" s="2662" t="n">
        <f aca="false">H17</f>
        <v>8</v>
      </c>
      <c r="I158" s="2658"/>
      <c r="J158" s="2659"/>
      <c r="K158" s="2662" t="n">
        <f aca="false">H158-F158</f>
        <v>4</v>
      </c>
      <c r="L158" s="2654"/>
    </row>
    <row r="159" customFormat="false" ht="10.25" hidden="false" customHeight="true" outlineLevel="0" collapsed="false">
      <c r="D159" s="2662" t="str">
        <f aca="false">D18</f>
        <v>Sobriété dans l'usage de l'eau et partage de la ressource</v>
      </c>
      <c r="E159" s="2654"/>
      <c r="F159" s="2662" t="n">
        <f aca="false">F18</f>
        <v>8</v>
      </c>
      <c r="G159" s="2665" t="s">
        <v>3178</v>
      </c>
      <c r="H159" s="2662" t="n">
        <f aca="false">H18</f>
        <v>8</v>
      </c>
      <c r="I159" s="2658"/>
      <c r="J159" s="2659"/>
      <c r="K159" s="2662" t="n">
        <f aca="false">H159-F159</f>
        <v>0</v>
      </c>
      <c r="L159" s="2654"/>
    </row>
    <row r="160" customFormat="false" ht="10.25" hidden="false" customHeight="true" outlineLevel="0" collapsed="false">
      <c r="D160" s="2662" t="str">
        <f aca="false">D19</f>
        <v>Sobriété dans l'utilisation du phosphore</v>
      </c>
      <c r="E160" s="2654"/>
      <c r="F160" s="2662" t="n">
        <f aca="false">F19</f>
        <v>8</v>
      </c>
      <c r="G160" s="2665" t="s">
        <v>3178</v>
      </c>
      <c r="H160" s="2662" t="n">
        <f aca="false">H19</f>
        <v>8</v>
      </c>
      <c r="I160" s="2658"/>
      <c r="J160" s="2659"/>
      <c r="K160" s="2662" t="n">
        <f aca="false">H160-F160</f>
        <v>0</v>
      </c>
      <c r="L160" s="2654"/>
    </row>
    <row r="161" customFormat="false" ht="10.25" hidden="false" customHeight="true" outlineLevel="0" collapsed="false">
      <c r="D161" s="2662" t="str">
        <f aca="false">D20</f>
        <v>Sobriété dans la consommation en énergie</v>
      </c>
      <c r="E161" s="2654"/>
      <c r="F161" s="2662" t="n">
        <f aca="false">F20</f>
        <v>8</v>
      </c>
      <c r="G161" s="2665" t="s">
        <v>3178</v>
      </c>
      <c r="H161" s="2662" t="n">
        <f aca="false">H20</f>
        <v>8</v>
      </c>
      <c r="I161" s="2658"/>
      <c r="J161" s="2659"/>
      <c r="K161" s="2662" t="n">
        <f aca="false">H161-F161</f>
        <v>0</v>
      </c>
      <c r="L161" s="2654"/>
    </row>
    <row r="162" customFormat="false" ht="10.25" hidden="false" customHeight="true" outlineLevel="0" collapsed="false">
      <c r="D162" s="2662" t="str">
        <f aca="false">D21</f>
        <v>Raisonner l'utilisation de l'eau</v>
      </c>
      <c r="E162" s="2654"/>
      <c r="F162" s="2662" t="n">
        <f aca="false">F21</f>
        <v>5</v>
      </c>
      <c r="G162" s="2665" t="s">
        <v>3178</v>
      </c>
      <c r="H162" s="2662" t="n">
        <f aca="false">H21</f>
        <v>8</v>
      </c>
      <c r="I162" s="2658"/>
      <c r="J162" s="2659"/>
      <c r="K162" s="2662" t="n">
        <f aca="false">H162-F162</f>
        <v>3</v>
      </c>
      <c r="L162" s="2654"/>
    </row>
    <row r="163" customFormat="false" ht="10.25" hidden="false" customHeight="true" outlineLevel="0" collapsed="false">
      <c r="D163" s="2662" t="str">
        <f aca="false">D22</f>
        <v>Favoriser la fertilité du sol</v>
      </c>
      <c r="E163" s="2654"/>
      <c r="F163" s="2662" t="n">
        <f aca="false">F22</f>
        <v>5</v>
      </c>
      <c r="G163" s="2665" t="s">
        <v>3178</v>
      </c>
      <c r="H163" s="2662" t="n">
        <f aca="false">H22</f>
        <v>8</v>
      </c>
      <c r="I163" s="2658"/>
      <c r="J163" s="2659"/>
      <c r="K163" s="2662" t="n">
        <f aca="false">H163-F163</f>
        <v>3</v>
      </c>
      <c r="L163" s="2654"/>
    </row>
    <row r="164" customFormat="false" ht="10.25" hidden="false" customHeight="true" outlineLevel="0" collapsed="false">
      <c r="D164" s="2662" t="str">
        <f aca="false">D23</f>
        <v>Maintenir l'efficacité de la protection sanitaire 
des cultures et des animaux</v>
      </c>
      <c r="E164" s="2654"/>
      <c r="F164" s="2662" t="n">
        <f aca="false">F23</f>
        <v>2</v>
      </c>
      <c r="G164" s="2665" t="s">
        <v>3178</v>
      </c>
      <c r="H164" s="2662" t="n">
        <f aca="false">H23</f>
        <v>4</v>
      </c>
      <c r="I164" s="2658"/>
      <c r="J164" s="2659"/>
      <c r="K164" s="2662" t="n">
        <f aca="false">H164-F164</f>
        <v>2</v>
      </c>
      <c r="L164" s="2654"/>
    </row>
    <row r="165" customFormat="false" ht="10.25" hidden="false" customHeight="true" outlineLevel="0" collapsed="false">
      <c r="D165" s="2662" t="str">
        <f aca="false">D24</f>
        <v>Sécuriser la disponibilité des moyens matériels de production</v>
      </c>
      <c r="E165" s="2654"/>
      <c r="F165" s="2662" t="n">
        <f aca="false">F24</f>
        <v>4</v>
      </c>
      <c r="G165" s="2665" t="s">
        <v>3178</v>
      </c>
      <c r="H165" s="2662" t="n">
        <f aca="false">H24</f>
        <v>4</v>
      </c>
      <c r="I165" s="2658"/>
      <c r="J165" s="2659"/>
      <c r="K165" s="2662" t="n">
        <f aca="false">H165-F165</f>
        <v>0</v>
      </c>
      <c r="L165" s="2654"/>
    </row>
    <row r="166" customFormat="false" ht="10.25" hidden="false" customHeight="true" outlineLevel="0" collapsed="false">
      <c r="D166" s="2662" t="str">
        <f aca="false">D25</f>
        <v>Réduire l'impact des pratiques sur la qualité de l'eau</v>
      </c>
      <c r="E166" s="2654"/>
      <c r="F166" s="2662" t="n">
        <f aca="false">F25</f>
        <v>5</v>
      </c>
      <c r="G166" s="2665" t="s">
        <v>3178</v>
      </c>
      <c r="H166" s="2662" t="n">
        <f aca="false">H25</f>
        <v>6</v>
      </c>
      <c r="I166" s="2658"/>
      <c r="J166" s="2659"/>
      <c r="K166" s="2662" t="n">
        <f aca="false">H166-F166</f>
        <v>1</v>
      </c>
      <c r="L166" s="2654"/>
    </row>
    <row r="167" customFormat="false" ht="10.25" hidden="false" customHeight="true" outlineLevel="0" collapsed="false">
      <c r="D167" s="2662" t="str">
        <f aca="false">D26</f>
        <v>Réduire l'impact des pratiques sur la qualité de l'air</v>
      </c>
      <c r="E167" s="2654"/>
      <c r="F167" s="2662" t="n">
        <f aca="false">F26</f>
        <v>4</v>
      </c>
      <c r="G167" s="2665" t="s">
        <v>3178</v>
      </c>
      <c r="H167" s="2662" t="n">
        <f aca="false">H26</f>
        <v>6</v>
      </c>
      <c r="I167" s="2658"/>
      <c r="J167" s="2659"/>
      <c r="K167" s="2662" t="n">
        <f aca="false">H167-F167</f>
        <v>2</v>
      </c>
      <c r="L167" s="2654"/>
    </row>
    <row r="168" customFormat="false" ht="10.25" hidden="false" customHeight="true" outlineLevel="0" collapsed="false">
      <c r="D168" s="2662" t="str">
        <f aca="false">D27</f>
        <v>Réduire l'impact des pratiques sur le changement climatique</v>
      </c>
      <c r="E168" s="2654"/>
      <c r="F168" s="2662" t="n">
        <f aca="false">F27</f>
        <v>4</v>
      </c>
      <c r="G168" s="2665" t="s">
        <v>3178</v>
      </c>
      <c r="H168" s="2662" t="n">
        <f aca="false">H27</f>
        <v>6</v>
      </c>
      <c r="I168" s="2658"/>
      <c r="J168" s="2659"/>
      <c r="K168" s="2662" t="n">
        <f aca="false">H168-F168</f>
        <v>2</v>
      </c>
      <c r="L168" s="2654"/>
    </row>
    <row r="169" customFormat="false" ht="10.25" hidden="false" customHeight="true" outlineLevel="0" collapsed="false">
      <c r="D169" s="2662" t="str">
        <f aca="false">D28</f>
        <v>Réduire l'usage des produits phytosanitaires 
et des traitements vétérinaires</v>
      </c>
      <c r="E169" s="2654"/>
      <c r="F169" s="2662" t="n">
        <f aca="false">F28</f>
        <v>4</v>
      </c>
      <c r="G169" s="2665" t="s">
        <v>3178</v>
      </c>
      <c r="H169" s="2662" t="n">
        <f aca="false">H28</f>
        <v>6</v>
      </c>
      <c r="I169" s="2658"/>
      <c r="J169" s="2659"/>
      <c r="K169" s="2662" t="n">
        <f aca="false">H169-F169</f>
        <v>2</v>
      </c>
      <c r="L169" s="2654"/>
    </row>
    <row r="170" customFormat="false" ht="10.25" hidden="false" customHeight="true" outlineLevel="0" collapsed="false">
      <c r="D170" s="2662"/>
      <c r="E170" s="2654"/>
      <c r="F170" s="2655"/>
      <c r="G170" s="2656"/>
      <c r="H170" s="2657"/>
      <c r="I170" s="2658"/>
      <c r="J170" s="2659"/>
      <c r="K170" s="2662"/>
      <c r="L170" s="2654"/>
    </row>
    <row r="171" customFormat="false" ht="10.25" hidden="false" customHeight="true" outlineLevel="0" collapsed="false">
      <c r="D171" s="2662"/>
      <c r="E171" s="2654"/>
      <c r="F171" s="2655"/>
      <c r="G171" s="2656"/>
      <c r="H171" s="2662"/>
      <c r="I171" s="2662"/>
      <c r="J171" s="2654"/>
      <c r="K171" s="2662"/>
      <c r="L171" s="2654"/>
    </row>
    <row r="172" customFormat="false" ht="10.25" hidden="false" customHeight="true" outlineLevel="0" collapsed="false">
      <c r="D172" s="2662"/>
      <c r="E172" s="2654"/>
      <c r="F172" s="2655"/>
      <c r="G172" s="2656"/>
      <c r="H172" s="2657"/>
      <c r="I172" s="2658"/>
      <c r="J172" s="2654"/>
      <c r="K172" s="2662"/>
      <c r="L172" s="2654"/>
    </row>
    <row r="173" customFormat="false" ht="10.25" hidden="false" customHeight="true" outlineLevel="0" collapsed="false">
      <c r="D173" s="2662" t="str">
        <f aca="false">D32</f>
        <v>Production alimentaire de l'exploitation</v>
      </c>
      <c r="E173" s="2654"/>
      <c r="F173" s="2662" t="n">
        <f aca="false">F32</f>
        <v>6</v>
      </c>
      <c r="G173" s="2665" t="s">
        <v>3178</v>
      </c>
      <c r="H173" s="2662" t="n">
        <f aca="false">H32</f>
        <v>6</v>
      </c>
      <c r="I173" s="2658"/>
      <c r="J173" s="2654"/>
      <c r="K173" s="2662" t="n">
        <f aca="false">H173-F173</f>
        <v>0</v>
      </c>
      <c r="L173" s="2654"/>
    </row>
    <row r="174" customFormat="false" ht="10.25" hidden="false" customHeight="true" outlineLevel="0" collapsed="false">
      <c r="D174" s="2662" t="str">
        <f aca="false">D33</f>
        <v>Contribution à l’équilibre alimentaire mondial</v>
      </c>
      <c r="E174" s="2654"/>
      <c r="F174" s="2662" t="n">
        <f aca="false">F33</f>
        <v>6</v>
      </c>
      <c r="G174" s="2665" t="s">
        <v>3178</v>
      </c>
      <c r="H174" s="2662" t="n">
        <f aca="false">H33</f>
        <v>6</v>
      </c>
      <c r="I174" s="2658"/>
      <c r="J174" s="2654"/>
      <c r="K174" s="2662" t="n">
        <f aca="false">H174-F174</f>
        <v>0</v>
      </c>
      <c r="L174" s="2654"/>
    </row>
    <row r="175" customFormat="false" ht="10.25" hidden="false" customHeight="true" outlineLevel="0" collapsed="false">
      <c r="D175" s="2662" t="str">
        <f aca="false">D34</f>
        <v>Qualités de la production </v>
      </c>
      <c r="E175" s="2654"/>
      <c r="F175" s="2662" t="n">
        <f aca="false">F34</f>
        <v>0</v>
      </c>
      <c r="G175" s="2665" t="s">
        <v>3178</v>
      </c>
      <c r="H175" s="2662" t="n">
        <f aca="false">H34</f>
        <v>6</v>
      </c>
      <c r="I175" s="2658"/>
      <c r="J175" s="2654"/>
      <c r="K175" s="2662" t="n">
        <f aca="false">H175-F175</f>
        <v>6</v>
      </c>
      <c r="L175" s="2654"/>
    </row>
    <row r="176" customFormat="false" ht="10.25" hidden="false" customHeight="true" outlineLevel="0" collapsed="false">
      <c r="D176" s="2662" t="str">
        <f aca="false">D35</f>
        <v>Pertes et gaspillage</v>
      </c>
      <c r="E176" s="2654"/>
      <c r="F176" s="2662" t="n">
        <f aca="false">F35</f>
        <v>2</v>
      </c>
      <c r="G176" s="2665" t="s">
        <v>3178</v>
      </c>
      <c r="H176" s="2662" t="n">
        <f aca="false">H35</f>
        <v>6</v>
      </c>
      <c r="I176" s="2658"/>
      <c r="J176" s="2654"/>
      <c r="K176" s="2662" t="n">
        <f aca="false">H176-F176</f>
        <v>4</v>
      </c>
      <c r="L176" s="2654"/>
    </row>
    <row r="177" customFormat="false" ht="10.25" hidden="false" customHeight="true" outlineLevel="0" collapsed="false">
      <c r="D177" s="2662" t="str">
        <f aca="false">D36</f>
        <v>Liens sociaux, hédoniques et culturels à l'alimentation</v>
      </c>
      <c r="E177" s="2654"/>
      <c r="F177" s="2662" t="n">
        <f aca="false">F36</f>
        <v>3</v>
      </c>
      <c r="G177" s="2665" t="s">
        <v>3178</v>
      </c>
      <c r="H177" s="2662" t="n">
        <f aca="false">H36</f>
        <v>6</v>
      </c>
      <c r="I177" s="2658"/>
      <c r="J177" s="2654"/>
      <c r="K177" s="2662" t="n">
        <f aca="false">H177-F177</f>
        <v>3</v>
      </c>
      <c r="L177" s="2654"/>
    </row>
    <row r="178" customFormat="false" ht="10.25" hidden="false" customHeight="true" outlineLevel="0" collapsed="false">
      <c r="D178" s="2662" t="str">
        <f aca="false">D37</f>
        <v>Engagement dans des démarches 
environnementales contractualisées et territoriales</v>
      </c>
      <c r="E178" s="2654"/>
      <c r="F178" s="2662" t="n">
        <f aca="false">F37</f>
        <v>5</v>
      </c>
      <c r="G178" s="2665" t="s">
        <v>3178</v>
      </c>
      <c r="H178" s="2662" t="n">
        <f aca="false">H37</f>
        <v>5</v>
      </c>
      <c r="I178" s="2658"/>
      <c r="J178" s="2654"/>
      <c r="K178" s="2662" t="n">
        <f aca="false">H178-F178</f>
        <v>0</v>
      </c>
      <c r="L178" s="2654"/>
    </row>
    <row r="179" customFormat="false" ht="10.25" hidden="false" customHeight="true" outlineLevel="0" collapsed="false">
      <c r="D179" s="2662" t="str">
        <f aca="false">D38</f>
        <v>Services marchands au territoire</v>
      </c>
      <c r="E179" s="2654"/>
      <c r="F179" s="2662" t="n">
        <f aca="false">F38</f>
        <v>0</v>
      </c>
      <c r="G179" s="2665" t="s">
        <v>3178</v>
      </c>
      <c r="H179" s="2662" t="n">
        <f aca="false">H38</f>
        <v>3</v>
      </c>
      <c r="I179" s="2658"/>
      <c r="J179" s="2654"/>
      <c r="K179" s="2662" t="n">
        <f aca="false">H179-F179</f>
        <v>3</v>
      </c>
      <c r="L179" s="2654"/>
    </row>
    <row r="180" customFormat="false" ht="10.25" hidden="false" customHeight="true" outlineLevel="0" collapsed="false">
      <c r="D180" s="2662" t="str">
        <f aca="false">D39</f>
        <v>Valorisation par filières courtes ou de proximité</v>
      </c>
      <c r="E180" s="2654"/>
      <c r="F180" s="2662" t="n">
        <f aca="false">F39</f>
        <v>4</v>
      </c>
      <c r="G180" s="2665" t="s">
        <v>3178</v>
      </c>
      <c r="H180" s="2662" t="n">
        <f aca="false">H39</f>
        <v>5</v>
      </c>
      <c r="I180" s="2658"/>
      <c r="J180" s="2654"/>
      <c r="K180" s="2662" t="n">
        <f aca="false">H180-F180</f>
        <v>1</v>
      </c>
      <c r="L180" s="2654"/>
    </row>
    <row r="181" customFormat="false" ht="10.25" hidden="false" customHeight="true" outlineLevel="0" collapsed="false">
      <c r="D181" s="2662" t="str">
        <f aca="false">D40</f>
        <v>Valorisation des ressources locales</v>
      </c>
      <c r="E181" s="2654"/>
      <c r="F181" s="2662" t="n">
        <f aca="false">F40</f>
        <v>5</v>
      </c>
      <c r="G181" s="2665" t="s">
        <v>3178</v>
      </c>
      <c r="H181" s="2662" t="n">
        <f aca="false">H40</f>
        <v>5</v>
      </c>
      <c r="I181" s="2658"/>
      <c r="J181" s="2654"/>
      <c r="K181" s="2662" t="n">
        <f aca="false">H181-F181</f>
        <v>0</v>
      </c>
      <c r="L181" s="2654"/>
    </row>
    <row r="182" customFormat="false" ht="10.25" hidden="false" customHeight="true" outlineLevel="0" collapsed="false">
      <c r="D182" s="2662" t="str">
        <f aca="false">D41</f>
        <v>Valorisation et qualité du patrimoine 
(bâti, paysage et savoir-faire) et ressources naturelles</v>
      </c>
      <c r="E182" s="2654"/>
      <c r="F182" s="2662" t="n">
        <f aca="false">F41</f>
        <v>2</v>
      </c>
      <c r="G182" s="2665" t="s">
        <v>3178</v>
      </c>
      <c r="H182" s="2662" t="n">
        <f aca="false">H41</f>
        <v>3</v>
      </c>
      <c r="I182" s="2658"/>
      <c r="J182" s="2654"/>
      <c r="K182" s="2662" t="n">
        <f aca="false">H182-F182</f>
        <v>1</v>
      </c>
      <c r="L182" s="2654"/>
    </row>
    <row r="183" customFormat="false" ht="10.25" hidden="false" customHeight="true" outlineLevel="0" collapsed="false">
      <c r="D183" s="2662" t="str">
        <f aca="false">D42</f>
        <v>Accessibilité de l’espace</v>
      </c>
      <c r="E183" s="2654"/>
      <c r="F183" s="2662" t="n">
        <f aca="false">F42</f>
        <v>2</v>
      </c>
      <c r="G183" s="2665" t="s">
        <v>3178</v>
      </c>
      <c r="H183" s="2662" t="n">
        <f aca="false">H42</f>
        <v>3</v>
      </c>
      <c r="I183" s="2658"/>
      <c r="J183" s="2654"/>
      <c r="K183" s="2662" t="n">
        <f aca="false">H183-F183</f>
        <v>1</v>
      </c>
      <c r="L183" s="2654"/>
    </row>
    <row r="184" customFormat="false" ht="10.25" hidden="false" customHeight="true" outlineLevel="0" collapsed="false">
      <c r="D184" s="2662" t="str">
        <f aca="false">D43</f>
        <v>Gestion des déchets non organiques </v>
      </c>
      <c r="E184" s="2654"/>
      <c r="F184" s="2662" t="n">
        <f aca="false">F43</f>
        <v>2</v>
      </c>
      <c r="G184" s="2665" t="s">
        <v>3178</v>
      </c>
      <c r="H184" s="2662" t="n">
        <f aca="false">H43</f>
        <v>3</v>
      </c>
      <c r="I184" s="2658"/>
      <c r="J184" s="2654"/>
      <c r="K184" s="2662" t="n">
        <f aca="false">H184-F184</f>
        <v>1</v>
      </c>
      <c r="L184" s="2654"/>
    </row>
    <row r="185" customFormat="false" ht="10.25" hidden="false" customHeight="true" outlineLevel="0" collapsed="false">
      <c r="D185" s="2662" t="str">
        <f aca="false">D44</f>
        <v>Réseaux d'innovation et mutualisation du matériel</v>
      </c>
      <c r="E185" s="2654"/>
      <c r="F185" s="2662" t="n">
        <f aca="false">F44</f>
        <v>3</v>
      </c>
      <c r="G185" s="2665" t="s">
        <v>3178</v>
      </c>
      <c r="H185" s="2662" t="n">
        <f aca="false">H44</f>
        <v>3</v>
      </c>
      <c r="I185" s="2658"/>
      <c r="J185" s="2654"/>
      <c r="K185" s="2662" t="n">
        <f aca="false">H185-F185</f>
        <v>0</v>
      </c>
      <c r="L185" s="2654"/>
    </row>
    <row r="186" customFormat="false" ht="10.25" hidden="false" customHeight="true" outlineLevel="0" collapsed="false">
      <c r="D186" s="2662" t="str">
        <f aca="false">D45</f>
        <v>Contribution à l'emploi et gestion du salariat</v>
      </c>
      <c r="E186" s="2654"/>
      <c r="F186" s="2662" t="n">
        <f aca="false">F45</f>
        <v>0</v>
      </c>
      <c r="G186" s="2665" t="s">
        <v>3178</v>
      </c>
      <c r="H186" s="2662" t="n">
        <f aca="false">H45</f>
        <v>6</v>
      </c>
      <c r="I186" s="2658"/>
      <c r="J186" s="2654"/>
      <c r="K186" s="2662" t="n">
        <f aca="false">H186-F186</f>
        <v>6</v>
      </c>
      <c r="L186" s="2654"/>
    </row>
    <row r="187" customFormat="false" ht="10.25" hidden="false" customHeight="true" outlineLevel="0" collapsed="false">
      <c r="D187" s="2662" t="str">
        <f aca="false">D46</f>
        <v>Mutualisation du travail</v>
      </c>
      <c r="E187" s="2654"/>
      <c r="F187" s="2662" t="n">
        <f aca="false">F46</f>
        <v>5</v>
      </c>
      <c r="G187" s="2665" t="s">
        <v>3178</v>
      </c>
      <c r="H187" s="2662" t="n">
        <f aca="false">H46</f>
        <v>6</v>
      </c>
      <c r="I187" s="2658"/>
      <c r="J187" s="2654"/>
      <c r="K187" s="2662" t="n">
        <f aca="false">H187-F187</f>
        <v>1</v>
      </c>
      <c r="L187" s="2654"/>
    </row>
    <row r="188" customFormat="false" ht="10.25" hidden="false" customHeight="true" outlineLevel="0" collapsed="false">
      <c r="D188" s="2662" t="str">
        <f aca="false">D47</f>
        <v>Intensité et qualité au travail</v>
      </c>
      <c r="E188" s="2654"/>
      <c r="F188" s="2662" t="n">
        <f aca="false">F47</f>
        <v>0</v>
      </c>
      <c r="G188" s="2665" t="s">
        <v>3178</v>
      </c>
      <c r="H188" s="2662" t="n">
        <f aca="false">H47</f>
        <v>6</v>
      </c>
      <c r="I188" s="2658"/>
      <c r="J188" s="2654"/>
      <c r="K188" s="2662" t="n">
        <f aca="false">H188-F188</f>
        <v>6</v>
      </c>
      <c r="L188" s="2654"/>
    </row>
    <row r="189" customFormat="false" ht="10.25" hidden="false" customHeight="true" outlineLevel="0" collapsed="false">
      <c r="D189" s="2662" t="str">
        <f aca="false">D48</f>
        <v>Accueil, hygiène et sécurité</v>
      </c>
      <c r="E189" s="2654"/>
      <c r="F189" s="2662" t="n">
        <f aca="false">F48</f>
        <v>2</v>
      </c>
      <c r="G189" s="2665" t="s">
        <v>3178</v>
      </c>
      <c r="H189" s="2662" t="n">
        <f aca="false">H48</f>
        <v>5</v>
      </c>
      <c r="I189" s="2658"/>
      <c r="J189" s="2654"/>
      <c r="K189" s="2662" t="n">
        <f aca="false">H189-F189</f>
        <v>3</v>
      </c>
      <c r="L189" s="2654"/>
    </row>
    <row r="190" customFormat="false" ht="10.25" hidden="false" customHeight="true" outlineLevel="0" collapsed="false">
      <c r="D190" s="2662" t="str">
        <f aca="false">D49</f>
        <v>Formation</v>
      </c>
      <c r="E190" s="2654"/>
      <c r="F190" s="2662" t="n">
        <f aca="false">F49</f>
        <v>5</v>
      </c>
      <c r="G190" s="2665" t="s">
        <v>3178</v>
      </c>
      <c r="H190" s="2662" t="n">
        <f aca="false">H49</f>
        <v>5</v>
      </c>
      <c r="I190" s="2658"/>
      <c r="J190" s="2654"/>
      <c r="K190" s="2662" t="n">
        <f aca="false">H190-F190</f>
        <v>0</v>
      </c>
      <c r="L190" s="2654"/>
    </row>
    <row r="191" customFormat="false" ht="10.25" hidden="false" customHeight="true" outlineLevel="0" collapsed="false">
      <c r="D191" s="2662" t="str">
        <f aca="false">D50</f>
        <v>Implication sociale territoriale et solidarités</v>
      </c>
      <c r="E191" s="2654"/>
      <c r="F191" s="2662" t="n">
        <f aca="false">F50</f>
        <v>5</v>
      </c>
      <c r="G191" s="2665" t="s">
        <v>3178</v>
      </c>
      <c r="H191" s="2662" t="n">
        <f aca="false">H50</f>
        <v>6</v>
      </c>
      <c r="I191" s="2658"/>
      <c r="J191" s="2654"/>
      <c r="K191" s="2662" t="n">
        <f aca="false">H191-F191</f>
        <v>1</v>
      </c>
      <c r="L191" s="2654"/>
    </row>
    <row r="192" customFormat="false" ht="10.25" hidden="false" customHeight="true" outlineLevel="0" collapsed="false">
      <c r="D192" s="2662" t="str">
        <f aca="false">D51</f>
        <v>Démarche de transparence </v>
      </c>
      <c r="E192" s="2654"/>
      <c r="F192" s="2662" t="n">
        <f aca="false">F51</f>
        <v>2</v>
      </c>
      <c r="G192" s="2665" t="s">
        <v>3178</v>
      </c>
      <c r="H192" s="2662" t="n">
        <f aca="false">H51</f>
        <v>6</v>
      </c>
      <c r="I192" s="2658"/>
      <c r="J192" s="2654"/>
      <c r="K192" s="2662" t="n">
        <f aca="false">H192-F192</f>
        <v>4</v>
      </c>
      <c r="L192" s="2654"/>
    </row>
    <row r="193" customFormat="false" ht="10.25" hidden="false" customHeight="true" outlineLevel="0" collapsed="false">
      <c r="D193" s="2662" t="str">
        <f aca="false">D52</f>
        <v>Qualité de la vie</v>
      </c>
      <c r="E193" s="2654"/>
      <c r="F193" s="2662" t="n">
        <f aca="false">F52</f>
        <v>4</v>
      </c>
      <c r="G193" s="2665" t="s">
        <v>3178</v>
      </c>
      <c r="H193" s="2662" t="n">
        <f aca="false">H52</f>
        <v>6</v>
      </c>
      <c r="I193" s="2658"/>
      <c r="J193" s="2654"/>
      <c r="K193" s="2662" t="n">
        <f aca="false">H193-F193</f>
        <v>2</v>
      </c>
      <c r="L193" s="2654"/>
    </row>
    <row r="194" customFormat="false" ht="10.25" hidden="false" customHeight="true" outlineLevel="0" collapsed="false">
      <c r="D194" s="2662" t="str">
        <f aca="false">D53</f>
        <v>Isolement</v>
      </c>
      <c r="E194" s="2654"/>
      <c r="F194" s="2662" t="n">
        <f aca="false">F53</f>
        <v>5</v>
      </c>
      <c r="G194" s="2665" t="s">
        <v>3178</v>
      </c>
      <c r="H194" s="2662" t="n">
        <f aca="false">H53</f>
        <v>6</v>
      </c>
      <c r="I194" s="2658"/>
      <c r="J194" s="2654"/>
      <c r="K194" s="2662" t="n">
        <f aca="false">H194-F194</f>
        <v>1</v>
      </c>
      <c r="L194" s="2654"/>
    </row>
    <row r="195" customFormat="false" ht="10.25" hidden="false" customHeight="true" outlineLevel="0" collapsed="false">
      <c r="D195" s="2662" t="str">
        <f aca="false">D54</f>
        <v>Bien-être animal</v>
      </c>
      <c r="E195" s="2654"/>
      <c r="F195" s="2662" t="n">
        <f aca="false">F54</f>
        <v>6</v>
      </c>
      <c r="G195" s="2665" t="s">
        <v>3178</v>
      </c>
      <c r="H195" s="2662" t="n">
        <f aca="false">H54</f>
        <v>6</v>
      </c>
      <c r="I195" s="2658"/>
      <c r="J195" s="2654"/>
      <c r="K195" s="2662" t="n">
        <f aca="false">H195-F195</f>
        <v>0</v>
      </c>
      <c r="L195" s="2654"/>
    </row>
    <row r="196" customFormat="false" ht="10.25" hidden="false" customHeight="true" outlineLevel="0" collapsed="false">
      <c r="D196" s="2662"/>
      <c r="E196" s="2654"/>
      <c r="F196" s="2655"/>
      <c r="G196" s="2656"/>
      <c r="H196" s="2657"/>
      <c r="I196" s="2658"/>
      <c r="J196" s="2659"/>
      <c r="K196" s="2662"/>
      <c r="L196" s="2654"/>
    </row>
    <row r="197" customFormat="false" ht="10.25" hidden="false" customHeight="true" outlineLevel="0" collapsed="false">
      <c r="D197" s="2662"/>
      <c r="E197" s="2654"/>
      <c r="F197" s="2655"/>
      <c r="G197" s="2656"/>
      <c r="H197" s="2657"/>
      <c r="I197" s="2658"/>
      <c r="J197" s="2659"/>
      <c r="K197" s="2662"/>
      <c r="L197" s="2654"/>
    </row>
    <row r="198" customFormat="false" ht="10.25" hidden="false" customHeight="true" outlineLevel="0" collapsed="false">
      <c r="D198" s="2662"/>
      <c r="E198" s="2654"/>
      <c r="F198" s="2655"/>
      <c r="G198" s="2656"/>
      <c r="H198" s="2657"/>
      <c r="I198" s="2658"/>
      <c r="J198" s="2659"/>
      <c r="K198" s="2662"/>
      <c r="L198" s="2654"/>
    </row>
    <row r="199" customFormat="false" ht="10.25" hidden="false" customHeight="true" outlineLevel="0" collapsed="false">
      <c r="D199" s="2662" t="str">
        <f aca="false">D58</f>
        <v>Capacité économique</v>
      </c>
      <c r="E199" s="2654"/>
      <c r="F199" s="2662" t="n">
        <f aca="false">F58</f>
        <v>12</v>
      </c>
      <c r="G199" s="2665" t="s">
        <v>3178</v>
      </c>
      <c r="H199" s="2662" t="n">
        <f aca="false">H58</f>
        <v>20</v>
      </c>
      <c r="I199" s="2658"/>
      <c r="J199" s="2659"/>
      <c r="K199" s="2662" t="n">
        <f aca="false">H199-F199</f>
        <v>8</v>
      </c>
      <c r="L199" s="2654"/>
    </row>
    <row r="200" customFormat="false" ht="10.25" hidden="false" customHeight="true" outlineLevel="0" collapsed="false">
      <c r="D200" s="2662" t="str">
        <f aca="false">D59</f>
        <v>Poids de la dette</v>
      </c>
      <c r="E200" s="2654"/>
      <c r="F200" s="2662" t="n">
        <f aca="false">F59</f>
        <v>0</v>
      </c>
      <c r="G200" s="2665" t="s">
        <v>3178</v>
      </c>
      <c r="H200" s="2662" t="n">
        <f aca="false">H59</f>
        <v>12</v>
      </c>
      <c r="I200" s="2658"/>
      <c r="J200" s="2659"/>
      <c r="K200" s="2662" t="n">
        <f aca="false">H200-F200</f>
        <v>12</v>
      </c>
      <c r="L200" s="2654"/>
    </row>
    <row r="201" customFormat="false" ht="10.25" hidden="false" customHeight="true" outlineLevel="0" collapsed="false">
      <c r="D201" s="2662" t="str">
        <f aca="false">D60</f>
        <v>Taux d'endettement structurel</v>
      </c>
      <c r="E201" s="2654"/>
      <c r="F201" s="2662" t="n">
        <f aca="false">F60</f>
        <v>3</v>
      </c>
      <c r="G201" s="2665" t="s">
        <v>3178</v>
      </c>
      <c r="H201" s="2662" t="n">
        <f aca="false">H60</f>
        <v>6</v>
      </c>
      <c r="I201" s="2658"/>
      <c r="J201" s="2659"/>
      <c r="K201" s="2662" t="n">
        <f aca="false">H201-F201</f>
        <v>3</v>
      </c>
      <c r="L201" s="2654"/>
    </row>
    <row r="202" customFormat="false" ht="10.25" hidden="false" customHeight="true" outlineLevel="0" collapsed="false">
      <c r="D202" s="2662" t="str">
        <f aca="false">D61</f>
        <v>Diversification productive</v>
      </c>
      <c r="E202" s="2654"/>
      <c r="F202" s="2662" t="n">
        <f aca="false">F61</f>
        <v>2</v>
      </c>
      <c r="G202" s="2665" t="s">
        <v>3178</v>
      </c>
      <c r="H202" s="2662" t="n">
        <f aca="false">H61</f>
        <v>10</v>
      </c>
      <c r="I202" s="2658"/>
      <c r="J202" s="2659"/>
      <c r="K202" s="2662" t="n">
        <f aca="false">H202-F202</f>
        <v>8</v>
      </c>
      <c r="L202" s="2654"/>
    </row>
    <row r="203" customFormat="false" ht="10.25" hidden="false" customHeight="true" outlineLevel="0" collapsed="false">
      <c r="D203" s="2662" t="str">
        <f aca="false">D62</f>
        <v>Diversification et relations contractuelles</v>
      </c>
      <c r="E203" s="2654"/>
      <c r="F203" s="2662" t="n">
        <f aca="false">F62</f>
        <v>0</v>
      </c>
      <c r="G203" s="2665" t="s">
        <v>3178</v>
      </c>
      <c r="H203" s="2662" t="n">
        <f aca="false">H62</f>
        <v>10</v>
      </c>
      <c r="I203" s="2658"/>
      <c r="J203" s="2659"/>
      <c r="K203" s="2662" t="n">
        <f aca="false">H203-F203</f>
        <v>10</v>
      </c>
      <c r="L203" s="2654"/>
    </row>
    <row r="204" customFormat="false" ht="10.25" hidden="false" customHeight="true" outlineLevel="0" collapsed="false">
      <c r="D204" s="2662" t="str">
        <f aca="false">D63</f>
        <v>Sensibilité aux aides</v>
      </c>
      <c r="E204" s="2654"/>
      <c r="F204" s="2662" t="n">
        <f aca="false">F63</f>
        <v>2</v>
      </c>
      <c r="G204" s="2665" t="s">
        <v>3178</v>
      </c>
      <c r="H204" s="2662" t="n">
        <f aca="false">H63</f>
        <v>6</v>
      </c>
      <c r="I204" s="2658"/>
      <c r="J204" s="2659"/>
      <c r="K204" s="2662" t="n">
        <f aca="false">H204-F204</f>
        <v>4</v>
      </c>
      <c r="L204" s="2654"/>
    </row>
    <row r="205" customFormat="false" ht="10.25" hidden="false" customHeight="true" outlineLevel="0" collapsed="false">
      <c r="D205" s="2662" t="str">
        <f aca="false">D64</f>
        <v>Contribution de revenus extérieurs à l'indépendance</v>
      </c>
      <c r="E205" s="2654"/>
      <c r="F205" s="2662" t="n">
        <f aca="false">F64</f>
        <v>4</v>
      </c>
      <c r="G205" s="2665" t="s">
        <v>3178</v>
      </c>
      <c r="H205" s="2662" t="n">
        <f aca="false">H64</f>
        <v>4</v>
      </c>
      <c r="I205" s="2658"/>
      <c r="J205" s="2659"/>
      <c r="K205" s="2662" t="n">
        <f aca="false">H205-F205</f>
        <v>0</v>
      </c>
      <c r="L205" s="2654"/>
    </row>
    <row r="206" customFormat="false" ht="10.25" hidden="false" customHeight="true" outlineLevel="0" collapsed="false">
      <c r="D206" s="2662" t="str">
        <f aca="false">D65</f>
        <v>Transmissibilité économique</v>
      </c>
      <c r="E206" s="2654"/>
      <c r="F206" s="2662" t="n">
        <f aca="false">F65</f>
        <v>4</v>
      </c>
      <c r="G206" s="2665" t="s">
        <v>3178</v>
      </c>
      <c r="H206" s="2662" t="n">
        <f aca="false">H65</f>
        <v>15</v>
      </c>
      <c r="I206" s="2658"/>
      <c r="J206" s="2659"/>
      <c r="K206" s="2662" t="n">
        <f aca="false">H206-F206</f>
        <v>11</v>
      </c>
      <c r="L206" s="2654"/>
    </row>
    <row r="207" customFormat="false" ht="10.25" hidden="false" customHeight="true" outlineLevel="0" collapsed="false">
      <c r="D207" s="2662" t="str">
        <f aca="false">D66</f>
        <v>Pérennité probable</v>
      </c>
      <c r="E207" s="2654"/>
      <c r="F207" s="2662" t="n">
        <f aca="false">F66</f>
        <v>6</v>
      </c>
      <c r="G207" s="2665" t="s">
        <v>3178</v>
      </c>
      <c r="H207" s="2662" t="n">
        <f aca="false">H66</f>
        <v>8</v>
      </c>
      <c r="I207" s="2658"/>
      <c r="J207" s="2659"/>
      <c r="K207" s="2662" t="n">
        <f aca="false">H207-F207</f>
        <v>2</v>
      </c>
      <c r="L207" s="2654"/>
    </row>
    <row r="208" customFormat="false" ht="10.25" hidden="false" customHeight="true" outlineLevel="0" collapsed="false">
      <c r="D208" s="2662" t="str">
        <f aca="false">D67</f>
        <v>Efficience brute du processus productif</v>
      </c>
      <c r="E208" s="2654"/>
      <c r="F208" s="2662" t="n">
        <f aca="false">F67</f>
        <v>2</v>
      </c>
      <c r="G208" s="2665" t="s">
        <v>3178</v>
      </c>
      <c r="H208" s="2662" t="n">
        <f aca="false">H67</f>
        <v>12</v>
      </c>
      <c r="I208" s="2658"/>
      <c r="J208" s="2659"/>
      <c r="K208" s="2662" t="n">
        <f aca="false">H208-F208</f>
        <v>10</v>
      </c>
      <c r="L208" s="2654"/>
    </row>
    <row r="209" customFormat="false" ht="10.25" hidden="false" customHeight="true" outlineLevel="0" collapsed="false">
      <c r="D209" s="2662" t="str">
        <f aca="false">D68</f>
        <v>Sobriété en intrants dans le processus productif</v>
      </c>
      <c r="E209" s="2654"/>
      <c r="F209" s="2662" t="n">
        <f aca="false">F68</f>
        <v>6</v>
      </c>
      <c r="G209" s="2665" t="s">
        <v>3178</v>
      </c>
      <c r="H209" s="2662" t="n">
        <f aca="false">H68</f>
        <v>8</v>
      </c>
      <c r="I209" s="2658"/>
      <c r="J209" s="2659"/>
      <c r="K209" s="2662" t="n">
        <f aca="false">H209-F209</f>
        <v>2</v>
      </c>
      <c r="L209" s="2654"/>
    </row>
    <row r="210" customFormat="false" ht="10.25" hidden="false" customHeight="true" outlineLevel="0" collapsed="false">
      <c r="D210" s="2662"/>
      <c r="E210" s="2654"/>
      <c r="F210" s="2655"/>
      <c r="G210" s="2656"/>
      <c r="H210" s="2657"/>
      <c r="I210" s="2658"/>
      <c r="J210" s="2659"/>
      <c r="K210" s="2660"/>
      <c r="L210" s="2654"/>
    </row>
    <row r="211" customFormat="false" ht="10.25" hidden="false" customHeight="true" outlineLevel="0" collapsed="false">
      <c r="D211" s="2662"/>
      <c r="E211" s="2654"/>
      <c r="F211" s="2655"/>
      <c r="G211" s="2656"/>
      <c r="H211" s="2657"/>
      <c r="I211" s="2658"/>
      <c r="J211" s="2659"/>
      <c r="K211" s="2660"/>
      <c r="L211" s="2654"/>
    </row>
  </sheetData>
  <mergeCells count="73">
    <mergeCell ref="A1:K1"/>
    <mergeCell ref="A4:K4"/>
    <mergeCell ref="B7:C7"/>
    <mergeCell ref="D7:H7"/>
    <mergeCell ref="I7:K7"/>
    <mergeCell ref="B8:C8"/>
    <mergeCell ref="F8:H8"/>
    <mergeCell ref="I8:K8"/>
    <mergeCell ref="A10:A28"/>
    <mergeCell ref="B10:C14"/>
    <mergeCell ref="I10:I14"/>
    <mergeCell ref="J10:J14"/>
    <mergeCell ref="K10:K14"/>
    <mergeCell ref="B15:C17"/>
    <mergeCell ref="I15:I17"/>
    <mergeCell ref="J15:J17"/>
    <mergeCell ref="K15:K17"/>
    <mergeCell ref="B18:C20"/>
    <mergeCell ref="I18:I20"/>
    <mergeCell ref="J18:J20"/>
    <mergeCell ref="K18:K20"/>
    <mergeCell ref="B21:C24"/>
    <mergeCell ref="I21:I24"/>
    <mergeCell ref="J21:J24"/>
    <mergeCell ref="K21:K24"/>
    <mergeCell ref="B25:C28"/>
    <mergeCell ref="I25:I28"/>
    <mergeCell ref="J25:J28"/>
    <mergeCell ref="K25:K28"/>
    <mergeCell ref="F29:H29"/>
    <mergeCell ref="A32:A54"/>
    <mergeCell ref="B32:C36"/>
    <mergeCell ref="I32:I36"/>
    <mergeCell ref="J32:J36"/>
    <mergeCell ref="K32:K36"/>
    <mergeCell ref="B37:C44"/>
    <mergeCell ref="I37:I44"/>
    <mergeCell ref="J37:J44"/>
    <mergeCell ref="K37:K44"/>
    <mergeCell ref="B45:C49"/>
    <mergeCell ref="I45:I49"/>
    <mergeCell ref="J45:J49"/>
    <mergeCell ref="K45:K49"/>
    <mergeCell ref="B50:C54"/>
    <mergeCell ref="I50:I54"/>
    <mergeCell ref="J50:J54"/>
    <mergeCell ref="K50:K54"/>
    <mergeCell ref="F55:H55"/>
    <mergeCell ref="A58:A68"/>
    <mergeCell ref="B58:C60"/>
    <mergeCell ref="I58:I60"/>
    <mergeCell ref="J58:J60"/>
    <mergeCell ref="K58:K60"/>
    <mergeCell ref="B61:C64"/>
    <mergeCell ref="I61:I64"/>
    <mergeCell ref="J61:J64"/>
    <mergeCell ref="K61:K64"/>
    <mergeCell ref="B65:C66"/>
    <mergeCell ref="I65:I66"/>
    <mergeCell ref="J65:J66"/>
    <mergeCell ref="K65:K66"/>
    <mergeCell ref="B67:C68"/>
    <mergeCell ref="I67:I68"/>
    <mergeCell ref="J67:J68"/>
    <mergeCell ref="K67:K68"/>
    <mergeCell ref="F69:H69"/>
    <mergeCell ref="E72:H72"/>
    <mergeCell ref="A75:K75"/>
    <mergeCell ref="A105:AD105"/>
    <mergeCell ref="M114:O114"/>
    <mergeCell ref="A145:AD145"/>
    <mergeCell ref="E150:H150"/>
    <mergeCell ref="I150:K1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RowHeight="13" zeroHeight="false" outlineLevelRow="0" outlineLevelCol="0"/>
  <cols>
    <col collapsed="false" customWidth="true" hidden="false" outlineLevel="0" max="1" min="1" style="0" width="10.67"/>
    <col collapsed="false" customWidth="true" hidden="false" outlineLevel="0" max="2" min="2" style="1846" width="19.33"/>
    <col collapsed="false" customWidth="true" hidden="false" outlineLevel="0" max="3" min="3" style="1846" width="16.67"/>
    <col collapsed="false" customWidth="true" hidden="false" outlineLevel="0" max="1025" min="4" style="0" width="10.67"/>
  </cols>
  <sheetData>
    <row r="1" customFormat="false" ht="54" hidden="false" customHeight="true" outlineLevel="0" collapsed="false">
      <c r="B1" s="2666" t="s">
        <v>3260</v>
      </c>
    </row>
    <row r="2" customFormat="false" ht="14" hidden="false" customHeight="false" outlineLevel="0" collapsed="false"/>
    <row r="3" customFormat="false" ht="15" hidden="false" customHeight="false" outlineLevel="0" collapsed="false">
      <c r="A3" s="2667" t="s">
        <v>3172</v>
      </c>
      <c r="B3" s="2668" t="s">
        <v>2699</v>
      </c>
      <c r="C3" s="2667" t="s">
        <v>2700</v>
      </c>
      <c r="D3" s="2669"/>
    </row>
    <row r="4" customFormat="false" ht="15" hidden="false" customHeight="false" outlineLevel="0" collapsed="false">
      <c r="A4" s="2670" t="s">
        <v>460</v>
      </c>
      <c r="B4" s="2671" t="n">
        <f aca="false">'Dimension agroécologique'!H6</f>
        <v>5</v>
      </c>
      <c r="C4" s="2670" t="n">
        <f aca="false">'Bilan durabilité'!F10</f>
        <v>5</v>
      </c>
    </row>
    <row r="5" customFormat="false" ht="15" hidden="false" customHeight="false" outlineLevel="0" collapsed="false">
      <c r="A5" s="2672" t="s">
        <v>3180</v>
      </c>
      <c r="B5" s="2673" t="n">
        <f aca="false">'Dimension agroécologique'!H22</f>
        <v>2</v>
      </c>
      <c r="C5" s="2672" t="n">
        <f aca="false">'Bilan durabilité'!F11</f>
        <v>2</v>
      </c>
    </row>
    <row r="6" customFormat="false" ht="15" hidden="false" customHeight="false" outlineLevel="0" collapsed="false">
      <c r="A6" s="2672" t="s">
        <v>3182</v>
      </c>
      <c r="B6" s="2673" t="n">
        <f aca="false">'Dimension agroécologique'!H45</f>
        <v>5</v>
      </c>
      <c r="C6" s="2672" t="n">
        <f aca="false">'Bilan durabilité'!F12</f>
        <v>5</v>
      </c>
    </row>
    <row r="7" customFormat="false" ht="15" hidden="false" customHeight="false" outlineLevel="0" collapsed="false">
      <c r="A7" s="2672" t="s">
        <v>3184</v>
      </c>
      <c r="B7" s="2673" t="n">
        <f aca="false">'Dimension agroécologique'!H69</f>
        <v>1</v>
      </c>
      <c r="C7" s="2672" t="n">
        <f aca="false">'Bilan durabilité'!F13</f>
        <v>1</v>
      </c>
    </row>
    <row r="8" customFormat="false" ht="16" hidden="false" customHeight="false" outlineLevel="0" collapsed="false">
      <c r="A8" s="2674" t="s">
        <v>3186</v>
      </c>
      <c r="B8" s="2675" t="n">
        <f aca="false">'Dimension agroécologique'!H85</f>
        <v>3</v>
      </c>
      <c r="C8" s="2674" t="n">
        <f aca="false">'Bilan durabilité'!F14</f>
        <v>3</v>
      </c>
    </row>
    <row r="9" customFormat="false" ht="15" hidden="false" customHeight="false" outlineLevel="0" collapsed="false">
      <c r="A9" s="2670" t="s">
        <v>3189</v>
      </c>
      <c r="B9" s="2671" t="n">
        <f aca="false">'Dimension agroécologique'!H100</f>
        <v>2</v>
      </c>
      <c r="C9" s="2670" t="n">
        <f aca="false">'Bilan durabilité'!F15</f>
        <v>2</v>
      </c>
    </row>
    <row r="10" customFormat="false" ht="15" hidden="false" customHeight="false" outlineLevel="0" collapsed="false">
      <c r="A10" s="2672" t="s">
        <v>3191</v>
      </c>
      <c r="B10" s="2673" t="n">
        <f aca="false">IF('Saisie et Calculateur'!B23="non", "Pas d'élevage",'Dimension agroécologique'!H111)</f>
        <v>6</v>
      </c>
      <c r="C10" s="2672" t="n">
        <f aca="false">'Bilan durabilité'!F16</f>
        <v>6</v>
      </c>
    </row>
    <row r="11" customFormat="false" ht="16" hidden="false" customHeight="false" outlineLevel="0" collapsed="false">
      <c r="A11" s="2674" t="s">
        <v>3193</v>
      </c>
      <c r="B11" s="2675" t="n">
        <f aca="false">'Dimension agroécologique'!H121</f>
        <v>4</v>
      </c>
      <c r="C11" s="2674" t="n">
        <f aca="false">'Bilan durabilité'!F17</f>
        <v>4</v>
      </c>
    </row>
    <row r="12" customFormat="false" ht="14" hidden="false" customHeight="false" outlineLevel="0" collapsed="false">
      <c r="A12" s="2676" t="s">
        <v>3195</v>
      </c>
      <c r="B12" s="2677" t="n">
        <f aca="false">'Dimension agroécologique'!H132</f>
        <v>8</v>
      </c>
      <c r="C12" s="2676" t="n">
        <f aca="false">'Bilan durabilité'!F18</f>
        <v>8</v>
      </c>
    </row>
    <row r="13" customFormat="false" ht="14" hidden="false" customHeight="false" outlineLevel="0" collapsed="false">
      <c r="A13" s="2678" t="s">
        <v>3197</v>
      </c>
      <c r="B13" s="2679" t="n">
        <f aca="false">'Dimension agroécologique'!H140</f>
        <v>8</v>
      </c>
      <c r="C13" s="2678" t="n">
        <f aca="false">'Bilan durabilité'!F19</f>
        <v>8</v>
      </c>
    </row>
    <row r="14" customFormat="false" ht="15" hidden="false" customHeight="false" outlineLevel="0" collapsed="false">
      <c r="A14" s="2680" t="s">
        <v>3199</v>
      </c>
      <c r="B14" s="2681" t="n">
        <f aca="false">'Dimension agroécologique'!H147</f>
        <v>8</v>
      </c>
      <c r="C14" s="2680" t="n">
        <f aca="false">'Bilan durabilité'!F20</f>
        <v>8</v>
      </c>
    </row>
    <row r="15" customFormat="false" ht="15" hidden="false" customHeight="false" outlineLevel="0" collapsed="false">
      <c r="A15" s="2670" t="s">
        <v>3201</v>
      </c>
      <c r="B15" s="2671" t="n">
        <f aca="false">'Dimension agroécologique'!H154</f>
        <v>5</v>
      </c>
      <c r="C15" s="2670" t="n">
        <f aca="false">'Bilan durabilité'!F21</f>
        <v>5</v>
      </c>
    </row>
    <row r="16" customFormat="false" ht="15" hidden="false" customHeight="false" outlineLevel="0" collapsed="false">
      <c r="A16" s="2672" t="s">
        <v>508</v>
      </c>
      <c r="B16" s="2673" t="n">
        <f aca="false">'Dimension agroécologique'!H169</f>
        <v>5</v>
      </c>
      <c r="C16" s="2672" t="n">
        <f aca="false">'Bilan durabilité'!F22</f>
        <v>5</v>
      </c>
    </row>
    <row r="17" customFormat="false" ht="15" hidden="false" customHeight="false" outlineLevel="0" collapsed="false">
      <c r="A17" s="2672" t="s">
        <v>256</v>
      </c>
      <c r="B17" s="2673" t="n">
        <f aca="false">'Dimension agroécologique'!H189</f>
        <v>2</v>
      </c>
      <c r="C17" s="2672" t="n">
        <f aca="false">'Bilan durabilité'!F23</f>
        <v>2</v>
      </c>
    </row>
    <row r="18" customFormat="false" ht="16" hidden="false" customHeight="false" outlineLevel="0" collapsed="false">
      <c r="A18" s="2674" t="s">
        <v>237</v>
      </c>
      <c r="B18" s="2675" t="n">
        <f aca="false">'Dimension agroécologique'!H198</f>
        <v>4</v>
      </c>
      <c r="C18" s="2674" t="n">
        <f aca="false">'Bilan durabilité'!F24</f>
        <v>4</v>
      </c>
    </row>
    <row r="19" customFormat="false" ht="14" hidden="false" customHeight="false" outlineLevel="0" collapsed="false">
      <c r="A19" s="2682" t="s">
        <v>583</v>
      </c>
      <c r="B19" s="2683" t="n">
        <f aca="false">'Dimension agroécologique'!H209</f>
        <v>5</v>
      </c>
      <c r="C19" s="2682" t="n">
        <f aca="false">'Bilan durabilité'!F25</f>
        <v>5</v>
      </c>
    </row>
    <row r="20" customFormat="false" ht="14" hidden="false" customHeight="false" outlineLevel="0" collapsed="false">
      <c r="A20" s="2684" t="s">
        <v>482</v>
      </c>
      <c r="B20" s="2685" t="n">
        <f aca="false">'Dimension agroécologique'!H229</f>
        <v>4</v>
      </c>
      <c r="C20" s="2684" t="n">
        <f aca="false">'Bilan durabilité'!F26</f>
        <v>4</v>
      </c>
    </row>
    <row r="21" customFormat="false" ht="14" hidden="false" customHeight="false" outlineLevel="0" collapsed="false">
      <c r="A21" s="2684" t="s">
        <v>548</v>
      </c>
      <c r="B21" s="2685" t="n">
        <f aca="false">'Dimension agroécologique'!H240</f>
        <v>4</v>
      </c>
      <c r="C21" s="2684" t="n">
        <f aca="false">'Bilan durabilité'!F27</f>
        <v>4</v>
      </c>
    </row>
    <row r="22" customFormat="false" ht="15" hidden="false" customHeight="false" outlineLevel="0" collapsed="false">
      <c r="A22" s="2686" t="s">
        <v>249</v>
      </c>
      <c r="B22" s="2687" t="n">
        <f aca="false">'Dimension agroécologique'!H247</f>
        <v>4</v>
      </c>
      <c r="C22" s="2686" t="n">
        <f aca="false">'Bilan durabilité'!F28</f>
        <v>4</v>
      </c>
    </row>
    <row r="23" customFormat="false" ht="14" hidden="false" customHeight="false" outlineLevel="0" collapsed="false"/>
    <row r="24" customFormat="false" ht="14" hidden="false" customHeight="false" outlineLevel="0" collapsed="false">
      <c r="A24" s="2688" t="s">
        <v>2920</v>
      </c>
      <c r="B24" s="2688" t="n">
        <f aca="false">'Dimension socio-territoriale'!H7</f>
        <v>6</v>
      </c>
      <c r="C24" s="2676" t="n">
        <f aca="false">'Bilan durabilité'!F32</f>
        <v>6</v>
      </c>
    </row>
    <row r="25" customFormat="false" ht="14" hidden="false" customHeight="false" outlineLevel="0" collapsed="false">
      <c r="A25" s="2689" t="s">
        <v>219</v>
      </c>
      <c r="B25" s="2689" t="n">
        <f aca="false">'Dimension socio-territoriale'!H19</f>
        <v>6</v>
      </c>
      <c r="C25" s="2678" t="n">
        <f aca="false">'Bilan durabilité'!F33</f>
        <v>6</v>
      </c>
    </row>
    <row r="26" customFormat="false" ht="14" hidden="false" customHeight="false" outlineLevel="0" collapsed="false">
      <c r="A26" s="2689" t="s">
        <v>662</v>
      </c>
      <c r="B26" s="2689" t="n">
        <f aca="false">'Dimension socio-territoriale'!H30</f>
        <v>0</v>
      </c>
      <c r="C26" s="2678" t="n">
        <f aca="false">'Bilan durabilité'!F34</f>
        <v>0</v>
      </c>
    </row>
    <row r="27" customFormat="false" ht="14" hidden="false" customHeight="false" outlineLevel="0" collapsed="false">
      <c r="A27" s="2689" t="s">
        <v>677</v>
      </c>
      <c r="B27" s="2689" t="n">
        <f aca="false">'Dimension socio-territoriale'!H45</f>
        <v>2</v>
      </c>
      <c r="C27" s="2678" t="n">
        <f aca="false">'Bilan durabilité'!F35</f>
        <v>2</v>
      </c>
    </row>
    <row r="28" customFormat="false" ht="15" hidden="false" customHeight="false" outlineLevel="0" collapsed="false">
      <c r="A28" s="2690" t="s">
        <v>729</v>
      </c>
      <c r="B28" s="2690" t="n">
        <f aca="false">'Dimension socio-territoriale'!H52</f>
        <v>3</v>
      </c>
      <c r="C28" s="2680" t="n">
        <f aca="false">'Bilan durabilité'!F36</f>
        <v>3</v>
      </c>
    </row>
    <row r="29" customFormat="false" ht="15" hidden="false" customHeight="false" outlineLevel="0" collapsed="false">
      <c r="A29" s="2691" t="s">
        <v>3216</v>
      </c>
      <c r="B29" s="2691" t="n">
        <f aca="false">'Dimension socio-territoriale'!H68</f>
        <v>5</v>
      </c>
      <c r="C29" s="2692" t="n">
        <f aca="false">'Bilan durabilité'!F37</f>
        <v>5</v>
      </c>
    </row>
    <row r="30" customFormat="false" ht="14" hidden="false" customHeight="false" outlineLevel="0" collapsed="false">
      <c r="A30" s="2693" t="s">
        <v>705</v>
      </c>
      <c r="B30" s="2693" t="n">
        <f aca="false">'Dimension socio-territoriale'!H78</f>
        <v>0</v>
      </c>
      <c r="C30" s="2694" t="n">
        <f aca="false">'Bilan durabilité'!F38</f>
        <v>0</v>
      </c>
    </row>
    <row r="31" customFormat="false" ht="14" hidden="false" customHeight="false" outlineLevel="0" collapsed="false">
      <c r="A31" s="2693" t="s">
        <v>943</v>
      </c>
      <c r="B31" s="2693" t="n">
        <f aca="false">'Dimension socio-territoriale'!H89</f>
        <v>4</v>
      </c>
      <c r="C31" s="2694" t="n">
        <f aca="false">'Bilan durabilité'!F39</f>
        <v>4</v>
      </c>
    </row>
    <row r="32" customFormat="false" ht="14" hidden="false" customHeight="false" outlineLevel="0" collapsed="false">
      <c r="A32" s="2693" t="s">
        <v>216</v>
      </c>
      <c r="B32" s="2693" t="n">
        <f aca="false">'Dimension socio-territoriale'!H102</f>
        <v>6</v>
      </c>
      <c r="C32" s="2694" t="n">
        <f aca="false">'Bilan durabilité'!F40</f>
        <v>5</v>
      </c>
    </row>
    <row r="33" customFormat="false" ht="14" hidden="false" customHeight="false" outlineLevel="0" collapsed="false">
      <c r="A33" s="2693" t="s">
        <v>246</v>
      </c>
      <c r="B33" s="2693" t="n">
        <f aca="false">'Dimension socio-territoriale'!H125</f>
        <v>2</v>
      </c>
      <c r="C33" s="2694" t="n">
        <f aca="false">'Bilan durabilité'!F41</f>
        <v>2</v>
      </c>
    </row>
    <row r="34" customFormat="false" ht="14" hidden="false" customHeight="false" outlineLevel="0" collapsed="false">
      <c r="A34" s="2693" t="s">
        <v>710</v>
      </c>
      <c r="B34" s="2693" t="n">
        <f aca="false">'Dimension socio-territoriale'!H141</f>
        <v>2</v>
      </c>
      <c r="C34" s="2694" t="n">
        <f aca="false">'Bilan durabilité'!F42</f>
        <v>2</v>
      </c>
    </row>
    <row r="35" customFormat="false" ht="14" hidden="false" customHeight="false" outlineLevel="0" collapsed="false">
      <c r="A35" s="2693" t="s">
        <v>690</v>
      </c>
      <c r="B35" s="2693" t="n">
        <f aca="false">'Dimension socio-territoriale'!H154</f>
        <v>2</v>
      </c>
      <c r="C35" s="2694" t="n">
        <f aca="false">'Bilan durabilité'!F43</f>
        <v>2</v>
      </c>
    </row>
    <row r="36" customFormat="false" ht="15" hidden="false" customHeight="false" outlineLevel="0" collapsed="false">
      <c r="A36" s="2695" t="s">
        <v>3224</v>
      </c>
      <c r="B36" s="2695" t="n">
        <f aca="false">'Dimension socio-territoriale'!H162</f>
        <v>4</v>
      </c>
      <c r="C36" s="2696" t="n">
        <f aca="false">'Bilan durabilité'!F44</f>
        <v>3</v>
      </c>
    </row>
    <row r="37" customFormat="false" ht="15" hidden="false" customHeight="false" outlineLevel="0" collapsed="false">
      <c r="A37" s="2691" t="s">
        <v>745</v>
      </c>
      <c r="B37" s="2691" t="n">
        <f aca="false">'Dimension socio-territoriale'!H172</f>
        <v>0</v>
      </c>
      <c r="C37" s="2692" t="n">
        <f aca="false">'Bilan durabilité'!F45</f>
        <v>0</v>
      </c>
    </row>
    <row r="38" customFormat="false" ht="14" hidden="false" customHeight="false" outlineLevel="0" collapsed="false">
      <c r="A38" s="2693" t="s">
        <v>658</v>
      </c>
      <c r="B38" s="2693" t="n">
        <f aca="false">'Dimension socio-territoriale'!H186</f>
        <v>5</v>
      </c>
      <c r="C38" s="2694" t="n">
        <f aca="false">'Bilan durabilité'!F46</f>
        <v>5</v>
      </c>
    </row>
    <row r="39" customFormat="false" ht="14" hidden="false" customHeight="false" outlineLevel="0" collapsed="false">
      <c r="A39" s="2693" t="s">
        <v>763</v>
      </c>
      <c r="B39" s="2693" t="n">
        <f aca="false">'Dimension socio-territoriale'!H195</f>
        <v>-4</v>
      </c>
      <c r="C39" s="2694" t="n">
        <f aca="false">'Bilan durabilité'!F47</f>
        <v>0</v>
      </c>
    </row>
    <row r="40" customFormat="false" ht="14" hidden="false" customHeight="false" outlineLevel="0" collapsed="false">
      <c r="A40" s="2693" t="s">
        <v>771</v>
      </c>
      <c r="B40" s="2693" t="n">
        <f aca="false">'Dimension socio-territoriale'!H210</f>
        <v>2</v>
      </c>
      <c r="C40" s="2694" t="n">
        <f aca="false">'Bilan durabilité'!F48</f>
        <v>2</v>
      </c>
    </row>
    <row r="41" customFormat="false" ht="15" hidden="false" customHeight="false" outlineLevel="0" collapsed="false">
      <c r="A41" s="2695" t="s">
        <v>740</v>
      </c>
      <c r="B41" s="2695" t="n">
        <f aca="false">'Dimension socio-territoriale'!H224</f>
        <v>5</v>
      </c>
      <c r="C41" s="2696" t="n">
        <f aca="false">'Bilan durabilité'!F49</f>
        <v>5</v>
      </c>
    </row>
    <row r="42" customFormat="false" ht="14" hidden="false" customHeight="false" outlineLevel="0" collapsed="false">
      <c r="A42" s="2697" t="s">
        <v>780</v>
      </c>
      <c r="B42" s="2697" t="n">
        <f aca="false">'Dimension socio-territoriale'!H238</f>
        <v>5</v>
      </c>
      <c r="C42" s="2698" t="n">
        <f aca="false">'Bilan durabilité'!F50</f>
        <v>5</v>
      </c>
    </row>
    <row r="43" customFormat="false" ht="14" hidden="false" customHeight="false" outlineLevel="0" collapsed="false">
      <c r="A43" s="2693" t="s">
        <v>789</v>
      </c>
      <c r="B43" s="2693" t="n">
        <f aca="false">'Dimension socio-territoriale'!H256</f>
        <v>0</v>
      </c>
      <c r="C43" s="2694" t="n">
        <f aca="false">'Bilan durabilité'!F51</f>
        <v>2</v>
      </c>
    </row>
    <row r="44" customFormat="false" ht="14" hidden="false" customHeight="false" outlineLevel="0" collapsed="false">
      <c r="A44" s="2693" t="s">
        <v>797</v>
      </c>
      <c r="B44" s="2693" t="n">
        <f aca="false">'Dimension socio-territoriale'!H269</f>
        <v>4</v>
      </c>
      <c r="C44" s="2694" t="n">
        <f aca="false">'Bilan durabilité'!F52</f>
        <v>4</v>
      </c>
    </row>
    <row r="45" customFormat="false" ht="14" hidden="false" customHeight="false" outlineLevel="0" collapsed="false">
      <c r="A45" s="2693" t="s">
        <v>800</v>
      </c>
      <c r="B45" s="2693" t="n">
        <f aca="false">'Dimension socio-territoriale'!H276</f>
        <v>5</v>
      </c>
      <c r="C45" s="2694" t="n">
        <f aca="false">'Bilan durabilité'!F53</f>
        <v>5</v>
      </c>
    </row>
    <row r="46" customFormat="false" ht="15" hidden="false" customHeight="false" outlineLevel="0" collapsed="false">
      <c r="A46" s="2695" t="s">
        <v>3080</v>
      </c>
      <c r="B46" s="2695" t="n">
        <f aca="false">'Dimension socio-territoriale'!H284</f>
        <v>6</v>
      </c>
      <c r="C46" s="2696" t="n">
        <f aca="false">'Bilan durabilité'!F54</f>
        <v>6</v>
      </c>
    </row>
    <row r="47" customFormat="false" ht="15" hidden="false" customHeight="false" outlineLevel="0" collapsed="false">
      <c r="A47" s="370"/>
      <c r="B47" s="370"/>
      <c r="C47" s="370"/>
    </row>
    <row r="48" customFormat="false" ht="14" hidden="false" customHeight="false" outlineLevel="0" collapsed="false">
      <c r="A48" s="2676" t="s">
        <v>829</v>
      </c>
      <c r="B48" s="2677" t="n">
        <f aca="false">'Dimension économique'!G6</f>
        <v>12</v>
      </c>
      <c r="C48" s="2676" t="n">
        <f aca="false">'Bilan durabilité'!F58</f>
        <v>12</v>
      </c>
    </row>
    <row r="49" customFormat="false" ht="14" hidden="false" customHeight="false" outlineLevel="0" collapsed="false">
      <c r="A49" s="2678" t="s">
        <v>853</v>
      </c>
      <c r="B49" s="2679" t="n">
        <f aca="false">'Dimension économique'!G15</f>
        <v>0</v>
      </c>
      <c r="C49" s="2678" t="n">
        <f aca="false">'Bilan durabilité'!F59</f>
        <v>0</v>
      </c>
    </row>
    <row r="50" customFormat="false" ht="15" hidden="false" customHeight="false" outlineLevel="0" collapsed="false">
      <c r="A50" s="2680" t="s">
        <v>847</v>
      </c>
      <c r="B50" s="2681" t="n">
        <f aca="false">'Dimension économique'!G22</f>
        <v>3</v>
      </c>
      <c r="C50" s="2680" t="n">
        <f aca="false">'Bilan durabilité'!F60</f>
        <v>3</v>
      </c>
    </row>
    <row r="51" customFormat="false" ht="14" hidden="false" customHeight="false" outlineLevel="0" collapsed="false">
      <c r="A51" s="2676" t="s">
        <v>3114</v>
      </c>
      <c r="B51" s="2677" t="n">
        <f aca="false">'Dimension économique'!G29</f>
        <v>2</v>
      </c>
      <c r="C51" s="2676" t="n">
        <f aca="false">'Bilan durabilité'!F61</f>
        <v>2</v>
      </c>
    </row>
    <row r="52" customFormat="false" ht="14" hidden="false" customHeight="false" outlineLevel="0" collapsed="false">
      <c r="A52" s="2678" t="s">
        <v>933</v>
      </c>
      <c r="B52" s="2679" t="n">
        <f aca="false">'Dimension économique'!G40</f>
        <v>0</v>
      </c>
      <c r="C52" s="2678" t="n">
        <f aca="false">'Bilan durabilité'!F62</f>
        <v>0</v>
      </c>
    </row>
    <row r="53" customFormat="false" ht="14" hidden="false" customHeight="false" outlineLevel="0" collapsed="false">
      <c r="A53" s="2678" t="s">
        <v>840</v>
      </c>
      <c r="B53" s="2679" t="n">
        <f aca="false">'Dimension économique'!G53</f>
        <v>2</v>
      </c>
      <c r="C53" s="2678" t="n">
        <f aca="false">'Bilan durabilité'!F63</f>
        <v>2</v>
      </c>
    </row>
    <row r="54" customFormat="false" ht="15" hidden="false" customHeight="false" outlineLevel="0" collapsed="false">
      <c r="A54" s="2680" t="s">
        <v>862</v>
      </c>
      <c r="B54" s="2681" t="n">
        <f aca="false">'Dimension économique'!G60</f>
        <v>4</v>
      </c>
      <c r="C54" s="2680" t="n">
        <f aca="false">'Bilan durabilité'!F64</f>
        <v>4</v>
      </c>
    </row>
    <row r="55" customFormat="false" ht="14" hidden="false" customHeight="false" outlineLevel="0" collapsed="false">
      <c r="A55" s="2676" t="s">
        <v>856</v>
      </c>
      <c r="B55" s="2677" t="n">
        <f aca="false">'Dimension économique'!G67</f>
        <v>4</v>
      </c>
      <c r="C55" s="2676" t="n">
        <f aca="false">'Bilan durabilité'!F65</f>
        <v>4</v>
      </c>
    </row>
    <row r="56" customFormat="false" ht="15" hidden="false" customHeight="false" outlineLevel="0" collapsed="false">
      <c r="A56" s="2680" t="s">
        <v>866</v>
      </c>
      <c r="B56" s="2681" t="n">
        <f aca="false">'Dimension économique'!G76</f>
        <v>6</v>
      </c>
      <c r="C56" s="2680" t="n">
        <f aca="false">'Bilan durabilité'!F66</f>
        <v>6</v>
      </c>
    </row>
    <row r="57" customFormat="false" ht="14" hidden="false" customHeight="false" outlineLevel="0" collapsed="false">
      <c r="A57" s="2676" t="s">
        <v>815</v>
      </c>
      <c r="B57" s="2677" t="n">
        <f aca="false">'Dimension économique'!G88</f>
        <v>2</v>
      </c>
      <c r="C57" s="2676" t="n">
        <f aca="false">'Bilan durabilité'!F67</f>
        <v>2</v>
      </c>
    </row>
    <row r="58" customFormat="false" ht="15" hidden="false" customHeight="false" outlineLevel="0" collapsed="false">
      <c r="A58" s="2680" t="s">
        <v>822</v>
      </c>
      <c r="B58" s="2681" t="n">
        <f aca="false">'Dimension économique'!G96</f>
        <v>6</v>
      </c>
      <c r="C58" s="2680" t="n">
        <f aca="false">'Bilan durabilité'!F68</f>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025" min="1" style="0" width="10.67"/>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FFFF"/>
    <pageSetUpPr fitToPage="true"/>
  </sheetPr>
  <dimension ref="A1:P6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K4" activeCellId="0" sqref="K4"/>
    </sheetView>
  </sheetViews>
  <sheetFormatPr defaultRowHeight="15" zeroHeight="false" outlineLevelRow="0" outlineLevelCol="0"/>
  <cols>
    <col collapsed="false" customWidth="true" hidden="false" outlineLevel="0" max="1" min="1" style="11" width="15.34"/>
    <col collapsed="false" customWidth="true" hidden="false" outlineLevel="0" max="2" min="2" style="11" width="10.33"/>
    <col collapsed="false" customWidth="true" hidden="false" outlineLevel="0" max="3" min="3" style="11" width="15.34"/>
    <col collapsed="false" customWidth="true" hidden="false" outlineLevel="0" max="4" min="4" style="11" width="19.16"/>
    <col collapsed="false" customWidth="true" hidden="false" outlineLevel="0" max="5" min="5" style="11" width="18.51"/>
    <col collapsed="false" customWidth="true" hidden="false" outlineLevel="0" max="6" min="6" style="11" width="5.5"/>
    <col collapsed="false" customWidth="true" hidden="false" outlineLevel="0" max="7" min="7" style="11" width="14.83"/>
    <col collapsed="false" customWidth="true" hidden="false" outlineLevel="0" max="8" min="8" style="11" width="24.16"/>
    <col collapsed="false" customWidth="true" hidden="false" outlineLevel="0" max="9" min="9" style="11" width="9"/>
    <col collapsed="false" customWidth="true" hidden="false" outlineLevel="0" max="10" min="10" style="11" width="21.5"/>
    <col collapsed="false" customWidth="true" hidden="false" outlineLevel="0" max="12" min="11" style="11" width="15.49"/>
    <col collapsed="false" customWidth="true" hidden="false" outlineLevel="0" max="14" min="13" style="12" width="15.49"/>
    <col collapsed="false" customWidth="true" hidden="false" outlineLevel="0" max="15" min="15" style="12" width="16.16"/>
    <col collapsed="false" customWidth="true" hidden="false" outlineLevel="0" max="1025" min="16" style="11" width="15.49"/>
  </cols>
  <sheetData>
    <row r="1" s="11" customFormat="true" ht="21" hidden="false" customHeight="true" outlineLevel="0" collapsed="false">
      <c r="A1" s="13" t="s">
        <v>16</v>
      </c>
      <c r="B1" s="13"/>
      <c r="C1" s="13"/>
      <c r="D1" s="13"/>
      <c r="E1" s="13"/>
      <c r="F1" s="13"/>
      <c r="G1" s="13"/>
      <c r="H1" s="13"/>
      <c r="I1" s="13"/>
      <c r="J1" s="13"/>
      <c r="K1" s="13"/>
      <c r="L1" s="13"/>
      <c r="M1" s="13"/>
      <c r="N1" s="13"/>
    </row>
    <row r="2" customFormat="false" ht="15" hidden="false" customHeight="true" outlineLevel="0" collapsed="false">
      <c r="D2" s="14"/>
    </row>
    <row r="3" s="11" customFormat="true" ht="15" hidden="false" customHeight="true" outlineLevel="0" collapsed="false">
      <c r="D3" s="14"/>
    </row>
    <row r="4" s="11" customFormat="true" ht="15" hidden="false" customHeight="true" outlineLevel="0" collapsed="false">
      <c r="D4" s="14"/>
      <c r="J4" s="15" t="s">
        <v>17</v>
      </c>
      <c r="K4" s="16" t="s">
        <v>18</v>
      </c>
    </row>
    <row r="5" s="11" customFormat="true" ht="15" hidden="false" customHeight="true" outlineLevel="0" collapsed="false">
      <c r="D5" s="14"/>
      <c r="J5" s="15" t="s">
        <v>19</v>
      </c>
      <c r="K5" s="17" t="n">
        <v>43804</v>
      </c>
    </row>
    <row r="6" s="11" customFormat="true" ht="15" hidden="false" customHeight="true" outlineLevel="0" collapsed="false">
      <c r="D6" s="14"/>
      <c r="K6" s="16"/>
    </row>
    <row r="7" s="11" customFormat="true" ht="15" hidden="false" customHeight="true" outlineLevel="0" collapsed="false">
      <c r="D7" s="14"/>
    </row>
    <row r="8" s="11" customFormat="true" ht="15" hidden="false" customHeight="true" outlineLevel="0" collapsed="false">
      <c r="D8" s="14"/>
    </row>
    <row r="9" s="11" customFormat="true" ht="15" hidden="false" customHeight="true" outlineLevel="0" collapsed="false">
      <c r="D9" s="14"/>
    </row>
    <row r="10" s="11" customFormat="true" ht="15" hidden="false" customHeight="true" outlineLevel="0" collapsed="false">
      <c r="D10" s="14"/>
    </row>
    <row r="11" s="11" customFormat="true" ht="15" hidden="false" customHeight="true" outlineLevel="0" collapsed="false">
      <c r="D11" s="18"/>
      <c r="L11" s="19"/>
    </row>
    <row r="12" s="11" customFormat="true" ht="15" hidden="false" customHeight="true" outlineLevel="0" collapsed="false">
      <c r="B12" s="20" t="s">
        <v>20</v>
      </c>
      <c r="F12" s="20" t="s">
        <v>21</v>
      </c>
      <c r="G12" s="12"/>
      <c r="H12" s="12"/>
      <c r="P12" s="19"/>
    </row>
    <row r="13" s="11" customFormat="true" ht="15.75" hidden="false" customHeight="true" outlineLevel="0" collapsed="false">
      <c r="B13" s="14"/>
      <c r="P13" s="19"/>
    </row>
    <row r="14" customFormat="false" ht="15" hidden="false" customHeight="true" outlineLevel="0" collapsed="false">
      <c r="B14" s="21" t="s">
        <v>22</v>
      </c>
      <c r="C14" s="22" t="s">
        <v>16</v>
      </c>
      <c r="D14" s="23"/>
      <c r="F14" s="24" t="s">
        <v>23</v>
      </c>
      <c r="G14" s="24"/>
      <c r="H14" s="24"/>
      <c r="I14" s="24"/>
      <c r="K14" s="25"/>
      <c r="L14" s="26" t="s">
        <v>24</v>
      </c>
      <c r="M14" s="27"/>
      <c r="N14" s="28"/>
      <c r="P14" s="19"/>
    </row>
    <row r="15" customFormat="false" ht="15" hidden="false" customHeight="true" outlineLevel="0" collapsed="false">
      <c r="B15" s="29" t="s">
        <v>25</v>
      </c>
      <c r="C15" s="30" t="s">
        <v>26</v>
      </c>
      <c r="D15" s="30"/>
      <c r="F15" s="31" t="s">
        <v>27</v>
      </c>
      <c r="G15" s="31"/>
      <c r="H15" s="31"/>
      <c r="I15" s="31"/>
      <c r="K15" s="32"/>
      <c r="L15" s="19"/>
      <c r="M15" s="19"/>
      <c r="N15" s="33"/>
      <c r="P15" s="34"/>
    </row>
    <row r="16" customFormat="false" ht="15" hidden="false" customHeight="true" outlineLevel="0" collapsed="false">
      <c r="B16" s="35" t="s">
        <v>28</v>
      </c>
      <c r="C16" s="22" t="s">
        <v>29</v>
      </c>
      <c r="D16" s="23"/>
      <c r="F16" s="36" t="s">
        <v>30</v>
      </c>
      <c r="G16" s="36"/>
      <c r="H16" s="36"/>
      <c r="I16" s="36"/>
      <c r="K16" s="37" t="s">
        <v>31</v>
      </c>
      <c r="L16" s="19"/>
      <c r="M16" s="19"/>
      <c r="N16" s="33"/>
      <c r="P16" s="19"/>
    </row>
    <row r="17" customFormat="false" ht="15" hidden="false" customHeight="true" outlineLevel="0" collapsed="false">
      <c r="B17" s="38" t="s">
        <v>32</v>
      </c>
      <c r="C17" s="39" t="s">
        <v>33</v>
      </c>
      <c r="D17" s="40"/>
      <c r="F17" s="41" t="s">
        <v>34</v>
      </c>
      <c r="G17" s="41"/>
      <c r="H17" s="41"/>
      <c r="I17" s="41"/>
      <c r="K17" s="42" t="s">
        <v>35</v>
      </c>
      <c r="L17" s="19"/>
      <c r="M17" s="19"/>
      <c r="N17" s="33"/>
      <c r="P17" s="19"/>
    </row>
    <row r="18" customFormat="false" ht="15" hidden="false" customHeight="true" outlineLevel="0" collapsed="false">
      <c r="B18" s="43" t="s">
        <v>36</v>
      </c>
      <c r="C18" s="39" t="s">
        <v>37</v>
      </c>
      <c r="D18" s="40"/>
      <c r="F18" s="44" t="s">
        <v>38</v>
      </c>
      <c r="G18" s="44"/>
      <c r="H18" s="44"/>
      <c r="I18" s="44"/>
      <c r="K18" s="45" t="s">
        <v>39</v>
      </c>
      <c r="L18" s="19"/>
      <c r="M18" s="19"/>
      <c r="N18" s="33"/>
      <c r="P18" s="19"/>
    </row>
    <row r="19" customFormat="false" ht="15" hidden="false" customHeight="true" outlineLevel="0" collapsed="false">
      <c r="B19" s="46" t="s">
        <v>40</v>
      </c>
      <c r="C19" s="47" t="s">
        <v>41</v>
      </c>
      <c r="D19" s="48" t="s">
        <v>42</v>
      </c>
      <c r="F19" s="49" t="s">
        <v>43</v>
      </c>
      <c r="G19" s="49"/>
      <c r="H19" s="49"/>
      <c r="I19" s="49"/>
      <c r="K19" s="50" t="s">
        <v>44</v>
      </c>
      <c r="L19" s="51"/>
      <c r="M19" s="19"/>
      <c r="N19" s="33"/>
      <c r="O19" s="19"/>
      <c r="P19" s="19"/>
    </row>
    <row r="20" customFormat="false" ht="15.75" hidden="false" customHeight="true" outlineLevel="0" collapsed="false">
      <c r="B20" s="52" t="s">
        <v>45</v>
      </c>
      <c r="C20" s="47"/>
      <c r="D20" s="53" t="s">
        <v>46</v>
      </c>
      <c r="F20" s="54" t="s">
        <v>47</v>
      </c>
      <c r="G20" s="54"/>
      <c r="H20" s="54"/>
      <c r="I20" s="54"/>
      <c r="J20" s="19"/>
      <c r="K20" s="45" t="s">
        <v>48</v>
      </c>
      <c r="L20" s="19"/>
      <c r="M20" s="19"/>
      <c r="N20" s="33"/>
      <c r="O20" s="19"/>
      <c r="P20" s="19"/>
    </row>
    <row r="21" customFormat="false" ht="16.5" hidden="false" customHeight="true" outlineLevel="0" collapsed="false">
      <c r="B21" s="55" t="s">
        <v>49</v>
      </c>
      <c r="C21" s="47"/>
      <c r="D21" s="56" t="s">
        <v>50</v>
      </c>
      <c r="F21" s="57" t="s">
        <v>51</v>
      </c>
      <c r="G21" s="57"/>
      <c r="H21" s="57"/>
      <c r="I21" s="57"/>
      <c r="J21" s="58"/>
      <c r="K21" s="59"/>
      <c r="L21" s="60"/>
      <c r="M21" s="61"/>
      <c r="N21" s="62"/>
    </row>
    <row r="22" s="11" customFormat="true" ht="15.75" hidden="false" customHeight="true" outlineLevel="0" collapsed="false">
      <c r="B22" s="35" t="s">
        <v>52</v>
      </c>
      <c r="C22" s="63" t="s">
        <v>53</v>
      </c>
      <c r="D22" s="64"/>
      <c r="F22" s="57"/>
      <c r="G22" s="57"/>
      <c r="H22" s="57"/>
      <c r="I22" s="57"/>
    </row>
    <row r="23" customFormat="false" ht="14" hidden="false" customHeight="true" outlineLevel="0" collapsed="false"/>
    <row r="24" s="11" customFormat="true" ht="15" hidden="false" customHeight="true" outlineLevel="0" collapsed="false"/>
    <row r="25" s="11" customFormat="true" ht="15.75" hidden="false" customHeight="true" outlineLevel="0" collapsed="false">
      <c r="B25" s="65" t="s">
        <v>54</v>
      </c>
      <c r="C25" s="65"/>
      <c r="D25" s="66"/>
    </row>
    <row r="26" s="11" customFormat="true" ht="15.75" hidden="false" customHeight="true" outlineLevel="0" collapsed="false">
      <c r="A26" s="11" t="s">
        <v>55</v>
      </c>
      <c r="B26" s="67"/>
      <c r="C26" s="67"/>
      <c r="D26" s="66"/>
    </row>
    <row r="27" s="11" customFormat="true" ht="15" hidden="false" customHeight="true" outlineLevel="0" collapsed="false">
      <c r="A27" s="11" t="s">
        <v>56</v>
      </c>
      <c r="F27" s="68"/>
      <c r="G27" s="68"/>
    </row>
    <row r="28" s="11" customFormat="true" ht="15" hidden="false" customHeight="true" outlineLevel="0" collapsed="false">
      <c r="A28" s="11" t="s">
        <v>57</v>
      </c>
      <c r="B28" s="69" t="s">
        <v>58</v>
      </c>
    </row>
    <row r="29" s="11" customFormat="true" ht="15" hidden="false" customHeight="true" outlineLevel="0" collapsed="false"/>
    <row r="31" customFormat="false" ht="15.75" hidden="false" customHeight="true" outlineLevel="0" collapsed="false">
      <c r="B31" s="65" t="s">
        <v>59</v>
      </c>
      <c r="C31" s="65"/>
    </row>
    <row r="32" customFormat="false" ht="15" hidden="false" customHeight="true" outlineLevel="0" collapsed="false">
      <c r="A32" s="70" t="s">
        <v>60</v>
      </c>
      <c r="B32" s="70"/>
      <c r="C32" s="70"/>
      <c r="D32" s="70"/>
      <c r="E32" s="70"/>
      <c r="F32" s="70"/>
      <c r="G32" s="70"/>
      <c r="H32" s="70"/>
      <c r="I32" s="70"/>
      <c r="J32" s="70"/>
    </row>
    <row r="33" customFormat="false" ht="15" hidden="false" customHeight="true" outlineLevel="0" collapsed="false">
      <c r="A33" s="11" t="s">
        <v>61</v>
      </c>
    </row>
    <row r="34" customFormat="false" ht="15" hidden="false" customHeight="true" outlineLevel="0" collapsed="false">
      <c r="A34" s="11" t="s">
        <v>62</v>
      </c>
    </row>
    <row r="37" customFormat="false" ht="15.75" hidden="false" customHeight="true" outlineLevel="0" collapsed="false">
      <c r="B37" s="65" t="s">
        <v>63</v>
      </c>
      <c r="C37" s="65"/>
    </row>
    <row r="38" customFormat="false" ht="15" hidden="false" customHeight="true" outlineLevel="0" collapsed="false">
      <c r="A38" s="11" t="s">
        <v>64</v>
      </c>
    </row>
    <row r="39" customFormat="false" ht="15" hidden="false" customHeight="true" outlineLevel="0" collapsed="false">
      <c r="A39" s="11" t="s">
        <v>65</v>
      </c>
    </row>
    <row r="42" customFormat="false" ht="15.75" hidden="false" customHeight="true" outlineLevel="0" collapsed="false">
      <c r="B42" s="65" t="s">
        <v>37</v>
      </c>
      <c r="C42" s="65"/>
      <c r="D42" s="66"/>
    </row>
    <row r="43" customFormat="false" ht="15.75" hidden="false" customHeight="true" outlineLevel="0" collapsed="false">
      <c r="B43" s="71" t="s">
        <v>66</v>
      </c>
      <c r="C43" s="71"/>
      <c r="D43" s="66"/>
    </row>
    <row r="44" customFormat="false" ht="15" hidden="false" customHeight="true" outlineLevel="0" collapsed="false">
      <c r="A44" s="11" t="s">
        <v>67</v>
      </c>
    </row>
    <row r="47" customFormat="false" ht="15.75" hidden="false" customHeight="true" outlineLevel="0" collapsed="false">
      <c r="B47" s="72" t="s">
        <v>68</v>
      </c>
    </row>
    <row r="48" customFormat="false" ht="15" hidden="false" customHeight="true" outlineLevel="0" collapsed="false">
      <c r="A48" s="11" t="s">
        <v>69</v>
      </c>
    </row>
    <row r="49" customFormat="false" ht="15" hidden="false" customHeight="true" outlineLevel="0" collapsed="false">
      <c r="A49" s="11" t="s">
        <v>70</v>
      </c>
    </row>
    <row r="50" customFormat="false" ht="15" hidden="false" customHeight="true" outlineLevel="0" collapsed="false">
      <c r="A50" s="73" t="s">
        <v>71</v>
      </c>
    </row>
    <row r="53" customFormat="false" ht="15.75" hidden="false" customHeight="true" outlineLevel="0" collapsed="false">
      <c r="B53" s="65" t="s">
        <v>53</v>
      </c>
      <c r="C53" s="65"/>
    </row>
    <row r="54" customFormat="false" ht="15" hidden="false" customHeight="true" outlineLevel="0" collapsed="false">
      <c r="A54" s="11" t="s">
        <v>72</v>
      </c>
    </row>
    <row r="55" customFormat="false" ht="15" hidden="false" customHeight="true" outlineLevel="0" collapsed="false">
      <c r="B55" s="11" t="s">
        <v>73</v>
      </c>
    </row>
    <row r="56" customFormat="false" ht="15" hidden="false" customHeight="true" outlineLevel="0" collapsed="false">
      <c r="B56" s="11" t="s">
        <v>74</v>
      </c>
    </row>
    <row r="57" customFormat="false" ht="15" hidden="false" customHeight="true" outlineLevel="0" collapsed="false">
      <c r="B57" s="11" t="s">
        <v>75</v>
      </c>
      <c r="D57" s="66"/>
    </row>
    <row r="58" customFormat="false" ht="15" hidden="false" customHeight="true" outlineLevel="0" collapsed="false">
      <c r="B58" s="11" t="s">
        <v>76</v>
      </c>
      <c r="D58" s="66"/>
    </row>
    <row r="61" customFormat="false" ht="15" hidden="false" customHeight="true" outlineLevel="0" collapsed="false">
      <c r="B61" s="65" t="s">
        <v>77</v>
      </c>
      <c r="C61" s="65"/>
    </row>
    <row r="62" customFormat="false" ht="15" hidden="false" customHeight="true" outlineLevel="0" collapsed="false">
      <c r="A62" s="11" t="s">
        <v>78</v>
      </c>
    </row>
    <row r="63" customFormat="false" ht="15" hidden="false" customHeight="true" outlineLevel="0" collapsed="false">
      <c r="A63" s="11" t="s">
        <v>79</v>
      </c>
    </row>
  </sheetData>
  <mergeCells count="18">
    <mergeCell ref="A1:N1"/>
    <mergeCell ref="F14:I14"/>
    <mergeCell ref="C15:D15"/>
    <mergeCell ref="F15:I15"/>
    <mergeCell ref="F16:I16"/>
    <mergeCell ref="F17:I17"/>
    <mergeCell ref="F18:I18"/>
    <mergeCell ref="C19:C21"/>
    <mergeCell ref="F19:I19"/>
    <mergeCell ref="F20:I20"/>
    <mergeCell ref="F21:I22"/>
    <mergeCell ref="B25:C25"/>
    <mergeCell ref="B31:C31"/>
    <mergeCell ref="B37:C37"/>
    <mergeCell ref="B42:C42"/>
    <mergeCell ref="B43:C43"/>
    <mergeCell ref="B53:C53"/>
    <mergeCell ref="B61:C61"/>
  </mergeCells>
  <printOptions headings="false" gridLines="false" gridLinesSet="true" horizontalCentered="false" verticalCentered="false"/>
  <pageMargins left="0" right="0" top="0.747916666666667" bottom="0.747916666666667" header="0.511805555555555" footer="0.511805555555555"/>
  <pageSetup paperSize="9" scale="100" firstPageNumber="0" fitToWidth="0"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FF00"/>
    <pageSetUpPr fitToPage="false"/>
  </sheetPr>
  <dimension ref="A1:P1200"/>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E14" activeCellId="0" sqref="E14"/>
    </sheetView>
  </sheetViews>
  <sheetFormatPr defaultRowHeight="15.5" zeroHeight="false" outlineLevelRow="0" outlineLevelCol="0"/>
  <cols>
    <col collapsed="false" customWidth="true" hidden="false" outlineLevel="0" max="7" min="1" style="0" width="10.33"/>
    <col collapsed="false" customWidth="true" hidden="false" outlineLevel="0" max="8" min="8" style="0" width="10.16"/>
    <col collapsed="false" customWidth="true" hidden="false" outlineLevel="0" max="9" min="9" style="0" width="6.5"/>
    <col collapsed="false" customWidth="true" hidden="false" outlineLevel="0" max="1025" min="10" style="0" width="10.67"/>
  </cols>
  <sheetData>
    <row r="1" customFormat="false" ht="15.5" hidden="false" customHeight="true" outlineLevel="0" collapsed="false">
      <c r="A1" s="74" t="s">
        <v>80</v>
      </c>
      <c r="B1" s="74"/>
      <c r="C1" s="74"/>
      <c r="D1" s="74"/>
      <c r="E1" s="74"/>
      <c r="F1" s="74"/>
      <c r="G1" s="74"/>
      <c r="H1" s="74"/>
      <c r="I1" s="74"/>
    </row>
    <row r="2" customFormat="false" ht="15.5" hidden="false" customHeight="true" outlineLevel="0" collapsed="false">
      <c r="A2" s="75"/>
      <c r="B2" s="75"/>
      <c r="C2" s="76"/>
      <c r="D2" s="76"/>
      <c r="E2" s="76"/>
      <c r="F2" s="76"/>
      <c r="G2" s="76"/>
      <c r="H2" s="77"/>
      <c r="I2" s="78"/>
    </row>
    <row r="3" customFormat="false" ht="15.5" hidden="false" customHeight="true" outlineLevel="0" collapsed="false">
      <c r="A3" s="79"/>
      <c r="B3" s="80" t="s">
        <v>81</v>
      </c>
      <c r="C3" s="81"/>
      <c r="D3" s="81"/>
      <c r="E3" s="81"/>
      <c r="F3" s="80" t="s">
        <v>82</v>
      </c>
      <c r="G3" s="81"/>
      <c r="H3" s="81"/>
      <c r="I3" s="82"/>
    </row>
    <row r="4" customFormat="false" ht="15.5" hidden="false" customHeight="true" outlineLevel="0" collapsed="false">
      <c r="A4" s="83"/>
      <c r="B4" s="83"/>
      <c r="C4" s="83"/>
      <c r="D4" s="83"/>
      <c r="E4" s="83"/>
      <c r="F4" s="83"/>
      <c r="G4" s="84"/>
      <c r="H4" s="83"/>
      <c r="I4" s="83"/>
    </row>
    <row r="5" customFormat="false" ht="15.5" hidden="false" customHeight="true" outlineLevel="0" collapsed="false">
      <c r="A5" s="85" t="s">
        <v>83</v>
      </c>
      <c r="B5" s="85"/>
      <c r="C5" s="86"/>
      <c r="D5" s="87"/>
      <c r="E5" s="87"/>
      <c r="F5" s="83"/>
      <c r="G5" s="83"/>
      <c r="H5" s="83"/>
      <c r="I5" s="83"/>
    </row>
    <row r="6" customFormat="false" ht="15.5" hidden="false" customHeight="true" outlineLevel="0" collapsed="false">
      <c r="A6" s="88" t="s">
        <v>84</v>
      </c>
      <c r="B6" s="87"/>
      <c r="C6" s="87"/>
      <c r="D6" s="87"/>
      <c r="E6" s="87"/>
      <c r="F6" s="89" t="s">
        <v>85</v>
      </c>
      <c r="G6" s="90"/>
      <c r="H6" s="90"/>
      <c r="I6" s="90"/>
    </row>
    <row r="7" customFormat="false" ht="15.5" hidden="false" customHeight="true" outlineLevel="0" collapsed="false">
      <c r="A7" s="83"/>
      <c r="B7" s="87"/>
      <c r="C7" s="87"/>
      <c r="D7" s="87"/>
      <c r="E7" s="87"/>
      <c r="F7" s="89" t="s">
        <v>86</v>
      </c>
      <c r="G7" s="90"/>
      <c r="H7" s="90"/>
      <c r="I7" s="90"/>
    </row>
    <row r="8" customFormat="false" ht="15.5" hidden="false" customHeight="true" outlineLevel="0" collapsed="false">
      <c r="A8" s="83"/>
      <c r="B8" s="83"/>
      <c r="C8" s="83"/>
      <c r="D8" s="83"/>
      <c r="E8" s="83"/>
      <c r="F8" s="83"/>
      <c r="G8" s="83"/>
      <c r="H8" s="83"/>
      <c r="I8" s="83"/>
    </row>
    <row r="9" customFormat="false" ht="15.5" hidden="false" customHeight="true" outlineLevel="0" collapsed="false">
      <c r="A9" s="91" t="s">
        <v>87</v>
      </c>
      <c r="B9" s="83"/>
      <c r="C9" s="87"/>
      <c r="D9" s="87"/>
      <c r="E9" s="87"/>
      <c r="F9" s="89" t="s">
        <v>88</v>
      </c>
      <c r="G9" s="89"/>
      <c r="H9" s="90"/>
      <c r="I9" s="90"/>
    </row>
    <row r="10" customFormat="false" ht="15.5" hidden="false" customHeight="true" outlineLevel="0" collapsed="false">
      <c r="A10" s="83"/>
      <c r="B10" s="83"/>
      <c r="C10" s="83"/>
      <c r="D10" s="83"/>
      <c r="E10" s="83"/>
      <c r="F10" s="83"/>
      <c r="G10" s="83"/>
      <c r="H10" s="83"/>
      <c r="I10" s="83"/>
    </row>
    <row r="11" customFormat="false" ht="15.5" hidden="false" customHeight="true" outlineLevel="0" collapsed="false">
      <c r="A11" s="83"/>
      <c r="B11" s="83"/>
      <c r="C11" s="83"/>
      <c r="D11" s="83"/>
      <c r="E11" s="83"/>
      <c r="F11" s="83"/>
      <c r="G11" s="83"/>
      <c r="H11" s="83"/>
      <c r="I11" s="83"/>
    </row>
    <row r="12" customFormat="false" ht="15.5" hidden="false" customHeight="true" outlineLevel="0" collapsed="false">
      <c r="A12" s="92" t="s">
        <v>89</v>
      </c>
      <c r="B12" s="83"/>
      <c r="C12" s="83"/>
      <c r="D12" s="83"/>
      <c r="E12" s="83"/>
      <c r="F12" s="83"/>
      <c r="G12" s="83"/>
      <c r="H12" s="83"/>
      <c r="I12" s="83"/>
    </row>
    <row r="13" customFormat="false" ht="15.5" hidden="false" customHeight="true" outlineLevel="0" collapsed="false">
      <c r="A13" s="91"/>
      <c r="B13" s="91" t="s">
        <v>90</v>
      </c>
      <c r="C13" s="83"/>
      <c r="D13" s="90"/>
      <c r="E13" s="78" t="s">
        <v>91</v>
      </c>
      <c r="F13" s="83"/>
    </row>
    <row r="14" customFormat="false" ht="15.5" hidden="false" customHeight="true" outlineLevel="0" collapsed="false">
      <c r="A14" s="93" t="s">
        <v>92</v>
      </c>
      <c r="B14" s="94" t="s">
        <v>93</v>
      </c>
      <c r="C14" s="94"/>
      <c r="D14" s="95"/>
      <c r="E14" s="96" t="s">
        <v>91</v>
      </c>
      <c r="F14" s="97" t="s">
        <v>94</v>
      </c>
      <c r="G14" s="97"/>
      <c r="H14" s="90"/>
      <c r="I14" s="78" t="s">
        <v>91</v>
      </c>
    </row>
    <row r="15" customFormat="false" ht="15.5" hidden="false" customHeight="true" outlineLevel="0" collapsed="false">
      <c r="A15" s="91"/>
      <c r="B15" s="94"/>
      <c r="C15" s="94"/>
      <c r="D15" s="95"/>
      <c r="E15" s="96"/>
      <c r="F15" s="97" t="s">
        <v>95</v>
      </c>
      <c r="G15" s="97"/>
      <c r="H15" s="90"/>
      <c r="I15" s="78" t="s">
        <v>91</v>
      </c>
    </row>
    <row r="16" customFormat="false" ht="15.5" hidden="false" customHeight="true" outlineLevel="0" collapsed="false">
      <c r="A16" s="83"/>
      <c r="B16" s="97" t="s">
        <v>96</v>
      </c>
      <c r="C16" s="97"/>
      <c r="D16" s="90"/>
      <c r="E16" s="78" t="s">
        <v>91</v>
      </c>
      <c r="F16" s="97" t="s">
        <v>97</v>
      </c>
      <c r="G16" s="97"/>
      <c r="H16" s="90"/>
      <c r="I16" s="78" t="s">
        <v>91</v>
      </c>
    </row>
    <row r="17" customFormat="false" ht="15.5" hidden="false" customHeight="true" outlineLevel="0" collapsed="false">
      <c r="A17" s="83"/>
      <c r="B17" s="97" t="s">
        <v>98</v>
      </c>
      <c r="C17" s="97"/>
      <c r="D17" s="90"/>
      <c r="E17" s="78" t="s">
        <v>91</v>
      </c>
      <c r="F17" s="98"/>
      <c r="G17" s="98"/>
      <c r="H17" s="83"/>
      <c r="I17" s="78"/>
    </row>
    <row r="18" customFormat="false" ht="15.5" hidden="false" customHeight="true" outlineLevel="0" collapsed="false">
      <c r="B18" s="97" t="s">
        <v>99</v>
      </c>
      <c r="C18" s="97"/>
      <c r="D18" s="90"/>
      <c r="E18" s="78" t="s">
        <v>91</v>
      </c>
      <c r="F18" s="94" t="s">
        <v>100</v>
      </c>
      <c r="G18" s="94"/>
      <c r="H18" s="95"/>
      <c r="I18" s="96" t="s">
        <v>91</v>
      </c>
    </row>
    <row r="19" customFormat="false" ht="15.5" hidden="false" customHeight="true" outlineLevel="0" collapsed="false">
      <c r="F19" s="94"/>
      <c r="G19" s="94"/>
      <c r="H19" s="95"/>
      <c r="I19" s="96"/>
    </row>
    <row r="20" customFormat="false" ht="15.5" hidden="false" customHeight="true" outlineLevel="0" collapsed="false">
      <c r="A20" s="83"/>
      <c r="C20" s="91" t="s">
        <v>101</v>
      </c>
      <c r="D20" s="90"/>
      <c r="E20" s="83" t="s">
        <v>91</v>
      </c>
      <c r="F20" s="83"/>
      <c r="G20" s="83"/>
      <c r="H20" s="83"/>
      <c r="I20" s="83"/>
    </row>
    <row r="21" customFormat="false" ht="15.5" hidden="false" customHeight="true" outlineLevel="0" collapsed="false">
      <c r="A21" s="92" t="s">
        <v>102</v>
      </c>
      <c r="B21" s="83"/>
      <c r="C21" s="83"/>
      <c r="D21" s="83"/>
      <c r="E21" s="83"/>
      <c r="F21" s="83"/>
      <c r="G21" s="83"/>
      <c r="H21" s="83"/>
      <c r="I21" s="83"/>
    </row>
    <row r="22" customFormat="false" ht="15.5" hidden="false" customHeight="true" outlineLevel="0" collapsed="false">
      <c r="A22" s="99"/>
      <c r="B22" s="100"/>
      <c r="C22" s="100"/>
      <c r="D22" s="100"/>
      <c r="E22" s="91"/>
      <c r="F22" s="91" t="s">
        <v>103</v>
      </c>
      <c r="G22" s="101"/>
      <c r="H22" s="90"/>
      <c r="I22" s="83"/>
    </row>
    <row r="23" customFormat="false" ht="15.5" hidden="false" customHeight="true" outlineLevel="0" collapsed="false">
      <c r="A23" s="83"/>
      <c r="B23" s="83"/>
      <c r="C23" s="83"/>
      <c r="D23" s="83"/>
      <c r="E23" s="83"/>
      <c r="F23" s="83"/>
      <c r="G23" s="83"/>
      <c r="H23" s="83"/>
      <c r="I23" s="83"/>
    </row>
    <row r="24" customFormat="false" ht="15.5" hidden="false" customHeight="true" outlineLevel="0" collapsed="false">
      <c r="A24" s="92" t="s">
        <v>104</v>
      </c>
      <c r="B24" s="78"/>
      <c r="C24" s="83"/>
      <c r="D24" s="83"/>
      <c r="E24" s="83"/>
      <c r="F24" s="83"/>
      <c r="G24" s="83"/>
      <c r="H24" s="83"/>
      <c r="I24" s="83"/>
    </row>
    <row r="25" customFormat="false" ht="15.5" hidden="false" customHeight="true" outlineLevel="0" collapsed="false">
      <c r="A25" s="99"/>
      <c r="B25" s="99"/>
      <c r="C25" s="99"/>
      <c r="D25" s="99"/>
      <c r="E25" s="99"/>
      <c r="F25" s="99"/>
      <c r="G25" s="99"/>
      <c r="H25" s="99"/>
      <c r="I25" s="99"/>
    </row>
    <row r="26" customFormat="false" ht="15.5" hidden="false" customHeight="true" outlineLevel="0" collapsed="false">
      <c r="A26" s="99"/>
      <c r="B26" s="99"/>
      <c r="C26" s="99"/>
      <c r="D26" s="99"/>
      <c r="E26" s="99"/>
      <c r="F26" s="99"/>
      <c r="G26" s="99"/>
      <c r="H26" s="99"/>
      <c r="I26" s="99"/>
    </row>
    <row r="27" customFormat="false" ht="15.5" hidden="false" customHeight="true" outlineLevel="0" collapsed="false">
      <c r="A27" s="99"/>
      <c r="B27" s="99"/>
      <c r="C27" s="99"/>
      <c r="D27" s="99"/>
      <c r="E27" s="99"/>
      <c r="F27" s="99"/>
      <c r="G27" s="99"/>
      <c r="H27" s="99"/>
      <c r="I27" s="99"/>
    </row>
    <row r="28" customFormat="false" ht="15.5" hidden="false" customHeight="true" outlineLevel="0" collapsed="false">
      <c r="A28" s="99"/>
      <c r="B28" s="99"/>
      <c r="C28" s="99"/>
      <c r="D28" s="99"/>
      <c r="E28" s="99"/>
      <c r="F28" s="99"/>
      <c r="G28" s="99"/>
      <c r="H28" s="99"/>
      <c r="I28" s="99"/>
    </row>
    <row r="29" customFormat="false" ht="15.5" hidden="false" customHeight="true" outlineLevel="0" collapsed="false">
      <c r="A29" s="99"/>
      <c r="B29" s="99"/>
      <c r="C29" s="99"/>
      <c r="D29" s="99"/>
      <c r="E29" s="99"/>
      <c r="F29" s="99"/>
      <c r="G29" s="99"/>
      <c r="H29" s="99"/>
      <c r="I29" s="99"/>
    </row>
    <row r="30" customFormat="false" ht="15.5" hidden="false" customHeight="true" outlineLevel="0" collapsed="false">
      <c r="A30" s="99"/>
      <c r="B30" s="99"/>
      <c r="C30" s="99"/>
      <c r="D30" s="99"/>
      <c r="E30" s="99"/>
      <c r="F30" s="99"/>
      <c r="G30" s="99"/>
      <c r="H30" s="99"/>
      <c r="I30" s="99"/>
    </row>
    <row r="31" customFormat="false" ht="15.5" hidden="false" customHeight="true" outlineLevel="0" collapsed="false">
      <c r="A31" s="99"/>
      <c r="B31" s="99"/>
      <c r="C31" s="99"/>
      <c r="D31" s="99"/>
      <c r="E31" s="99"/>
      <c r="F31" s="99"/>
      <c r="G31" s="99"/>
      <c r="H31" s="99"/>
      <c r="I31" s="99"/>
    </row>
    <row r="32" customFormat="false" ht="15.5" hidden="false" customHeight="true" outlineLevel="0" collapsed="false">
      <c r="A32" s="83"/>
      <c r="B32" s="83"/>
      <c r="C32" s="83"/>
      <c r="D32" s="83"/>
      <c r="E32" s="83"/>
      <c r="F32" s="83"/>
      <c r="G32" s="83"/>
      <c r="H32" s="102"/>
      <c r="I32" s="102"/>
    </row>
    <row r="33" customFormat="false" ht="15.5" hidden="false" customHeight="true" outlineLevel="0" collapsed="false">
      <c r="A33" s="92" t="s">
        <v>105</v>
      </c>
      <c r="B33" s="83"/>
      <c r="C33" s="83"/>
      <c r="D33" s="83"/>
      <c r="E33" s="83"/>
      <c r="F33" s="83"/>
      <c r="G33" s="83"/>
      <c r="H33" s="83"/>
      <c r="I33" s="83"/>
    </row>
    <row r="34" customFormat="false" ht="15.5" hidden="false" customHeight="true" outlineLevel="0" collapsed="false">
      <c r="A34" s="89" t="s">
        <v>106</v>
      </c>
      <c r="B34" s="89"/>
      <c r="C34" s="89"/>
      <c r="D34" s="99"/>
      <c r="E34" s="99"/>
      <c r="F34" s="76"/>
      <c r="G34" s="76"/>
      <c r="H34" s="83"/>
      <c r="I34" s="83"/>
    </row>
    <row r="35" customFormat="false" ht="15.5" hidden="false" customHeight="true" outlineLevel="0" collapsed="false">
      <c r="A35" s="89" t="s">
        <v>107</v>
      </c>
      <c r="B35" s="89"/>
      <c r="C35" s="89"/>
      <c r="D35" s="99"/>
      <c r="E35" s="99"/>
      <c r="F35" s="76"/>
      <c r="G35" s="76"/>
      <c r="H35" s="83"/>
      <c r="I35" s="83"/>
    </row>
    <row r="36" customFormat="false" ht="15.5" hidden="false" customHeight="true" outlineLevel="0" collapsed="false">
      <c r="A36" s="103" t="s">
        <v>108</v>
      </c>
      <c r="B36" s="103"/>
      <c r="C36" s="103"/>
      <c r="D36" s="83"/>
      <c r="E36" s="99"/>
      <c r="F36" s="99"/>
      <c r="G36" s="99"/>
      <c r="H36" s="99"/>
      <c r="I36" s="78"/>
    </row>
    <row r="37" customFormat="false" ht="15.5" hidden="false" customHeight="true" outlineLevel="0" collapsed="false">
      <c r="A37" s="103"/>
      <c r="B37" s="103"/>
      <c r="C37" s="103"/>
      <c r="D37" s="83"/>
      <c r="E37" s="99"/>
      <c r="F37" s="99"/>
      <c r="G37" s="99"/>
      <c r="H37" s="99"/>
      <c r="I37" s="78"/>
    </row>
    <row r="38" customFormat="false" ht="15.5" hidden="false" customHeight="true" outlineLevel="0" collapsed="false">
      <c r="A38" s="78"/>
      <c r="B38" s="104"/>
      <c r="C38" s="104"/>
      <c r="D38" s="104"/>
      <c r="E38" s="104"/>
      <c r="F38" s="104"/>
      <c r="G38" s="104"/>
      <c r="H38" s="104"/>
      <c r="I38" s="104"/>
    </row>
    <row r="39" customFormat="false" ht="14" hidden="false" customHeight="true" outlineLevel="0" collapsed="false">
      <c r="A39" s="105" t="s">
        <v>109</v>
      </c>
      <c r="B39" s="105"/>
      <c r="C39" s="105"/>
      <c r="D39" s="105"/>
      <c r="E39" s="105"/>
      <c r="F39" s="105"/>
      <c r="G39" s="105"/>
      <c r="H39" s="105"/>
      <c r="I39" s="105"/>
    </row>
    <row r="40" customFormat="false" ht="14" hidden="false" customHeight="true" outlineLevel="0" collapsed="false">
      <c r="A40" s="78"/>
      <c r="B40" s="104"/>
      <c r="C40" s="104"/>
      <c r="D40" s="104"/>
      <c r="E40" s="104"/>
      <c r="F40" s="104"/>
      <c r="G40" s="104"/>
      <c r="H40" s="104"/>
      <c r="I40" s="104"/>
    </row>
    <row r="41" customFormat="false" ht="14" hidden="false" customHeight="true" outlineLevel="0" collapsed="false">
      <c r="A41" s="106" t="s">
        <v>110</v>
      </c>
      <c r="B41" s="107"/>
      <c r="C41" s="108"/>
      <c r="D41" s="109" t="s">
        <v>111</v>
      </c>
      <c r="E41" s="110" t="s">
        <v>112</v>
      </c>
      <c r="F41" s="111" t="s">
        <v>113</v>
      </c>
      <c r="G41" s="111"/>
      <c r="H41" s="110" t="s">
        <v>114</v>
      </c>
      <c r="I41" s="104"/>
    </row>
    <row r="42" customFormat="false" ht="14" hidden="false" customHeight="true" outlineLevel="0" collapsed="false">
      <c r="A42" s="106"/>
      <c r="B42" s="112"/>
      <c r="C42" s="113"/>
      <c r="D42" s="109"/>
      <c r="E42" s="110"/>
      <c r="F42" s="111"/>
      <c r="G42" s="111"/>
      <c r="H42" s="110"/>
      <c r="I42" s="104"/>
    </row>
    <row r="43" customFormat="false" ht="14" hidden="false" customHeight="true" outlineLevel="0" collapsed="false">
      <c r="A43" s="106"/>
      <c r="B43" s="114"/>
      <c r="C43" s="115"/>
      <c r="D43" s="109"/>
      <c r="E43" s="110"/>
      <c r="F43" s="111"/>
      <c r="G43" s="111"/>
      <c r="H43" s="110"/>
      <c r="I43" s="104"/>
    </row>
    <row r="44" customFormat="false" ht="14" hidden="false" customHeight="true" outlineLevel="0" collapsed="false">
      <c r="A44" s="116" t="s">
        <v>115</v>
      </c>
      <c r="B44" s="116"/>
      <c r="C44" s="116"/>
      <c r="D44" s="117"/>
      <c r="E44" s="118"/>
      <c r="F44" s="104"/>
      <c r="G44" s="119"/>
      <c r="H44" s="118"/>
      <c r="I44" s="104"/>
    </row>
    <row r="45" customFormat="false" ht="14" hidden="false" customHeight="true" outlineLevel="0" collapsed="false">
      <c r="A45" s="120"/>
      <c r="B45" s="121" t="s">
        <v>4</v>
      </c>
      <c r="C45" s="121"/>
      <c r="D45" s="122"/>
      <c r="E45" s="123"/>
      <c r="F45" s="124"/>
      <c r="G45" s="124"/>
      <c r="H45" s="123"/>
      <c r="I45" s="104"/>
    </row>
    <row r="46" customFormat="false" ht="14" hidden="false" customHeight="true" outlineLevel="0" collapsed="false">
      <c r="A46" s="125"/>
      <c r="B46" s="126" t="s">
        <v>6</v>
      </c>
      <c r="C46" s="127"/>
      <c r="D46" s="122"/>
      <c r="E46" s="123"/>
      <c r="F46" s="124"/>
      <c r="G46" s="124"/>
      <c r="H46" s="123"/>
      <c r="I46" s="104"/>
    </row>
    <row r="47" customFormat="false" ht="14" hidden="false" customHeight="true" outlineLevel="0" collapsed="false">
      <c r="A47" s="125"/>
      <c r="B47" s="126" t="s">
        <v>116</v>
      </c>
      <c r="C47" s="127"/>
      <c r="D47" s="122"/>
      <c r="E47" s="128"/>
      <c r="F47" s="124"/>
      <c r="G47" s="124"/>
      <c r="H47" s="123"/>
      <c r="I47" s="104"/>
    </row>
    <row r="48" customFormat="false" ht="14" hidden="false" customHeight="true" outlineLevel="0" collapsed="false">
      <c r="A48" s="125"/>
      <c r="B48" s="126" t="s">
        <v>117</v>
      </c>
      <c r="C48" s="127"/>
      <c r="D48" s="122"/>
      <c r="E48" s="128"/>
      <c r="F48" s="124"/>
      <c r="G48" s="124"/>
      <c r="H48" s="123"/>
      <c r="I48" s="104"/>
    </row>
    <row r="49" customFormat="false" ht="14" hidden="false" customHeight="true" outlineLevel="0" collapsed="false">
      <c r="A49" s="125"/>
      <c r="B49" s="126" t="s">
        <v>118</v>
      </c>
      <c r="C49" s="127"/>
      <c r="D49" s="122"/>
      <c r="E49" s="128"/>
      <c r="F49" s="124"/>
      <c r="G49" s="124"/>
      <c r="H49" s="123"/>
      <c r="I49" s="104"/>
    </row>
    <row r="50" customFormat="false" ht="14" hidden="false" customHeight="true" outlineLevel="0" collapsed="false">
      <c r="A50" s="125"/>
      <c r="B50" s="126" t="s">
        <v>119</v>
      </c>
      <c r="C50" s="127"/>
      <c r="D50" s="122"/>
      <c r="E50" s="128"/>
      <c r="F50" s="124"/>
      <c r="G50" s="124"/>
      <c r="H50" s="123"/>
      <c r="I50" s="104"/>
    </row>
    <row r="51" customFormat="false" ht="14" hidden="false" customHeight="true" outlineLevel="0" collapsed="false">
      <c r="A51" s="125"/>
      <c r="B51" s="126" t="s">
        <v>120</v>
      </c>
      <c r="C51" s="127"/>
      <c r="D51" s="122"/>
      <c r="E51" s="128"/>
      <c r="F51" s="124"/>
      <c r="G51" s="124"/>
      <c r="H51" s="123"/>
      <c r="I51" s="104"/>
    </row>
    <row r="52" customFormat="false" ht="14" hidden="false" customHeight="true" outlineLevel="0" collapsed="false">
      <c r="A52" s="125"/>
      <c r="B52" s="126" t="s">
        <v>121</v>
      </c>
      <c r="C52" s="127"/>
      <c r="D52" s="122"/>
      <c r="E52" s="128"/>
      <c r="F52" s="124"/>
      <c r="G52" s="124"/>
      <c r="H52" s="123"/>
      <c r="I52" s="104"/>
    </row>
    <row r="53" customFormat="false" ht="14" hidden="false" customHeight="true" outlineLevel="0" collapsed="false">
      <c r="A53" s="125"/>
      <c r="B53" s="126" t="s">
        <v>122</v>
      </c>
      <c r="C53" s="127"/>
      <c r="D53" s="122"/>
      <c r="E53" s="128"/>
      <c r="F53" s="124"/>
      <c r="G53" s="124"/>
      <c r="H53" s="123"/>
      <c r="I53" s="104"/>
    </row>
    <row r="54" customFormat="false" ht="14" hidden="false" customHeight="true" outlineLevel="0" collapsed="false">
      <c r="A54" s="129"/>
      <c r="B54" s="126" t="s">
        <v>123</v>
      </c>
      <c r="C54" s="127"/>
      <c r="D54" s="122"/>
      <c r="E54" s="128"/>
      <c r="F54" s="124"/>
      <c r="G54" s="124"/>
      <c r="H54" s="123"/>
      <c r="I54" s="104"/>
    </row>
    <row r="55" customFormat="false" ht="14" hidden="false" customHeight="true" outlineLevel="0" collapsed="false">
      <c r="A55" s="130" t="s">
        <v>124</v>
      </c>
      <c r="B55" s="130"/>
      <c r="C55" s="130"/>
      <c r="D55" s="131"/>
      <c r="E55" s="118"/>
      <c r="F55" s="132"/>
      <c r="G55" s="132"/>
      <c r="H55" s="118"/>
      <c r="I55" s="104"/>
    </row>
    <row r="56" customFormat="false" ht="14" hidden="false" customHeight="true" outlineLevel="0" collapsed="false">
      <c r="A56" s="125"/>
      <c r="B56" s="126" t="s">
        <v>125</v>
      </c>
      <c r="C56" s="133"/>
      <c r="D56" s="122"/>
      <c r="E56" s="123"/>
      <c r="F56" s="124"/>
      <c r="G56" s="124"/>
      <c r="H56" s="123"/>
      <c r="I56" s="104"/>
    </row>
    <row r="57" customFormat="false" ht="14" hidden="false" customHeight="true" outlineLevel="0" collapsed="false">
      <c r="A57" s="125"/>
      <c r="B57" s="126" t="s">
        <v>126</v>
      </c>
      <c r="C57" s="134"/>
      <c r="D57" s="122"/>
      <c r="E57" s="123"/>
      <c r="F57" s="124"/>
      <c r="G57" s="124"/>
      <c r="H57" s="123"/>
      <c r="I57" s="104"/>
    </row>
    <row r="58" customFormat="false" ht="14" hidden="false" customHeight="true" outlineLevel="0" collapsed="false">
      <c r="A58" s="125"/>
      <c r="B58" s="126" t="s">
        <v>127</v>
      </c>
      <c r="C58" s="127"/>
      <c r="D58" s="122"/>
      <c r="E58" s="128"/>
      <c r="F58" s="124"/>
      <c r="G58" s="124"/>
      <c r="H58" s="123"/>
      <c r="I58" s="104"/>
    </row>
    <row r="59" customFormat="false" ht="14" hidden="false" customHeight="true" outlineLevel="0" collapsed="false">
      <c r="A59" s="125"/>
      <c r="B59" s="126" t="s">
        <v>128</v>
      </c>
      <c r="C59" s="127"/>
      <c r="D59" s="122"/>
      <c r="E59" s="128"/>
      <c r="F59" s="124"/>
      <c r="G59" s="124"/>
      <c r="H59" s="123"/>
      <c r="I59" s="104"/>
    </row>
    <row r="60" customFormat="false" ht="14" hidden="false" customHeight="true" outlineLevel="0" collapsed="false">
      <c r="A60" s="125"/>
      <c r="B60" s="135" t="s">
        <v>129</v>
      </c>
      <c r="C60" s="127"/>
      <c r="D60" s="122"/>
      <c r="E60" s="128"/>
      <c r="F60" s="124"/>
      <c r="G60" s="124"/>
      <c r="H60" s="123"/>
      <c r="I60" s="104"/>
    </row>
    <row r="61" customFormat="false" ht="14" hidden="false" customHeight="true" outlineLevel="0" collapsed="false">
      <c r="A61" s="130" t="s">
        <v>130</v>
      </c>
      <c r="B61" s="130"/>
      <c r="C61" s="130"/>
      <c r="D61" s="131"/>
      <c r="E61" s="118"/>
      <c r="F61" s="132"/>
      <c r="G61" s="132"/>
      <c r="H61" s="118"/>
      <c r="I61" s="104"/>
    </row>
    <row r="62" customFormat="false" ht="14" hidden="false" customHeight="true" outlineLevel="0" collapsed="false">
      <c r="A62" s="125"/>
      <c r="B62" s="126" t="s">
        <v>131</v>
      </c>
      <c r="C62" s="127"/>
      <c r="D62" s="122"/>
      <c r="E62" s="123"/>
      <c r="F62" s="124"/>
      <c r="G62" s="124"/>
      <c r="H62" s="123"/>
      <c r="I62" s="104"/>
    </row>
    <row r="63" customFormat="false" ht="14" hidden="false" customHeight="true" outlineLevel="0" collapsed="false">
      <c r="A63" s="125"/>
      <c r="B63" s="126" t="s">
        <v>132</v>
      </c>
      <c r="C63" s="134"/>
      <c r="D63" s="122"/>
      <c r="E63" s="128"/>
      <c r="F63" s="124"/>
      <c r="G63" s="124"/>
      <c r="H63" s="123"/>
      <c r="I63" s="104"/>
    </row>
    <row r="64" customFormat="false" ht="14" hidden="false" customHeight="true" outlineLevel="0" collapsed="false">
      <c r="A64" s="125"/>
      <c r="B64" s="126" t="s">
        <v>133</v>
      </c>
      <c r="C64" s="127"/>
      <c r="D64" s="122"/>
      <c r="E64" s="128"/>
      <c r="F64" s="124"/>
      <c r="G64" s="124"/>
      <c r="H64" s="123"/>
      <c r="I64" s="104"/>
    </row>
    <row r="65" customFormat="false" ht="14" hidden="false" customHeight="true" outlineLevel="0" collapsed="false">
      <c r="A65" s="125"/>
      <c r="B65" s="126" t="s">
        <v>134</v>
      </c>
      <c r="C65" s="127"/>
      <c r="D65" s="122"/>
      <c r="E65" s="128"/>
      <c r="F65" s="124"/>
      <c r="G65" s="124"/>
      <c r="H65" s="123"/>
      <c r="I65" s="104"/>
    </row>
    <row r="66" customFormat="false" ht="14" hidden="false" customHeight="true" outlineLevel="0" collapsed="false">
      <c r="A66" s="125"/>
      <c r="B66" s="135" t="s">
        <v>135</v>
      </c>
      <c r="C66" s="127"/>
      <c r="D66" s="122"/>
      <c r="E66" s="128"/>
      <c r="F66" s="124"/>
      <c r="G66" s="124"/>
      <c r="H66" s="123"/>
      <c r="I66" s="104"/>
    </row>
    <row r="67" customFormat="false" ht="14" hidden="false" customHeight="true" outlineLevel="0" collapsed="false">
      <c r="A67" s="136" t="s">
        <v>136</v>
      </c>
      <c r="B67" s="136"/>
      <c r="C67" s="136"/>
      <c r="D67" s="131"/>
      <c r="E67" s="118"/>
      <c r="F67" s="132"/>
      <c r="G67" s="132"/>
      <c r="H67" s="118"/>
      <c r="I67" s="104"/>
    </row>
    <row r="68" customFormat="false" ht="14" hidden="false" customHeight="true" outlineLevel="0" collapsed="false">
      <c r="A68" s="120"/>
      <c r="B68" s="126" t="s">
        <v>137</v>
      </c>
      <c r="C68" s="127"/>
      <c r="D68" s="122"/>
      <c r="E68" s="123"/>
      <c r="F68" s="124"/>
      <c r="G68" s="124"/>
      <c r="H68" s="123"/>
      <c r="I68" s="104"/>
    </row>
    <row r="69" customFormat="false" ht="14" hidden="false" customHeight="true" outlineLevel="0" collapsed="false">
      <c r="A69" s="125"/>
      <c r="B69" s="126" t="s">
        <v>138</v>
      </c>
      <c r="C69" s="134"/>
      <c r="D69" s="122"/>
      <c r="E69" s="128"/>
      <c r="F69" s="124"/>
      <c r="G69" s="124"/>
      <c r="H69" s="123"/>
      <c r="I69" s="104"/>
    </row>
    <row r="70" customFormat="false" ht="14" hidden="false" customHeight="true" outlineLevel="0" collapsed="false">
      <c r="A70" s="125"/>
      <c r="B70" s="126" t="s">
        <v>139</v>
      </c>
      <c r="C70" s="127"/>
      <c r="D70" s="122"/>
      <c r="E70" s="128"/>
      <c r="F70" s="124"/>
      <c r="G70" s="124"/>
      <c r="H70" s="123"/>
      <c r="I70" s="104"/>
    </row>
    <row r="71" customFormat="false" ht="14" hidden="false" customHeight="true" outlineLevel="0" collapsed="false">
      <c r="A71" s="125"/>
      <c r="B71" s="126" t="s">
        <v>140</v>
      </c>
      <c r="C71" s="127"/>
      <c r="D71" s="122"/>
      <c r="E71" s="128"/>
      <c r="F71" s="124"/>
      <c r="G71" s="124"/>
      <c r="H71" s="123"/>
      <c r="I71" s="104"/>
    </row>
    <row r="72" customFormat="false" ht="14" hidden="false" customHeight="true" outlineLevel="0" collapsed="false">
      <c r="A72" s="125"/>
      <c r="B72" s="126" t="s">
        <v>141</v>
      </c>
      <c r="C72" s="127"/>
      <c r="D72" s="122"/>
      <c r="E72" s="128"/>
      <c r="F72" s="124"/>
      <c r="G72" s="124"/>
      <c r="H72" s="123"/>
      <c r="I72" s="104"/>
    </row>
    <row r="73" customFormat="false" ht="14" hidden="false" customHeight="true" outlineLevel="0" collapsed="false">
      <c r="A73" s="125"/>
      <c r="B73" s="126" t="s">
        <v>142</v>
      </c>
      <c r="C73" s="127"/>
      <c r="D73" s="122"/>
      <c r="E73" s="123"/>
      <c r="F73" s="124"/>
      <c r="G73" s="124"/>
      <c r="H73" s="123"/>
      <c r="I73" s="104"/>
    </row>
    <row r="74" customFormat="false" ht="14" hidden="false" customHeight="true" outlineLevel="0" collapsed="false">
      <c r="A74" s="125"/>
      <c r="B74" s="126" t="s">
        <v>143</v>
      </c>
      <c r="C74" s="127"/>
      <c r="D74" s="122"/>
      <c r="E74" s="128"/>
      <c r="F74" s="124"/>
      <c r="G74" s="124"/>
      <c r="H74" s="123"/>
      <c r="I74" s="104"/>
    </row>
    <row r="75" customFormat="false" ht="14" hidden="false" customHeight="true" outlineLevel="0" collapsed="false">
      <c r="A75" s="125"/>
      <c r="B75" s="126" t="s">
        <v>144</v>
      </c>
      <c r="C75" s="127"/>
      <c r="D75" s="122"/>
      <c r="E75" s="128"/>
      <c r="F75" s="124"/>
      <c r="G75" s="124"/>
      <c r="H75" s="123"/>
      <c r="I75" s="104"/>
    </row>
    <row r="76" customFormat="false" ht="14" hidden="false" customHeight="true" outlineLevel="0" collapsed="false">
      <c r="A76" s="125"/>
      <c r="B76" s="126" t="s">
        <v>145</v>
      </c>
      <c r="C76" s="127"/>
      <c r="D76" s="122"/>
      <c r="E76" s="128"/>
      <c r="F76" s="124"/>
      <c r="G76" s="124"/>
      <c r="H76" s="123"/>
      <c r="I76" s="104"/>
    </row>
    <row r="77" customFormat="false" ht="14" hidden="false" customHeight="true" outlineLevel="0" collapsed="false">
      <c r="A77" s="125"/>
      <c r="B77" s="126" t="s">
        <v>146</v>
      </c>
      <c r="C77" s="127"/>
      <c r="D77" s="122"/>
      <c r="E77" s="128"/>
      <c r="F77" s="124"/>
      <c r="G77" s="124"/>
      <c r="H77" s="123"/>
      <c r="I77" s="104"/>
    </row>
    <row r="78" customFormat="false" ht="14" hidden="false" customHeight="true" outlineLevel="0" collapsed="false">
      <c r="A78" s="125"/>
      <c r="B78" s="126" t="s">
        <v>147</v>
      </c>
      <c r="C78" s="127"/>
      <c r="D78" s="122"/>
      <c r="E78" s="123"/>
      <c r="F78" s="124"/>
      <c r="G78" s="124"/>
      <c r="H78" s="123"/>
      <c r="I78" s="104"/>
    </row>
    <row r="79" customFormat="false" ht="14" hidden="false" customHeight="true" outlineLevel="0" collapsed="false">
      <c r="A79" s="125"/>
      <c r="B79" s="126" t="s">
        <v>148</v>
      </c>
      <c r="C79" s="127"/>
      <c r="D79" s="122"/>
      <c r="E79" s="123"/>
      <c r="F79" s="124"/>
      <c r="G79" s="124"/>
      <c r="H79" s="123"/>
      <c r="I79" s="104"/>
    </row>
    <row r="80" customFormat="false" ht="14" hidden="false" customHeight="true" outlineLevel="0" collapsed="false">
      <c r="A80" s="125"/>
      <c r="B80" s="126" t="s">
        <v>149</v>
      </c>
      <c r="C80" s="127"/>
      <c r="D80" s="122"/>
      <c r="E80" s="123"/>
      <c r="F80" s="124"/>
      <c r="G80" s="124"/>
      <c r="H80" s="123"/>
      <c r="I80" s="104"/>
    </row>
    <row r="81" customFormat="false" ht="14" hidden="false" customHeight="true" outlineLevel="0" collapsed="false">
      <c r="A81" s="129"/>
      <c r="B81" s="126" t="s">
        <v>150</v>
      </c>
      <c r="C81" s="127"/>
      <c r="D81" s="122"/>
      <c r="E81" s="123"/>
      <c r="F81" s="124"/>
      <c r="G81" s="124"/>
      <c r="H81" s="123"/>
      <c r="I81" s="104"/>
    </row>
    <row r="82" customFormat="false" ht="14" hidden="false" customHeight="true" outlineLevel="0" collapsed="false">
      <c r="A82" s="130" t="s">
        <v>151</v>
      </c>
      <c r="B82" s="130"/>
      <c r="C82" s="130"/>
      <c r="D82" s="131"/>
      <c r="E82" s="118"/>
      <c r="F82" s="132"/>
      <c r="G82" s="132"/>
      <c r="H82" s="118"/>
      <c r="I82" s="104"/>
    </row>
    <row r="83" customFormat="false" ht="14" hidden="false" customHeight="true" outlineLevel="0" collapsed="false">
      <c r="A83" s="125"/>
      <c r="B83" s="126" t="s">
        <v>152</v>
      </c>
      <c r="C83" s="127"/>
      <c r="D83" s="122"/>
      <c r="E83" s="128"/>
      <c r="F83" s="124"/>
      <c r="G83" s="124"/>
      <c r="H83" s="123"/>
      <c r="I83" s="104"/>
    </row>
    <row r="84" customFormat="false" ht="14" hidden="false" customHeight="true" outlineLevel="0" collapsed="false">
      <c r="A84" s="125"/>
      <c r="B84" s="126" t="s">
        <v>153</v>
      </c>
      <c r="C84" s="127"/>
      <c r="D84" s="122"/>
      <c r="E84" s="123"/>
      <c r="F84" s="137"/>
      <c r="G84" s="124"/>
      <c r="H84" s="123"/>
      <c r="I84" s="104"/>
    </row>
    <row r="85" customFormat="false" ht="14" hidden="false" customHeight="true" outlineLevel="0" collapsed="false">
      <c r="A85" s="125"/>
      <c r="B85" s="126" t="s">
        <v>154</v>
      </c>
      <c r="C85" s="127"/>
      <c r="D85" s="122"/>
      <c r="E85" s="128"/>
      <c r="F85" s="124"/>
      <c r="G85" s="124"/>
      <c r="H85" s="123"/>
      <c r="I85" s="104"/>
    </row>
    <row r="86" customFormat="false" ht="14" hidden="false" customHeight="true" outlineLevel="0" collapsed="false">
      <c r="A86" s="125"/>
      <c r="B86" s="126" t="s">
        <v>155</v>
      </c>
      <c r="C86" s="127"/>
      <c r="D86" s="122"/>
      <c r="E86" s="123"/>
      <c r="F86" s="137"/>
      <c r="G86" s="124"/>
      <c r="H86" s="123"/>
      <c r="I86" s="104"/>
    </row>
    <row r="87" customFormat="false" ht="14" hidden="false" customHeight="true" outlineLevel="0" collapsed="false">
      <c r="A87" s="125"/>
      <c r="B87" s="135" t="s">
        <v>156</v>
      </c>
      <c r="C87" s="138"/>
      <c r="D87" s="139"/>
      <c r="E87" s="140"/>
      <c r="F87" s="141"/>
      <c r="G87" s="141"/>
      <c r="H87" s="142"/>
      <c r="I87" s="104"/>
    </row>
    <row r="88" s="146" customFormat="true" ht="15.5" hidden="false" customHeight="true" outlineLevel="0" collapsed="false">
      <c r="A88" s="143"/>
      <c r="B88" s="138"/>
      <c r="C88" s="138"/>
      <c r="D88" s="144"/>
      <c r="E88" s="144"/>
      <c r="F88" s="145"/>
      <c r="G88" s="145"/>
      <c r="H88" s="144"/>
      <c r="I88" s="104"/>
    </row>
    <row r="89" customFormat="false" ht="14.5" hidden="false" customHeight="true" outlineLevel="0" collapsed="false">
      <c r="A89" s="78"/>
      <c r="B89" s="104"/>
      <c r="C89" s="147" t="s">
        <v>157</v>
      </c>
      <c r="D89" s="147"/>
      <c r="E89" s="148" t="s">
        <v>158</v>
      </c>
      <c r="F89" s="148"/>
      <c r="G89" s="147" t="s">
        <v>159</v>
      </c>
      <c r="H89" s="147"/>
      <c r="I89" s="147"/>
    </row>
    <row r="90" customFormat="false" ht="14.5" hidden="false" customHeight="true" outlineLevel="0" collapsed="false">
      <c r="A90" s="78"/>
      <c r="B90" s="104"/>
      <c r="C90" s="149" t="s">
        <v>160</v>
      </c>
      <c r="D90" s="150" t="s">
        <v>161</v>
      </c>
      <c r="E90" s="149" t="s">
        <v>162</v>
      </c>
      <c r="F90" s="151" t="s">
        <v>163</v>
      </c>
      <c r="G90" s="147"/>
      <c r="H90" s="147"/>
      <c r="I90" s="147"/>
    </row>
    <row r="91" customFormat="false" ht="14.5" hidden="false" customHeight="true" outlineLevel="0" collapsed="false">
      <c r="A91" s="152" t="s">
        <v>115</v>
      </c>
      <c r="B91" s="153"/>
      <c r="C91" s="149"/>
      <c r="D91" s="150"/>
      <c r="E91" s="149"/>
      <c r="F91" s="151"/>
      <c r="G91" s="147"/>
      <c r="H91" s="147"/>
      <c r="I91" s="147"/>
    </row>
    <row r="92" customFormat="false" ht="14.5" hidden="false" customHeight="true" outlineLevel="0" collapsed="false">
      <c r="A92" s="154" t="s">
        <v>4</v>
      </c>
      <c r="B92" s="154"/>
      <c r="C92" s="155"/>
      <c r="D92" s="156"/>
      <c r="E92" s="157"/>
      <c r="F92" s="158"/>
      <c r="G92" s="159"/>
      <c r="H92" s="159"/>
      <c r="I92" s="159"/>
    </row>
    <row r="93" customFormat="false" ht="14.5" hidden="false" customHeight="true" outlineLevel="0" collapsed="false">
      <c r="A93" s="126" t="s">
        <v>6</v>
      </c>
      <c r="B93" s="127"/>
      <c r="C93" s="160"/>
      <c r="D93" s="123"/>
      <c r="E93" s="161"/>
      <c r="F93" s="137"/>
      <c r="G93" s="162"/>
      <c r="H93" s="162"/>
      <c r="I93" s="162"/>
    </row>
    <row r="94" customFormat="false" ht="14.5" hidden="false" customHeight="true" outlineLevel="0" collapsed="false">
      <c r="A94" s="126" t="s">
        <v>116</v>
      </c>
      <c r="B94" s="127"/>
      <c r="C94" s="160"/>
      <c r="D94" s="123"/>
      <c r="E94" s="161"/>
      <c r="F94" s="137"/>
      <c r="G94" s="162"/>
      <c r="H94" s="162"/>
      <c r="I94" s="162"/>
    </row>
    <row r="95" customFormat="false" ht="14.5" hidden="false" customHeight="true" outlineLevel="0" collapsed="false">
      <c r="A95" s="126" t="s">
        <v>117</v>
      </c>
      <c r="B95" s="127"/>
      <c r="C95" s="160"/>
      <c r="D95" s="123"/>
      <c r="E95" s="161"/>
      <c r="F95" s="137"/>
      <c r="G95" s="162"/>
      <c r="H95" s="162"/>
      <c r="I95" s="162"/>
    </row>
    <row r="96" customFormat="false" ht="14.5" hidden="false" customHeight="true" outlineLevel="0" collapsed="false">
      <c r="A96" s="126" t="s">
        <v>118</v>
      </c>
      <c r="B96" s="127"/>
      <c r="C96" s="160"/>
      <c r="D96" s="123"/>
      <c r="E96" s="161"/>
      <c r="F96" s="137"/>
      <c r="G96" s="162"/>
      <c r="H96" s="162"/>
      <c r="I96" s="162"/>
    </row>
    <row r="97" customFormat="false" ht="14.5" hidden="false" customHeight="true" outlineLevel="0" collapsed="false">
      <c r="A97" s="126" t="s">
        <v>119</v>
      </c>
      <c r="B97" s="127"/>
      <c r="C97" s="160"/>
      <c r="D97" s="123"/>
      <c r="E97" s="161"/>
      <c r="F97" s="137"/>
      <c r="G97" s="162"/>
      <c r="H97" s="162"/>
      <c r="I97" s="162"/>
    </row>
    <row r="98" customFormat="false" ht="14.5" hidden="false" customHeight="true" outlineLevel="0" collapsed="false">
      <c r="A98" s="126" t="s">
        <v>120</v>
      </c>
      <c r="B98" s="127"/>
      <c r="C98" s="160"/>
      <c r="D98" s="123"/>
      <c r="E98" s="161"/>
      <c r="F98" s="137"/>
      <c r="G98" s="162"/>
      <c r="H98" s="162"/>
      <c r="I98" s="162"/>
    </row>
    <row r="99" customFormat="false" ht="14.5" hidden="false" customHeight="true" outlineLevel="0" collapsed="false">
      <c r="A99" s="126" t="s">
        <v>121</v>
      </c>
      <c r="B99" s="127"/>
      <c r="C99" s="160"/>
      <c r="D99" s="123"/>
      <c r="E99" s="161"/>
      <c r="F99" s="137"/>
      <c r="G99" s="162"/>
      <c r="H99" s="162"/>
      <c r="I99" s="162"/>
    </row>
    <row r="100" customFormat="false" ht="14.5" hidden="false" customHeight="true" outlineLevel="0" collapsed="false">
      <c r="A100" s="126" t="s">
        <v>122</v>
      </c>
      <c r="B100" s="127"/>
      <c r="C100" s="160"/>
      <c r="D100" s="123"/>
      <c r="E100" s="161"/>
      <c r="F100" s="137"/>
      <c r="G100" s="162"/>
      <c r="H100" s="162"/>
      <c r="I100" s="162"/>
    </row>
    <row r="101" customFormat="false" ht="14.5" hidden="false" customHeight="true" outlineLevel="0" collapsed="false">
      <c r="A101" s="126" t="s">
        <v>123</v>
      </c>
      <c r="B101" s="127"/>
      <c r="C101" s="160"/>
      <c r="D101" s="123"/>
      <c r="E101" s="161"/>
      <c r="F101" s="137"/>
      <c r="G101" s="162"/>
      <c r="H101" s="162"/>
      <c r="I101" s="162"/>
    </row>
    <row r="102" customFormat="false" ht="14.5" hidden="false" customHeight="true" outlineLevel="0" collapsed="false">
      <c r="A102" s="152" t="s">
        <v>124</v>
      </c>
      <c r="B102" s="153"/>
      <c r="C102" s="163"/>
      <c r="D102" s="118"/>
      <c r="E102" s="164"/>
      <c r="F102" s="165"/>
      <c r="G102" s="162"/>
      <c r="H102" s="162"/>
      <c r="I102" s="162"/>
    </row>
    <row r="103" customFormat="false" ht="14.5" hidden="false" customHeight="true" outlineLevel="0" collapsed="false">
      <c r="A103" s="166" t="s">
        <v>125</v>
      </c>
      <c r="B103" s="167"/>
      <c r="C103" s="155"/>
      <c r="D103" s="156"/>
      <c r="E103" s="157"/>
      <c r="F103" s="158"/>
      <c r="G103" s="162"/>
      <c r="H103" s="162"/>
      <c r="I103" s="162"/>
    </row>
    <row r="104" customFormat="false" ht="14.5" hidden="false" customHeight="true" outlineLevel="0" collapsed="false">
      <c r="A104" s="126" t="s">
        <v>126</v>
      </c>
      <c r="B104" s="134"/>
      <c r="C104" s="160"/>
      <c r="D104" s="123"/>
      <c r="E104" s="161"/>
      <c r="F104" s="137"/>
      <c r="G104" s="162"/>
      <c r="H104" s="162"/>
      <c r="I104" s="162"/>
    </row>
    <row r="105" customFormat="false" ht="14.5" hidden="false" customHeight="true" outlineLevel="0" collapsed="false">
      <c r="A105" s="126" t="s">
        <v>127</v>
      </c>
      <c r="B105" s="127"/>
      <c r="C105" s="160"/>
      <c r="D105" s="123"/>
      <c r="E105" s="161"/>
      <c r="F105" s="137"/>
      <c r="G105" s="162"/>
      <c r="H105" s="162"/>
      <c r="I105" s="162"/>
    </row>
    <row r="106" customFormat="false" ht="14.5" hidden="false" customHeight="true" outlineLevel="0" collapsed="false">
      <c r="A106" s="126" t="s">
        <v>128</v>
      </c>
      <c r="B106" s="127"/>
      <c r="C106" s="160"/>
      <c r="D106" s="123"/>
      <c r="E106" s="161"/>
      <c r="F106" s="137"/>
      <c r="G106" s="162"/>
      <c r="H106" s="162"/>
      <c r="I106" s="162"/>
    </row>
    <row r="107" customFormat="false" ht="14.5" hidden="false" customHeight="true" outlineLevel="0" collapsed="false">
      <c r="A107" s="135" t="s">
        <v>129</v>
      </c>
      <c r="B107" s="138"/>
      <c r="C107" s="155"/>
      <c r="D107" s="156"/>
      <c r="E107" s="157"/>
      <c r="F107" s="158"/>
      <c r="G107" s="162"/>
      <c r="H107" s="162"/>
      <c r="I107" s="162"/>
    </row>
    <row r="108" customFormat="false" ht="14.5" hidden="false" customHeight="true" outlineLevel="0" collapsed="false">
      <c r="A108" s="152" t="s">
        <v>130</v>
      </c>
      <c r="B108" s="153"/>
      <c r="C108" s="163"/>
      <c r="D108" s="118"/>
      <c r="E108" s="164"/>
      <c r="F108" s="165"/>
      <c r="G108" s="162"/>
      <c r="H108" s="162"/>
      <c r="I108" s="162"/>
    </row>
    <row r="109" customFormat="false" ht="14.5" hidden="false" customHeight="true" outlineLevel="0" collapsed="false">
      <c r="A109" s="166" t="s">
        <v>131</v>
      </c>
      <c r="B109" s="168"/>
      <c r="C109" s="155"/>
      <c r="D109" s="156"/>
      <c r="E109" s="157"/>
      <c r="F109" s="158"/>
      <c r="G109" s="162"/>
      <c r="H109" s="162"/>
      <c r="I109" s="162"/>
    </row>
    <row r="110" customFormat="false" ht="14.5" hidden="false" customHeight="true" outlineLevel="0" collapsed="false">
      <c r="A110" s="126" t="s">
        <v>132</v>
      </c>
      <c r="B110" s="134"/>
      <c r="C110" s="160"/>
      <c r="D110" s="156"/>
      <c r="E110" s="161"/>
      <c r="F110" s="137"/>
      <c r="G110" s="162"/>
      <c r="H110" s="162"/>
      <c r="I110" s="162"/>
    </row>
    <row r="111" customFormat="false" ht="14.5" hidden="false" customHeight="true" outlineLevel="0" collapsed="false">
      <c r="A111" s="126" t="s">
        <v>133</v>
      </c>
      <c r="B111" s="127"/>
      <c r="C111" s="160"/>
      <c r="D111" s="156"/>
      <c r="E111" s="161"/>
      <c r="F111" s="137"/>
      <c r="G111" s="162"/>
      <c r="H111" s="162"/>
      <c r="I111" s="162"/>
    </row>
    <row r="112" customFormat="false" ht="14.5" hidden="false" customHeight="true" outlineLevel="0" collapsed="false">
      <c r="A112" s="126" t="s">
        <v>164</v>
      </c>
      <c r="B112" s="127"/>
      <c r="C112" s="160"/>
      <c r="D112" s="156"/>
      <c r="E112" s="161"/>
      <c r="F112" s="137"/>
      <c r="G112" s="162"/>
      <c r="H112" s="162"/>
      <c r="I112" s="162"/>
    </row>
    <row r="113" customFormat="false" ht="14.5" hidden="false" customHeight="true" outlineLevel="0" collapsed="false">
      <c r="A113" s="135" t="s">
        <v>135</v>
      </c>
      <c r="B113" s="138"/>
      <c r="C113" s="155"/>
      <c r="D113" s="156"/>
      <c r="E113" s="157"/>
      <c r="F113" s="158"/>
      <c r="G113" s="162"/>
      <c r="H113" s="162"/>
      <c r="I113" s="162"/>
    </row>
    <row r="114" customFormat="false" ht="14.5" hidden="false" customHeight="true" outlineLevel="0" collapsed="false">
      <c r="A114" s="152" t="s">
        <v>136</v>
      </c>
      <c r="B114" s="153"/>
      <c r="C114" s="163"/>
      <c r="D114" s="118"/>
      <c r="E114" s="169" t="s">
        <v>165</v>
      </c>
      <c r="F114" s="169"/>
      <c r="G114" s="162"/>
      <c r="H114" s="162"/>
      <c r="I114" s="162"/>
    </row>
    <row r="115" customFormat="false" ht="14.5" hidden="false" customHeight="true" outlineLevel="0" collapsed="false">
      <c r="A115" s="166" t="s">
        <v>137</v>
      </c>
      <c r="B115" s="168"/>
      <c r="C115" s="155"/>
      <c r="D115" s="156"/>
      <c r="E115" s="157"/>
      <c r="F115" s="158"/>
      <c r="G115" s="162"/>
      <c r="H115" s="162"/>
      <c r="I115" s="162"/>
    </row>
    <row r="116" customFormat="false" ht="14.5" hidden="false" customHeight="true" outlineLevel="0" collapsed="false">
      <c r="A116" s="126" t="s">
        <v>138</v>
      </c>
      <c r="B116" s="134"/>
      <c r="C116" s="160"/>
      <c r="D116" s="123"/>
      <c r="E116" s="161"/>
      <c r="F116" s="137"/>
      <c r="G116" s="162"/>
      <c r="H116" s="162"/>
      <c r="I116" s="162"/>
    </row>
    <row r="117" customFormat="false" ht="14.5" hidden="false" customHeight="true" outlineLevel="0" collapsed="false">
      <c r="A117" s="126" t="s">
        <v>139</v>
      </c>
      <c r="B117" s="127"/>
      <c r="C117" s="160"/>
      <c r="D117" s="123"/>
      <c r="E117" s="161"/>
      <c r="F117" s="137"/>
      <c r="G117" s="162"/>
      <c r="H117" s="162"/>
      <c r="I117" s="162"/>
    </row>
    <row r="118" customFormat="false" ht="14.5" hidden="false" customHeight="true" outlineLevel="0" collapsed="false">
      <c r="A118" s="126" t="s">
        <v>140</v>
      </c>
      <c r="B118" s="127"/>
      <c r="C118" s="160"/>
      <c r="D118" s="123"/>
      <c r="E118" s="161"/>
      <c r="F118" s="137"/>
      <c r="G118" s="162"/>
      <c r="H118" s="162"/>
      <c r="I118" s="162"/>
    </row>
    <row r="119" customFormat="false" ht="14.5" hidden="false" customHeight="true" outlineLevel="0" collapsed="false">
      <c r="A119" s="126" t="s">
        <v>141</v>
      </c>
      <c r="B119" s="127"/>
      <c r="C119" s="160"/>
      <c r="D119" s="123"/>
      <c r="E119" s="161"/>
      <c r="F119" s="137"/>
      <c r="G119" s="162"/>
      <c r="H119" s="162"/>
      <c r="I119" s="162"/>
    </row>
    <row r="120" customFormat="false" ht="14.5" hidden="false" customHeight="true" outlineLevel="0" collapsed="false">
      <c r="A120" s="126" t="s">
        <v>142</v>
      </c>
      <c r="B120" s="127"/>
      <c r="C120" s="160"/>
      <c r="D120" s="123"/>
      <c r="E120" s="161"/>
      <c r="F120" s="137"/>
      <c r="G120" s="162"/>
      <c r="H120" s="162"/>
      <c r="I120" s="162"/>
    </row>
    <row r="121" customFormat="false" ht="14.5" hidden="false" customHeight="true" outlineLevel="0" collapsed="false">
      <c r="A121" s="126" t="s">
        <v>143</v>
      </c>
      <c r="B121" s="127"/>
      <c r="C121" s="160"/>
      <c r="D121" s="123"/>
      <c r="E121" s="161"/>
      <c r="F121" s="137"/>
      <c r="G121" s="162"/>
      <c r="H121" s="162"/>
      <c r="I121" s="162"/>
    </row>
    <row r="122" customFormat="false" ht="14.5" hidden="false" customHeight="true" outlineLevel="0" collapsed="false">
      <c r="A122" s="126" t="s">
        <v>144</v>
      </c>
      <c r="B122" s="127"/>
      <c r="C122" s="160"/>
      <c r="D122" s="123"/>
      <c r="E122" s="161"/>
      <c r="F122" s="137"/>
      <c r="G122" s="162"/>
      <c r="H122" s="162"/>
      <c r="I122" s="162"/>
    </row>
    <row r="123" customFormat="false" ht="14.5" hidden="false" customHeight="true" outlineLevel="0" collapsed="false">
      <c r="A123" s="126" t="s">
        <v>145</v>
      </c>
      <c r="B123" s="127"/>
      <c r="C123" s="160"/>
      <c r="D123" s="123"/>
      <c r="E123" s="161"/>
      <c r="F123" s="137"/>
      <c r="G123" s="162"/>
      <c r="H123" s="162"/>
      <c r="I123" s="162"/>
    </row>
    <row r="124" customFormat="false" ht="14.5" hidden="false" customHeight="true" outlineLevel="0" collapsed="false">
      <c r="A124" s="126" t="s">
        <v>146</v>
      </c>
      <c r="B124" s="127"/>
      <c r="C124" s="160"/>
      <c r="D124" s="123"/>
      <c r="E124" s="161"/>
      <c r="F124" s="137"/>
      <c r="G124" s="162"/>
      <c r="H124" s="162"/>
      <c r="I124" s="162"/>
    </row>
    <row r="125" customFormat="false" ht="14.5" hidden="false" customHeight="true" outlineLevel="0" collapsed="false">
      <c r="A125" s="126" t="s">
        <v>147</v>
      </c>
      <c r="B125" s="127"/>
      <c r="C125" s="160"/>
      <c r="D125" s="123"/>
      <c r="E125" s="161"/>
      <c r="F125" s="137"/>
      <c r="G125" s="162"/>
      <c r="H125" s="162"/>
      <c r="I125" s="162"/>
    </row>
    <row r="126" customFormat="false" ht="14.5" hidden="false" customHeight="true" outlineLevel="0" collapsed="false">
      <c r="A126" s="126" t="s">
        <v>148</v>
      </c>
      <c r="B126" s="127"/>
      <c r="C126" s="160"/>
      <c r="D126" s="123"/>
      <c r="E126" s="161"/>
      <c r="F126" s="137"/>
      <c r="G126" s="162"/>
      <c r="H126" s="162"/>
      <c r="I126" s="162"/>
    </row>
    <row r="127" customFormat="false" ht="14.5" hidden="false" customHeight="true" outlineLevel="0" collapsed="false">
      <c r="A127" s="126" t="s">
        <v>149</v>
      </c>
      <c r="B127" s="127"/>
      <c r="C127" s="160"/>
      <c r="D127" s="123"/>
      <c r="E127" s="161"/>
      <c r="F127" s="137"/>
      <c r="G127" s="162"/>
      <c r="H127" s="162"/>
      <c r="I127" s="162"/>
    </row>
    <row r="128" customFormat="false" ht="14.5" hidden="false" customHeight="true" outlineLevel="0" collapsed="false">
      <c r="A128" s="135" t="s">
        <v>150</v>
      </c>
      <c r="B128" s="138"/>
      <c r="C128" s="155"/>
      <c r="D128" s="156"/>
      <c r="E128" s="157"/>
      <c r="F128" s="158"/>
      <c r="G128" s="162"/>
      <c r="H128" s="162"/>
      <c r="I128" s="162"/>
    </row>
    <row r="129" customFormat="false" ht="14.5" hidden="false" customHeight="true" outlineLevel="0" collapsed="false">
      <c r="A129" s="152" t="s">
        <v>151</v>
      </c>
      <c r="B129" s="153"/>
      <c r="C129" s="163"/>
      <c r="D129" s="118"/>
      <c r="E129" s="164"/>
      <c r="F129" s="165"/>
      <c r="G129" s="162"/>
      <c r="H129" s="162"/>
      <c r="I129" s="162"/>
    </row>
    <row r="130" customFormat="false" ht="14.5" hidden="false" customHeight="true" outlineLevel="0" collapsed="false">
      <c r="A130" s="166" t="s">
        <v>166</v>
      </c>
      <c r="B130" s="168"/>
      <c r="C130" s="160"/>
      <c r="D130" s="123"/>
      <c r="E130" s="161"/>
      <c r="F130" s="170"/>
      <c r="G130" s="162"/>
      <c r="H130" s="162"/>
      <c r="I130" s="162"/>
    </row>
    <row r="131" customFormat="false" ht="14.5" hidden="false" customHeight="true" outlineLevel="0" collapsed="false">
      <c r="A131" s="126" t="s">
        <v>167</v>
      </c>
      <c r="B131" s="127"/>
      <c r="C131" s="160"/>
      <c r="D131" s="123"/>
      <c r="E131" s="161"/>
      <c r="F131" s="137"/>
      <c r="G131" s="162"/>
      <c r="H131" s="162"/>
      <c r="I131" s="162"/>
    </row>
    <row r="132" customFormat="false" ht="14.5" hidden="false" customHeight="true" outlineLevel="0" collapsed="false">
      <c r="A132" s="126" t="s">
        <v>156</v>
      </c>
      <c r="B132" s="127"/>
      <c r="C132" s="160"/>
      <c r="D132" s="123"/>
      <c r="E132" s="161"/>
      <c r="F132" s="137"/>
      <c r="G132" s="162"/>
      <c r="H132" s="162"/>
      <c r="I132" s="162"/>
    </row>
    <row r="133" customFormat="false" ht="14.5" hidden="false" customHeight="true" outlineLevel="0" collapsed="false">
      <c r="A133" s="126"/>
      <c r="B133" s="127"/>
      <c r="C133" s="160"/>
      <c r="D133" s="123"/>
      <c r="E133" s="171"/>
      <c r="F133" s="171"/>
      <c r="G133" s="171"/>
      <c r="H133" s="171"/>
      <c r="I133" s="171"/>
    </row>
    <row r="134" customFormat="false" ht="14.5" hidden="false" customHeight="true" outlineLevel="0" collapsed="false">
      <c r="A134" s="78"/>
      <c r="B134" s="104"/>
      <c r="C134" s="104"/>
      <c r="D134" s="104"/>
      <c r="E134" s="104"/>
      <c r="F134" s="104"/>
      <c r="G134" s="104"/>
      <c r="H134" s="104"/>
      <c r="I134" s="104"/>
    </row>
    <row r="135" customFormat="false" ht="14.5" hidden="false" customHeight="true" outlineLevel="0" collapsed="false">
      <c r="A135" s="172"/>
      <c r="B135" s="173"/>
      <c r="C135" s="172"/>
      <c r="D135" s="174" t="s">
        <v>168</v>
      </c>
      <c r="E135" s="174"/>
      <c r="F135" s="172"/>
      <c r="G135" s="174" t="s">
        <v>169</v>
      </c>
      <c r="H135" s="174"/>
      <c r="I135" s="104"/>
    </row>
    <row r="136" customFormat="false" ht="14.5" hidden="false" customHeight="true" outlineLevel="0" collapsed="false">
      <c r="A136" s="175" t="s">
        <v>170</v>
      </c>
      <c r="B136" s="175"/>
      <c r="C136" s="176" t="s">
        <v>171</v>
      </c>
      <c r="D136" s="177"/>
      <c r="E136" s="178" t="s">
        <v>172</v>
      </c>
      <c r="F136" s="176" t="s">
        <v>171</v>
      </c>
      <c r="G136" s="177"/>
      <c r="H136" s="178" t="s">
        <v>173</v>
      </c>
      <c r="I136" s="104"/>
    </row>
    <row r="137" customFormat="false" ht="14.5" hidden="false" customHeight="true" outlineLevel="0" collapsed="false">
      <c r="A137" s="175"/>
      <c r="B137" s="175"/>
      <c r="C137" s="176" t="s">
        <v>174</v>
      </c>
      <c r="D137" s="177"/>
      <c r="E137" s="178" t="s">
        <v>172</v>
      </c>
      <c r="F137" s="176" t="s">
        <v>174</v>
      </c>
      <c r="G137" s="177"/>
      <c r="H137" s="178" t="s">
        <v>173</v>
      </c>
      <c r="I137" s="104"/>
    </row>
    <row r="138" customFormat="false" ht="14.5" hidden="false" customHeight="true" outlineLevel="0" collapsed="false">
      <c r="A138" s="175"/>
      <c r="B138" s="175"/>
      <c r="C138" s="176" t="s">
        <v>175</v>
      </c>
      <c r="D138" s="177"/>
      <c r="E138" s="178" t="s">
        <v>172</v>
      </c>
      <c r="F138" s="176" t="s">
        <v>175</v>
      </c>
      <c r="G138" s="177"/>
      <c r="H138" s="178" t="s">
        <v>173</v>
      </c>
      <c r="I138" s="104"/>
    </row>
    <row r="139" customFormat="false" ht="14.5" hidden="false" customHeight="true" outlineLevel="0" collapsed="false">
      <c r="A139" s="175"/>
      <c r="B139" s="175"/>
      <c r="C139" s="179"/>
      <c r="D139" s="177"/>
      <c r="E139" s="178"/>
      <c r="F139" s="180"/>
      <c r="G139" s="177"/>
      <c r="H139" s="178"/>
      <c r="I139" s="104"/>
    </row>
    <row r="140" customFormat="false" ht="15.5" hidden="false" customHeight="true" outlineLevel="0" collapsed="false">
      <c r="A140" s="78"/>
      <c r="B140" s="104"/>
      <c r="C140" s="181" t="s">
        <v>176</v>
      </c>
      <c r="D140" s="181"/>
      <c r="E140" s="104"/>
      <c r="F140" s="104"/>
      <c r="G140" s="181" t="s">
        <v>177</v>
      </c>
      <c r="H140" s="181"/>
      <c r="I140" s="104"/>
    </row>
    <row r="141" customFormat="false" ht="15.5" hidden="false" customHeight="true" outlineLevel="0" collapsed="false">
      <c r="A141" s="78"/>
      <c r="B141" s="104"/>
      <c r="C141" s="182" t="s">
        <v>178</v>
      </c>
      <c r="D141" s="183" t="s">
        <v>179</v>
      </c>
      <c r="E141" s="104"/>
      <c r="F141" s="104"/>
      <c r="G141" s="182" t="s">
        <v>178</v>
      </c>
      <c r="H141" s="183" t="s">
        <v>179</v>
      </c>
      <c r="I141" s="104"/>
    </row>
    <row r="142" customFormat="false" ht="8.25" hidden="false" customHeight="true" outlineLevel="0" collapsed="false">
      <c r="A142" s="78"/>
      <c r="B142" s="104"/>
      <c r="C142" s="182"/>
      <c r="D142" s="183"/>
      <c r="E142" s="104"/>
      <c r="F142" s="104"/>
      <c r="G142" s="182"/>
      <c r="H142" s="183"/>
      <c r="I142" s="104"/>
    </row>
    <row r="143" customFormat="false" ht="15.5" hidden="false" customHeight="true" outlineLevel="0" collapsed="false">
      <c r="A143" s="184" t="s">
        <v>180</v>
      </c>
      <c r="B143" s="128"/>
      <c r="C143" s="160"/>
      <c r="D143" s="123"/>
      <c r="E143" s="185" t="s">
        <v>181</v>
      </c>
      <c r="F143" s="185"/>
      <c r="G143" s="160"/>
      <c r="H143" s="123"/>
      <c r="I143" s="104"/>
    </row>
    <row r="144" customFormat="false" ht="15.5" hidden="false" customHeight="true" outlineLevel="0" collapsed="false">
      <c r="A144" s="186" t="s">
        <v>92</v>
      </c>
      <c r="B144" s="187" t="s">
        <v>182</v>
      </c>
      <c r="C144" s="160"/>
      <c r="D144" s="123"/>
      <c r="E144" s="185" t="s">
        <v>183</v>
      </c>
      <c r="F144" s="185"/>
      <c r="G144" s="160"/>
      <c r="H144" s="123"/>
      <c r="I144" s="104"/>
    </row>
    <row r="145" customFormat="false" ht="15.5" hidden="false" customHeight="true" outlineLevel="0" collapsed="false">
      <c r="A145" s="186"/>
      <c r="B145" s="187" t="s">
        <v>184</v>
      </c>
      <c r="C145" s="160"/>
      <c r="D145" s="123"/>
      <c r="E145" s="185" t="s">
        <v>185</v>
      </c>
      <c r="F145" s="185"/>
      <c r="G145" s="160"/>
      <c r="H145" s="123"/>
      <c r="I145" s="104"/>
    </row>
    <row r="146" customFormat="false" ht="15.5" hidden="false" customHeight="true" outlineLevel="0" collapsed="false">
      <c r="A146" s="186"/>
      <c r="B146" s="187" t="s">
        <v>186</v>
      </c>
      <c r="C146" s="160"/>
      <c r="D146" s="123"/>
      <c r="E146" s="185" t="s">
        <v>187</v>
      </c>
      <c r="F146" s="185"/>
      <c r="G146" s="160"/>
      <c r="H146" s="123"/>
      <c r="I146" s="104"/>
    </row>
    <row r="147" customFormat="false" ht="15.5" hidden="false" customHeight="true" outlineLevel="0" collapsed="false">
      <c r="A147" s="184" t="s">
        <v>188</v>
      </c>
      <c r="B147" s="188"/>
      <c r="C147" s="160"/>
      <c r="D147" s="123"/>
      <c r="E147" s="185" t="s">
        <v>189</v>
      </c>
      <c r="F147" s="185"/>
      <c r="G147" s="160"/>
      <c r="H147" s="123"/>
      <c r="I147" s="104"/>
    </row>
    <row r="148" customFormat="false" ht="15.5" hidden="false" customHeight="true" outlineLevel="0" collapsed="false">
      <c r="A148" s="184" t="s">
        <v>190</v>
      </c>
      <c r="B148" s="128"/>
      <c r="C148" s="160"/>
      <c r="D148" s="123"/>
      <c r="E148" s="185" t="s">
        <v>191</v>
      </c>
      <c r="F148" s="185"/>
      <c r="G148" s="160"/>
      <c r="H148" s="123"/>
      <c r="I148" s="104"/>
    </row>
    <row r="149" customFormat="false" ht="15.5" hidden="false" customHeight="true" outlineLevel="0" collapsed="false">
      <c r="A149" s="186" t="s">
        <v>92</v>
      </c>
      <c r="B149" s="187" t="s">
        <v>192</v>
      </c>
      <c r="C149" s="160"/>
      <c r="D149" s="123"/>
      <c r="E149" s="185" t="s">
        <v>193</v>
      </c>
      <c r="F149" s="185"/>
      <c r="G149" s="160"/>
      <c r="H149" s="123"/>
      <c r="I149" s="104"/>
    </row>
    <row r="150" customFormat="false" ht="15.5" hidden="false" customHeight="true" outlineLevel="0" collapsed="false">
      <c r="A150" s="189"/>
      <c r="B150" s="187" t="s">
        <v>194</v>
      </c>
      <c r="C150" s="160"/>
      <c r="D150" s="123"/>
      <c r="E150" s="185" t="s">
        <v>195</v>
      </c>
      <c r="F150" s="185"/>
      <c r="G150" s="160"/>
      <c r="H150" s="123"/>
      <c r="I150" s="104"/>
    </row>
    <row r="151" customFormat="false" ht="15.5" hidden="false" customHeight="true" outlineLevel="0" collapsed="false">
      <c r="A151" s="189"/>
      <c r="B151" s="187" t="s">
        <v>196</v>
      </c>
      <c r="C151" s="160"/>
      <c r="D151" s="123"/>
      <c r="E151" s="185" t="s">
        <v>197</v>
      </c>
      <c r="F151" s="185"/>
      <c r="G151" s="160"/>
      <c r="H151" s="123"/>
      <c r="I151" s="104"/>
    </row>
    <row r="152" customFormat="false" ht="15.5" hidden="false" customHeight="true" outlineLevel="0" collapsed="false">
      <c r="A152" s="189"/>
      <c r="B152" s="187" t="s">
        <v>198</v>
      </c>
      <c r="C152" s="160"/>
      <c r="D152" s="123"/>
      <c r="E152" s="185" t="s">
        <v>199</v>
      </c>
      <c r="F152" s="185"/>
      <c r="G152" s="160"/>
      <c r="H152" s="123"/>
      <c r="I152" s="104"/>
    </row>
    <row r="153" customFormat="false" ht="15.5" hidden="false" customHeight="true" outlineLevel="0" collapsed="false">
      <c r="A153" s="189"/>
      <c r="B153" s="187" t="s">
        <v>200</v>
      </c>
      <c r="C153" s="160"/>
      <c r="D153" s="123"/>
      <c r="E153" s="185" t="s">
        <v>201</v>
      </c>
      <c r="F153" s="185"/>
      <c r="G153" s="160"/>
      <c r="H153" s="123"/>
      <c r="I153" s="104"/>
    </row>
    <row r="154" customFormat="false" ht="15.5" hidden="false" customHeight="true" outlineLevel="0" collapsed="false">
      <c r="A154" s="189"/>
      <c r="B154" s="187" t="s">
        <v>202</v>
      </c>
      <c r="C154" s="160"/>
      <c r="D154" s="123"/>
      <c r="E154" s="185" t="s">
        <v>203</v>
      </c>
      <c r="F154" s="185"/>
      <c r="G154" s="160"/>
      <c r="H154" s="123"/>
      <c r="I154" s="104"/>
    </row>
    <row r="155" customFormat="false" ht="15.5" hidden="false" customHeight="true" outlineLevel="0" collapsed="false">
      <c r="A155" s="189"/>
      <c r="B155" s="190" t="s">
        <v>204</v>
      </c>
      <c r="C155" s="160"/>
      <c r="D155" s="123"/>
      <c r="E155" s="185" t="s">
        <v>205</v>
      </c>
      <c r="F155" s="185"/>
      <c r="G155" s="160"/>
      <c r="H155" s="123"/>
      <c r="I155" s="104"/>
    </row>
    <row r="156" customFormat="false" ht="15.5" hidden="false" customHeight="true" outlineLevel="0" collapsed="false">
      <c r="A156" s="184" t="s">
        <v>206</v>
      </c>
      <c r="B156" s="188"/>
      <c r="C156" s="160"/>
      <c r="D156" s="123"/>
      <c r="E156" s="185" t="s">
        <v>207</v>
      </c>
      <c r="F156" s="185"/>
      <c r="G156" s="160"/>
      <c r="H156" s="123"/>
      <c r="I156" s="104"/>
    </row>
    <row r="157" customFormat="false" ht="15.5" hidden="false" customHeight="true" outlineLevel="0" collapsed="false">
      <c r="A157" s="184" t="s">
        <v>208</v>
      </c>
      <c r="B157" s="191" t="s">
        <v>92</v>
      </c>
      <c r="C157" s="160"/>
      <c r="D157" s="123"/>
      <c r="E157" s="134"/>
      <c r="F157" s="128"/>
      <c r="G157" s="160"/>
      <c r="H157" s="123"/>
      <c r="I157" s="104"/>
    </row>
    <row r="158" customFormat="false" ht="15.5" hidden="false" customHeight="true" outlineLevel="0" collapsed="false">
      <c r="A158" s="192" t="s">
        <v>209</v>
      </c>
      <c r="B158" s="192"/>
      <c r="C158" s="160"/>
      <c r="D158" s="123"/>
      <c r="E158" s="134"/>
      <c r="F158" s="128"/>
      <c r="G158" s="160"/>
      <c r="H158" s="123"/>
      <c r="I158" s="104"/>
    </row>
    <row r="159" customFormat="false" ht="15.5" hidden="false" customHeight="true" outlineLevel="0" collapsed="false">
      <c r="A159" s="192" t="s">
        <v>210</v>
      </c>
      <c r="B159" s="192"/>
      <c r="C159" s="160"/>
      <c r="D159" s="123"/>
      <c r="E159" s="134"/>
      <c r="F159" s="128"/>
      <c r="G159" s="160"/>
      <c r="H159" s="123"/>
      <c r="I159" s="104"/>
    </row>
    <row r="160" customFormat="false" ht="15.5" hidden="false" customHeight="true" outlineLevel="0" collapsed="false">
      <c r="A160" s="192" t="s">
        <v>211</v>
      </c>
      <c r="B160" s="192"/>
      <c r="C160" s="160"/>
      <c r="D160" s="123"/>
      <c r="E160" s="134"/>
      <c r="F160" s="128"/>
      <c r="G160" s="160"/>
      <c r="H160" s="123"/>
      <c r="I160" s="104"/>
    </row>
    <row r="161" customFormat="false" ht="15.5" hidden="false" customHeight="true" outlineLevel="0" collapsed="false">
      <c r="A161" s="193" t="s">
        <v>212</v>
      </c>
      <c r="B161" s="193"/>
      <c r="C161" s="160"/>
      <c r="D161" s="123"/>
      <c r="E161" s="104"/>
      <c r="F161" s="104"/>
      <c r="G161" s="104"/>
      <c r="H161" s="104"/>
      <c r="I161" s="104"/>
    </row>
    <row r="162" customFormat="false" ht="15.5" hidden="false" customHeight="true" outlineLevel="0" collapsed="false">
      <c r="A162" s="192" t="s">
        <v>213</v>
      </c>
      <c r="B162" s="192"/>
      <c r="C162" s="160"/>
      <c r="D162" s="123"/>
      <c r="E162" s="104"/>
      <c r="F162" s="104"/>
      <c r="G162" s="104"/>
      <c r="H162" s="104"/>
      <c r="I162" s="104"/>
    </row>
    <row r="163" customFormat="false" ht="15.5" hidden="false" customHeight="true" outlineLevel="0" collapsed="false">
      <c r="A163" s="192" t="s">
        <v>214</v>
      </c>
      <c r="B163" s="192"/>
      <c r="C163" s="160"/>
      <c r="D163" s="123"/>
      <c r="E163" s="104"/>
      <c r="F163" s="194" t="s">
        <v>215</v>
      </c>
      <c r="G163" s="194"/>
      <c r="H163" s="194"/>
      <c r="I163" s="104" t="s">
        <v>216</v>
      </c>
    </row>
    <row r="164" customFormat="false" ht="15.5" hidden="false" customHeight="true" outlineLevel="0" collapsed="false">
      <c r="A164" s="192" t="s">
        <v>217</v>
      </c>
      <c r="B164" s="192"/>
      <c r="C164" s="160"/>
      <c r="D164" s="123"/>
      <c r="E164" s="104"/>
      <c r="F164" s="195" t="s">
        <v>218</v>
      </c>
      <c r="G164" s="195"/>
      <c r="H164" s="195"/>
      <c r="I164" s="104" t="s">
        <v>219</v>
      </c>
    </row>
    <row r="165" customFormat="false" ht="15.5" hidden="false" customHeight="true" outlineLevel="0" collapsed="false">
      <c r="A165" s="192" t="s">
        <v>220</v>
      </c>
      <c r="B165" s="192"/>
      <c r="C165" s="160"/>
      <c r="D165" s="123"/>
      <c r="E165" s="104"/>
      <c r="F165" s="195"/>
      <c r="G165" s="195"/>
      <c r="H165" s="195"/>
      <c r="I165" s="104"/>
    </row>
    <row r="166" customFormat="false" ht="15.5" hidden="false" customHeight="true" outlineLevel="0" collapsed="false">
      <c r="A166" s="192" t="s">
        <v>221</v>
      </c>
      <c r="B166" s="192"/>
      <c r="C166" s="160"/>
      <c r="D166" s="123"/>
      <c r="E166" s="104"/>
      <c r="F166" s="195"/>
      <c r="G166" s="195"/>
      <c r="H166" s="195"/>
      <c r="I166" s="104"/>
    </row>
    <row r="167" customFormat="false" ht="15.5" hidden="false" customHeight="true" outlineLevel="0" collapsed="false">
      <c r="A167" s="192" t="s">
        <v>222</v>
      </c>
      <c r="B167" s="192"/>
      <c r="C167" s="160"/>
      <c r="D167" s="123"/>
      <c r="E167" s="104"/>
      <c r="F167" s="104"/>
      <c r="G167" s="104"/>
      <c r="H167" s="104"/>
      <c r="I167" s="104"/>
    </row>
    <row r="168" customFormat="false" ht="15.5" hidden="false" customHeight="true" outlineLevel="0" collapsed="false">
      <c r="A168" s="184" t="s">
        <v>223</v>
      </c>
      <c r="B168" s="196"/>
      <c r="C168" s="160"/>
      <c r="D168" s="123"/>
      <c r="E168" s="104"/>
      <c r="F168" s="104"/>
      <c r="G168" s="104"/>
      <c r="H168" s="104"/>
      <c r="I168" s="104"/>
    </row>
    <row r="169" customFormat="false" ht="15.5" hidden="false" customHeight="true" outlineLevel="0" collapsed="false">
      <c r="A169" s="184" t="s">
        <v>224</v>
      </c>
      <c r="B169" s="188"/>
      <c r="C169" s="160"/>
      <c r="D169" s="123"/>
      <c r="E169" s="104"/>
      <c r="F169" s="104"/>
      <c r="G169" s="104"/>
      <c r="H169" s="104"/>
      <c r="I169" s="104"/>
    </row>
    <row r="170" customFormat="false" ht="15.5" hidden="false" customHeight="true" outlineLevel="0" collapsed="false">
      <c r="A170" s="184" t="s">
        <v>225</v>
      </c>
      <c r="B170" s="188"/>
      <c r="C170" s="160"/>
      <c r="D170" s="123"/>
      <c r="E170" s="104"/>
      <c r="F170" s="104"/>
      <c r="G170" s="104"/>
      <c r="H170" s="104"/>
      <c r="I170" s="104"/>
    </row>
    <row r="171" customFormat="false" ht="15.5" hidden="false" customHeight="true" outlineLevel="0" collapsed="false">
      <c r="A171" s="184" t="s">
        <v>226</v>
      </c>
      <c r="B171" s="188"/>
      <c r="C171" s="160"/>
      <c r="D171" s="123"/>
      <c r="E171" s="104"/>
      <c r="F171" s="104"/>
      <c r="G171" s="104"/>
      <c r="H171" s="104"/>
      <c r="I171" s="104"/>
    </row>
    <row r="172" customFormat="false" ht="15.5" hidden="false" customHeight="true" outlineLevel="0" collapsed="false">
      <c r="A172" s="184" t="s">
        <v>227</v>
      </c>
      <c r="B172" s="188"/>
      <c r="C172" s="160"/>
      <c r="D172" s="123"/>
      <c r="E172" s="104"/>
      <c r="F172" s="104"/>
      <c r="G172" s="104"/>
      <c r="H172" s="104"/>
      <c r="I172" s="104"/>
    </row>
    <row r="173" customFormat="false" ht="15.5" hidden="false" customHeight="true" outlineLevel="0" collapsed="false">
      <c r="A173" s="184" t="s">
        <v>228</v>
      </c>
      <c r="B173" s="128"/>
      <c r="C173" s="160"/>
      <c r="D173" s="123"/>
      <c r="E173" s="104"/>
      <c r="F173" s="104"/>
      <c r="G173" s="104"/>
      <c r="H173" s="104"/>
      <c r="I173" s="104"/>
    </row>
    <row r="174" customFormat="false" ht="15.5" hidden="false" customHeight="true" outlineLevel="0" collapsed="false">
      <c r="A174" s="186" t="s">
        <v>92</v>
      </c>
      <c r="B174" s="187" t="s">
        <v>229</v>
      </c>
      <c r="C174" s="160"/>
      <c r="D174" s="123"/>
      <c r="E174" s="104"/>
      <c r="F174" s="104"/>
      <c r="G174" s="104"/>
      <c r="H174" s="104"/>
      <c r="I174" s="104"/>
    </row>
    <row r="175" customFormat="false" ht="15.5" hidden="false" customHeight="true" outlineLevel="0" collapsed="false">
      <c r="A175" s="189"/>
      <c r="B175" s="187" t="s">
        <v>230</v>
      </c>
      <c r="C175" s="160"/>
      <c r="D175" s="123"/>
      <c r="E175" s="104"/>
      <c r="L175" s="197"/>
      <c r="M175" s="197"/>
      <c r="N175" s="197"/>
      <c r="O175" s="197"/>
      <c r="P175" s="197"/>
    </row>
    <row r="176" customFormat="false" ht="15.5" hidden="false" customHeight="true" outlineLevel="0" collapsed="false">
      <c r="A176" s="189"/>
      <c r="B176" s="187" t="s">
        <v>231</v>
      </c>
      <c r="C176" s="160"/>
      <c r="D176" s="123"/>
      <c r="E176" s="104"/>
      <c r="L176" s="197"/>
      <c r="M176" s="197"/>
      <c r="N176" s="197"/>
      <c r="O176" s="197"/>
      <c r="P176" s="197"/>
    </row>
    <row r="177" customFormat="false" ht="15.5" hidden="false" customHeight="true" outlineLevel="0" collapsed="false">
      <c r="A177" s="189"/>
      <c r="B177" s="187" t="s">
        <v>232</v>
      </c>
      <c r="C177" s="160"/>
      <c r="D177" s="123"/>
      <c r="E177" s="104"/>
      <c r="L177" s="197"/>
      <c r="M177" s="197"/>
      <c r="N177" s="197"/>
      <c r="O177" s="197"/>
      <c r="P177" s="197"/>
    </row>
    <row r="178" customFormat="false" ht="15.5" hidden="false" customHeight="true" outlineLevel="0" collapsed="false">
      <c r="A178" s="184" t="s">
        <v>233</v>
      </c>
      <c r="B178" s="188"/>
      <c r="C178" s="160"/>
      <c r="D178" s="123"/>
      <c r="E178" s="104"/>
      <c r="F178" s="104"/>
      <c r="G178" s="104"/>
      <c r="H178" s="104"/>
      <c r="I178" s="104"/>
    </row>
    <row r="179" customFormat="false" ht="15.5" hidden="false" customHeight="true" outlineLevel="0" collapsed="false">
      <c r="A179" s="184"/>
      <c r="B179" s="188"/>
      <c r="C179" s="160"/>
      <c r="D179" s="123"/>
      <c r="E179" s="104"/>
      <c r="F179" s="104"/>
      <c r="G179" s="104"/>
      <c r="H179" s="104"/>
      <c r="I179" s="104"/>
    </row>
    <row r="180" customFormat="false" ht="15.5" hidden="false" customHeight="true" outlineLevel="0" collapsed="false">
      <c r="A180" s="198"/>
      <c r="B180" s="188"/>
      <c r="C180" s="160"/>
      <c r="D180" s="123"/>
    </row>
    <row r="181" customFormat="false" ht="9.75" hidden="false" customHeight="true" outlineLevel="0" collapsed="false">
      <c r="A181" s="78"/>
      <c r="B181" s="199"/>
      <c r="C181" s="104"/>
      <c r="D181" s="104"/>
    </row>
    <row r="182" customFormat="false" ht="15.5" hidden="false" customHeight="true" outlineLevel="0" collapsed="false">
      <c r="A182" s="200" t="s">
        <v>234</v>
      </c>
      <c r="B182" s="200"/>
      <c r="C182" s="200"/>
      <c r="D182" s="104"/>
      <c r="E182" s="104"/>
      <c r="F182" s="104"/>
      <c r="G182" s="104"/>
      <c r="H182" s="104"/>
      <c r="I182" s="104"/>
    </row>
    <row r="183" customFormat="false" ht="15.5" hidden="false" customHeight="true" outlineLevel="0" collapsed="false">
      <c r="A183" s="78" t="s">
        <v>235</v>
      </c>
      <c r="B183" s="98" t="s">
        <v>236</v>
      </c>
      <c r="C183" s="201"/>
      <c r="D183" s="104"/>
      <c r="E183" s="104"/>
      <c r="F183" s="104"/>
      <c r="G183" s="104"/>
      <c r="H183" s="100"/>
      <c r="I183" s="100"/>
    </row>
    <row r="184" customFormat="false" ht="15.5" hidden="false" customHeight="true" outlineLevel="0" collapsed="false">
      <c r="A184" s="78"/>
      <c r="B184" s="104"/>
      <c r="C184" s="104"/>
      <c r="D184" s="104"/>
      <c r="E184" s="104"/>
      <c r="F184" s="104"/>
      <c r="G184" s="104"/>
      <c r="H184" s="104"/>
      <c r="I184" s="104"/>
    </row>
    <row r="185" customFormat="false" ht="15.5" hidden="false" customHeight="true" outlineLevel="0" collapsed="false">
      <c r="A185" s="78" t="s">
        <v>237</v>
      </c>
      <c r="B185" s="98" t="s">
        <v>238</v>
      </c>
      <c r="C185" s="104"/>
      <c r="D185" s="104"/>
      <c r="E185" s="104"/>
      <c r="F185" s="104"/>
      <c r="G185" s="104"/>
      <c r="H185" s="100"/>
      <c r="I185" s="100"/>
    </row>
    <row r="186" customFormat="false" ht="15.5" hidden="false" customHeight="true" outlineLevel="0" collapsed="false">
      <c r="A186" s="78"/>
      <c r="B186" s="98"/>
      <c r="C186" s="104"/>
      <c r="D186" s="104"/>
      <c r="E186" s="104"/>
      <c r="F186" s="104"/>
      <c r="G186" s="104"/>
      <c r="H186" s="83"/>
      <c r="I186" s="83"/>
    </row>
    <row r="187" customFormat="false" ht="15.5" hidden="false" customHeight="true" outlineLevel="0" collapsed="false">
      <c r="A187" s="200" t="s">
        <v>239</v>
      </c>
      <c r="B187" s="200"/>
      <c r="C187" s="200"/>
      <c r="D187" s="104"/>
      <c r="E187" s="104"/>
      <c r="F187" s="104"/>
      <c r="G187" s="104"/>
      <c r="H187" s="104"/>
      <c r="I187" s="104"/>
    </row>
    <row r="188" customFormat="false" ht="15.5" hidden="false" customHeight="true" outlineLevel="0" collapsed="false">
      <c r="A188" s="78" t="s">
        <v>240</v>
      </c>
      <c r="B188" s="202" t="s">
        <v>241</v>
      </c>
      <c r="C188" s="202"/>
      <c r="D188" s="202"/>
      <c r="E188" s="202"/>
      <c r="F188" s="202"/>
      <c r="G188" s="203" t="s">
        <v>242</v>
      </c>
      <c r="H188" s="203" t="s">
        <v>243</v>
      </c>
      <c r="I188" s="104"/>
    </row>
    <row r="189" customFormat="false" ht="15.5" hidden="false" customHeight="true" outlineLevel="0" collapsed="false">
      <c r="A189" s="78"/>
      <c r="B189" s="202"/>
      <c r="C189" s="202"/>
      <c r="D189" s="202"/>
      <c r="E189" s="202"/>
      <c r="F189" s="202"/>
      <c r="G189" s="204"/>
      <c r="H189" s="204"/>
      <c r="I189" s="104"/>
    </row>
    <row r="190" customFormat="false" ht="15.5" hidden="false" customHeight="true" outlineLevel="0" collapsed="false">
      <c r="A190" s="78" t="s">
        <v>240</v>
      </c>
      <c r="B190" s="205" t="s">
        <v>244</v>
      </c>
      <c r="C190" s="205"/>
      <c r="D190" s="205"/>
      <c r="E190" s="205"/>
      <c r="F190" s="205"/>
      <c r="G190" s="203" t="s">
        <v>242</v>
      </c>
      <c r="H190" s="203" t="s">
        <v>243</v>
      </c>
      <c r="I190" s="104"/>
    </row>
    <row r="191" customFormat="false" ht="15.5" hidden="false" customHeight="true" outlineLevel="0" collapsed="false">
      <c r="B191" s="205"/>
      <c r="C191" s="205"/>
      <c r="D191" s="205"/>
      <c r="E191" s="205"/>
      <c r="F191" s="205"/>
      <c r="G191" s="204"/>
      <c r="H191" s="204"/>
      <c r="I191" s="104"/>
    </row>
    <row r="192" customFormat="false" ht="15.5" hidden="false" customHeight="true" outlineLevel="0" collapsed="false">
      <c r="A192" s="78"/>
      <c r="B192" s="206" t="s">
        <v>245</v>
      </c>
      <c r="C192" s="206"/>
      <c r="D192" s="206"/>
      <c r="E192" s="206"/>
      <c r="F192" s="206"/>
      <c r="G192" s="206"/>
      <c r="H192" s="206"/>
      <c r="I192" s="104"/>
    </row>
    <row r="193" customFormat="false" ht="15.5" hidden="false" customHeight="true" outlineLevel="0" collapsed="false">
      <c r="A193" s="78"/>
      <c r="B193" s="202"/>
      <c r="C193" s="202"/>
      <c r="D193" s="202"/>
      <c r="E193" s="202"/>
      <c r="F193" s="202"/>
      <c r="G193" s="104"/>
      <c r="H193" s="104"/>
      <c r="I193" s="104"/>
    </row>
    <row r="194" customFormat="false" ht="15.5" hidden="false" customHeight="true" outlineLevel="0" collapsed="false">
      <c r="A194" s="78" t="s">
        <v>246</v>
      </c>
      <c r="B194" s="205" t="s">
        <v>247</v>
      </c>
      <c r="C194" s="205"/>
      <c r="D194" s="205"/>
      <c r="E194" s="205"/>
      <c r="F194" s="205"/>
      <c r="G194" s="203" t="s">
        <v>242</v>
      </c>
      <c r="H194" s="203" t="s">
        <v>243</v>
      </c>
      <c r="I194" s="104"/>
    </row>
    <row r="195" customFormat="false" ht="15.5" hidden="false" customHeight="true" outlineLevel="0" collapsed="false">
      <c r="A195" s="78"/>
      <c r="B195" s="205"/>
      <c r="C195" s="205"/>
      <c r="D195" s="205"/>
      <c r="E195" s="205"/>
      <c r="F195" s="205"/>
      <c r="G195" s="204"/>
      <c r="H195" s="204"/>
      <c r="I195" s="104"/>
    </row>
    <row r="196" customFormat="false" ht="15.5" hidden="false" customHeight="true" outlineLevel="0" collapsed="false">
      <c r="A196" s="78"/>
      <c r="B196" s="104"/>
      <c r="C196" s="104"/>
      <c r="D196" s="104"/>
      <c r="E196" s="104"/>
      <c r="F196" s="104"/>
      <c r="G196" s="104"/>
      <c r="H196" s="104"/>
      <c r="I196" s="104"/>
    </row>
    <row r="197" customFormat="false" ht="15.5" hidden="false" customHeight="true" outlineLevel="0" collapsed="false">
      <c r="A197" s="200" t="s">
        <v>248</v>
      </c>
      <c r="B197" s="200"/>
      <c r="C197" s="200"/>
      <c r="D197" s="104"/>
      <c r="E197" s="104"/>
      <c r="F197" s="104"/>
      <c r="G197" s="104"/>
      <c r="H197" s="104"/>
      <c r="I197" s="104"/>
    </row>
    <row r="198" customFormat="false" ht="15.5" hidden="false" customHeight="true" outlineLevel="0" collapsed="false">
      <c r="A198" s="78" t="s">
        <v>249</v>
      </c>
      <c r="B198" s="202" t="s">
        <v>250</v>
      </c>
      <c r="C198" s="202"/>
      <c r="D198" s="202"/>
      <c r="E198" s="202"/>
      <c r="F198" s="202"/>
      <c r="G198" s="202"/>
      <c r="H198" s="100"/>
      <c r="I198" s="104"/>
    </row>
    <row r="199" customFormat="false" ht="15.5" hidden="false" customHeight="true" outlineLevel="0" collapsed="false">
      <c r="A199" s="78"/>
      <c r="B199" s="104"/>
      <c r="C199" s="104"/>
      <c r="D199" s="104"/>
      <c r="E199" s="104"/>
      <c r="F199" s="104"/>
      <c r="G199" s="104"/>
      <c r="H199" s="104"/>
      <c r="I199" s="104"/>
    </row>
    <row r="200" customFormat="false" ht="15.5" hidden="false" customHeight="true" outlineLevel="0" collapsed="false">
      <c r="A200" s="78"/>
      <c r="G200" s="203" t="s">
        <v>242</v>
      </c>
      <c r="H200" s="203" t="s">
        <v>243</v>
      </c>
      <c r="I200" s="104"/>
    </row>
    <row r="201" customFormat="false" ht="15.5" hidden="false" customHeight="true" outlineLevel="0" collapsed="false">
      <c r="A201" s="78"/>
      <c r="B201" s="202" t="s">
        <v>251</v>
      </c>
      <c r="C201" s="202"/>
      <c r="D201" s="202"/>
      <c r="E201" s="202"/>
      <c r="F201" s="202"/>
      <c r="G201" s="171"/>
      <c r="H201" s="171"/>
    </row>
    <row r="202" customFormat="false" ht="15.5" hidden="false" customHeight="true" outlineLevel="0" collapsed="false">
      <c r="A202" s="78"/>
      <c r="B202" s="202"/>
      <c r="C202" s="202"/>
      <c r="D202" s="202"/>
      <c r="E202" s="202"/>
      <c r="F202" s="202"/>
      <c r="G202" s="171"/>
      <c r="H202" s="171"/>
    </row>
    <row r="203" customFormat="false" ht="15.5" hidden="false" customHeight="true" outlineLevel="0" collapsed="false">
      <c r="A203" s="78"/>
      <c r="B203" s="202" t="s">
        <v>252</v>
      </c>
      <c r="C203" s="202"/>
      <c r="D203" s="202"/>
      <c r="E203" s="202"/>
      <c r="F203" s="202"/>
      <c r="G203" s="171"/>
      <c r="H203" s="171"/>
      <c r="I203" s="104"/>
    </row>
    <row r="204" customFormat="false" ht="15.5" hidden="false" customHeight="true" outlineLevel="0" collapsed="false">
      <c r="A204" s="78"/>
      <c r="B204" s="202"/>
      <c r="C204" s="202"/>
      <c r="D204" s="202"/>
      <c r="E204" s="202"/>
      <c r="F204" s="202"/>
      <c r="G204" s="171"/>
      <c r="H204" s="171"/>
    </row>
    <row r="205" customFormat="false" ht="15" hidden="false" customHeight="true" outlineLevel="0" collapsed="false">
      <c r="A205" s="78"/>
      <c r="B205" s="202" t="s">
        <v>253</v>
      </c>
      <c r="C205" s="202"/>
      <c r="D205" s="202"/>
      <c r="E205" s="202"/>
      <c r="F205" s="202"/>
      <c r="G205" s="171"/>
      <c r="H205" s="171"/>
    </row>
    <row r="206" customFormat="false" ht="15.5" hidden="false" customHeight="true" outlineLevel="0" collapsed="false">
      <c r="A206" s="78"/>
      <c r="B206" s="202"/>
      <c r="C206" s="202"/>
      <c r="D206" s="202"/>
      <c r="E206" s="202"/>
      <c r="F206" s="202"/>
      <c r="G206" s="171"/>
      <c r="H206" s="171"/>
      <c r="I206" s="104"/>
    </row>
    <row r="207" customFormat="false" ht="15.5" hidden="false" customHeight="true" outlineLevel="0" collapsed="false">
      <c r="A207" s="78"/>
      <c r="B207" s="207" t="s">
        <v>254</v>
      </c>
      <c r="C207" s="207"/>
      <c r="D207" s="207"/>
      <c r="E207" s="207"/>
      <c r="F207" s="207"/>
      <c r="G207" s="204"/>
      <c r="H207" s="204"/>
      <c r="I207" s="104"/>
    </row>
    <row r="208" customFormat="false" ht="11.25" hidden="false" customHeight="true" outlineLevel="0" collapsed="false">
      <c r="A208" s="78"/>
      <c r="B208" s="104"/>
      <c r="C208" s="104"/>
      <c r="D208" s="104"/>
      <c r="E208" s="104"/>
      <c r="F208" s="104"/>
      <c r="G208" s="104"/>
      <c r="H208" s="104"/>
      <c r="I208" s="104"/>
    </row>
    <row r="209" customFormat="false" ht="15.5" hidden="false" customHeight="true" outlineLevel="0" collapsed="false">
      <c r="A209" s="78"/>
      <c r="B209" s="207" t="s">
        <v>255</v>
      </c>
      <c r="C209" s="207"/>
      <c r="D209" s="207"/>
      <c r="E209" s="207"/>
      <c r="F209" s="207"/>
      <c r="G209" s="203" t="s">
        <v>242</v>
      </c>
      <c r="H209" s="203" t="s">
        <v>243</v>
      </c>
      <c r="I209" s="104"/>
    </row>
    <row r="210" customFormat="false" ht="15.5" hidden="false" customHeight="true" outlineLevel="0" collapsed="false">
      <c r="A210" s="78" t="s">
        <v>256</v>
      </c>
      <c r="B210" s="207"/>
      <c r="C210" s="207"/>
      <c r="D210" s="207"/>
      <c r="E210" s="207"/>
      <c r="F210" s="207"/>
      <c r="G210" s="204"/>
      <c r="H210" s="204"/>
      <c r="I210" s="104"/>
    </row>
    <row r="211" customFormat="false" ht="15.5" hidden="false" customHeight="true" outlineLevel="0" collapsed="false">
      <c r="A211" s="78"/>
      <c r="B211" s="104"/>
      <c r="C211" s="104"/>
      <c r="D211" s="104"/>
      <c r="E211" s="104"/>
      <c r="F211" s="104"/>
      <c r="G211" s="104"/>
      <c r="H211" s="104"/>
      <c r="I211" s="104"/>
    </row>
    <row r="212" customFormat="false" ht="15.5" hidden="false" customHeight="true" outlineLevel="0" collapsed="false">
      <c r="A212" s="78"/>
      <c r="B212" s="207" t="s">
        <v>257</v>
      </c>
      <c r="C212" s="207"/>
      <c r="D212" s="207"/>
      <c r="E212" s="207"/>
      <c r="F212" s="207"/>
      <c r="G212" s="104"/>
      <c r="H212" s="104"/>
      <c r="I212" s="104"/>
    </row>
    <row r="213" customFormat="false" ht="15.5" hidden="false" customHeight="true" outlineLevel="0" collapsed="false">
      <c r="A213" s="78"/>
      <c r="B213" s="78"/>
      <c r="C213" s="78"/>
      <c r="D213" s="78"/>
      <c r="E213" s="194" t="s">
        <v>258</v>
      </c>
      <c r="F213" s="194"/>
      <c r="G213" s="204"/>
      <c r="H213" s="104"/>
      <c r="I213" s="104"/>
    </row>
    <row r="214" customFormat="false" ht="15.5" hidden="false" customHeight="true" outlineLevel="0" collapsed="false">
      <c r="A214" s="78"/>
      <c r="B214" s="104"/>
      <c r="C214" s="104"/>
      <c r="D214" s="104"/>
      <c r="E214" s="194" t="s">
        <v>259</v>
      </c>
      <c r="F214" s="194"/>
      <c r="G214" s="204"/>
      <c r="H214" s="104"/>
      <c r="I214" s="104"/>
    </row>
    <row r="215" customFormat="false" ht="15.5" hidden="false" customHeight="true" outlineLevel="0" collapsed="false">
      <c r="A215" s="78"/>
      <c r="B215" s="104"/>
      <c r="C215" s="104"/>
      <c r="D215" s="104"/>
      <c r="E215" s="78"/>
      <c r="F215" s="104"/>
      <c r="G215" s="104"/>
      <c r="H215" s="104"/>
      <c r="I215" s="104"/>
    </row>
    <row r="216" customFormat="false" ht="15.5" hidden="false" customHeight="true" outlineLevel="0" collapsed="false">
      <c r="A216" s="78" t="s">
        <v>260</v>
      </c>
      <c r="B216" s="202" t="s">
        <v>261</v>
      </c>
      <c r="C216" s="202"/>
      <c r="D216" s="202"/>
      <c r="E216" s="202"/>
      <c r="F216" s="202"/>
      <c r="G216" s="100"/>
      <c r="H216" s="100"/>
      <c r="I216" s="104"/>
    </row>
    <row r="217" customFormat="false" ht="15.5" hidden="false" customHeight="true" outlineLevel="0" collapsed="false">
      <c r="A217" s="78"/>
      <c r="B217" s="202"/>
      <c r="C217" s="202"/>
      <c r="D217" s="202"/>
      <c r="E217" s="202"/>
      <c r="F217" s="202"/>
      <c r="G217" s="83"/>
      <c r="H217" s="83"/>
      <c r="I217" s="104"/>
    </row>
    <row r="218" customFormat="false" ht="15.5" hidden="false" customHeight="true" outlineLevel="0" collapsed="false">
      <c r="A218" s="200" t="s">
        <v>262</v>
      </c>
      <c r="B218" s="200"/>
      <c r="C218" s="200"/>
      <c r="D218" s="200"/>
      <c r="E218" s="83"/>
      <c r="F218" s="83"/>
      <c r="G218" s="83"/>
      <c r="H218" s="83"/>
      <c r="I218" s="104"/>
    </row>
    <row r="219" customFormat="false" ht="15.5" hidden="false" customHeight="true" outlineLevel="0" collapsed="false">
      <c r="A219" s="91" t="s">
        <v>263</v>
      </c>
      <c r="B219" s="83"/>
      <c r="C219" s="83"/>
      <c r="D219" s="104"/>
      <c r="E219" s="83"/>
      <c r="F219" s="104"/>
      <c r="G219" s="203" t="s">
        <v>242</v>
      </c>
      <c r="H219" s="203" t="s">
        <v>243</v>
      </c>
      <c r="I219" s="104"/>
    </row>
    <row r="220" customFormat="false" ht="15.5" hidden="false" customHeight="true" outlineLevel="0" collapsed="false">
      <c r="A220" s="208" t="s">
        <v>264</v>
      </c>
      <c r="B220" s="83"/>
      <c r="C220" s="209"/>
      <c r="D220" s="83"/>
      <c r="E220" s="83"/>
      <c r="F220" s="104"/>
      <c r="G220" s="204"/>
      <c r="H220" s="204"/>
      <c r="I220" s="104"/>
    </row>
    <row r="221" customFormat="false" ht="15.5" hidden="false" customHeight="true" outlineLevel="0" collapsed="false">
      <c r="A221" s="208" t="s">
        <v>265</v>
      </c>
      <c r="B221" s="83"/>
      <c r="C221" s="209"/>
      <c r="D221" s="83"/>
      <c r="E221" s="83"/>
      <c r="F221" s="104"/>
      <c r="G221" s="204"/>
      <c r="H221" s="204"/>
      <c r="I221" s="104"/>
    </row>
    <row r="222" customFormat="false" ht="15.5" hidden="false" customHeight="true" outlineLevel="0" collapsed="false">
      <c r="A222" s="208" t="s">
        <v>266</v>
      </c>
      <c r="B222" s="83"/>
      <c r="C222" s="209"/>
      <c r="D222" s="83"/>
      <c r="E222" s="83"/>
      <c r="F222" s="104"/>
      <c r="G222" s="204"/>
      <c r="H222" s="204"/>
      <c r="I222" s="104"/>
    </row>
    <row r="223" customFormat="false" ht="15.5" hidden="false" customHeight="true" outlineLevel="0" collapsed="false">
      <c r="A223" s="208" t="s">
        <v>267</v>
      </c>
      <c r="B223" s="83"/>
      <c r="C223" s="209"/>
      <c r="D223" s="83"/>
      <c r="E223" s="83"/>
      <c r="F223" s="104"/>
      <c r="G223" s="204"/>
      <c r="H223" s="204"/>
      <c r="I223" s="104"/>
    </row>
    <row r="224" customFormat="false" ht="15" hidden="false" customHeight="true" outlineLevel="0" collapsed="false">
      <c r="A224" s="78"/>
      <c r="B224" s="104"/>
      <c r="C224" s="104"/>
      <c r="D224" s="104"/>
      <c r="E224" s="104"/>
      <c r="F224" s="104"/>
      <c r="G224" s="104"/>
      <c r="H224" s="104"/>
      <c r="I224" s="104"/>
    </row>
    <row r="225" customFormat="false" ht="15.5" hidden="false" customHeight="true" outlineLevel="0" collapsed="false">
      <c r="A225" s="91" t="s">
        <v>268</v>
      </c>
      <c r="B225" s="83"/>
      <c r="C225" s="83"/>
      <c r="D225" s="83"/>
      <c r="E225" s="104"/>
      <c r="F225" s="104"/>
      <c r="G225" s="203" t="s">
        <v>242</v>
      </c>
      <c r="H225" s="203" t="s">
        <v>243</v>
      </c>
      <c r="I225" s="104"/>
    </row>
    <row r="226" customFormat="false" ht="15.5" hidden="false" customHeight="true" outlineLevel="0" collapsed="false">
      <c r="A226" s="210" t="s">
        <v>269</v>
      </c>
      <c r="B226" s="83"/>
      <c r="C226" s="83"/>
      <c r="D226" s="83"/>
      <c r="E226" s="83"/>
      <c r="F226" s="83"/>
      <c r="G226" s="204"/>
      <c r="H226" s="204"/>
      <c r="I226" s="104"/>
    </row>
    <row r="227" customFormat="false" ht="15.5" hidden="false" customHeight="true" outlineLevel="0" collapsed="false">
      <c r="A227" s="210" t="s">
        <v>270</v>
      </c>
      <c r="B227" s="83"/>
      <c r="C227" s="104"/>
      <c r="D227" s="104"/>
      <c r="E227" s="104"/>
      <c r="F227" s="104"/>
      <c r="G227" s="204"/>
      <c r="H227" s="204"/>
      <c r="I227" s="104"/>
    </row>
    <row r="228" customFormat="false" ht="15.5" hidden="false" customHeight="true" outlineLevel="0" collapsed="false">
      <c r="A228" s="208" t="s">
        <v>271</v>
      </c>
      <c r="B228" s="83"/>
      <c r="C228" s="104"/>
      <c r="D228" s="104"/>
      <c r="E228" s="104"/>
      <c r="F228" s="104"/>
      <c r="G228" s="204"/>
      <c r="H228" s="204"/>
      <c r="I228" s="104"/>
    </row>
    <row r="229" customFormat="false" ht="15.5" hidden="false" customHeight="true" outlineLevel="0" collapsed="false">
      <c r="A229" s="208" t="s">
        <v>272</v>
      </c>
      <c r="B229" s="83"/>
      <c r="C229" s="104"/>
      <c r="D229" s="104"/>
      <c r="E229" s="104"/>
      <c r="F229" s="104"/>
      <c r="G229" s="204"/>
      <c r="H229" s="204"/>
      <c r="I229" s="104"/>
    </row>
    <row r="230" customFormat="false" ht="15.5" hidden="false" customHeight="true" outlineLevel="0" collapsed="false">
      <c r="A230" s="208" t="s">
        <v>273</v>
      </c>
      <c r="B230" s="83"/>
      <c r="C230" s="104"/>
      <c r="D230" s="104"/>
      <c r="E230" s="104"/>
      <c r="F230" s="104"/>
      <c r="G230" s="204"/>
      <c r="H230" s="204"/>
      <c r="I230" s="104"/>
    </row>
    <row r="231" customFormat="false" ht="15.5" hidden="false" customHeight="true" outlineLevel="0" collapsed="false">
      <c r="A231" s="208" t="s">
        <v>274</v>
      </c>
      <c r="G231" s="204"/>
      <c r="H231" s="204"/>
      <c r="I231" s="104"/>
    </row>
    <row r="232" customFormat="false" ht="13.5" hidden="false" customHeight="true" outlineLevel="0" collapsed="false">
      <c r="A232" s="208" t="s">
        <v>275</v>
      </c>
      <c r="B232" s="104"/>
      <c r="C232" s="104"/>
      <c r="D232" s="104"/>
      <c r="E232" s="104"/>
      <c r="F232" s="104"/>
      <c r="G232" s="204"/>
      <c r="H232" s="204"/>
      <c r="I232" s="104"/>
    </row>
    <row r="233" customFormat="false" ht="15.5" hidden="false" customHeight="true" outlineLevel="0" collapsed="false">
      <c r="A233" s="208" t="s">
        <v>276</v>
      </c>
      <c r="B233" s="104"/>
      <c r="C233" s="104"/>
      <c r="F233" s="104"/>
      <c r="G233" s="204"/>
      <c r="H233" s="204"/>
    </row>
    <row r="234" customFormat="false" ht="15.5" hidden="false" customHeight="true" outlineLevel="0" collapsed="false">
      <c r="A234" s="208" t="s">
        <v>277</v>
      </c>
      <c r="B234" s="83"/>
      <c r="C234" s="104"/>
      <c r="D234" s="83"/>
      <c r="E234" s="97" t="s">
        <v>278</v>
      </c>
      <c r="F234" s="211"/>
      <c r="G234" s="211"/>
      <c r="H234" s="211"/>
    </row>
    <row r="235" customFormat="false" ht="15.5" hidden="false" customHeight="true" outlineLevel="0" collapsed="false">
      <c r="A235" s="208"/>
      <c r="B235" s="104"/>
      <c r="C235" s="104"/>
    </row>
    <row r="236" customFormat="false" ht="15.5" hidden="false" customHeight="true" outlineLevel="0" collapsed="false">
      <c r="A236" s="91" t="s">
        <v>279</v>
      </c>
      <c r="B236" s="104"/>
      <c r="C236" s="104"/>
      <c r="D236" s="203" t="s">
        <v>242</v>
      </c>
      <c r="E236" s="203" t="s">
        <v>243</v>
      </c>
      <c r="F236" s="208"/>
      <c r="H236" s="203" t="s">
        <v>242</v>
      </c>
      <c r="I236" s="203" t="s">
        <v>243</v>
      </c>
    </row>
    <row r="237" customFormat="false" ht="15.5" hidden="false" customHeight="true" outlineLevel="0" collapsed="false">
      <c r="A237" s="208" t="s">
        <v>280</v>
      </c>
      <c r="B237" s="104"/>
      <c r="C237" s="104"/>
      <c r="D237" s="204"/>
      <c r="E237" s="204"/>
      <c r="F237" s="208" t="s">
        <v>281</v>
      </c>
      <c r="H237" s="204"/>
      <c r="I237" s="204"/>
    </row>
    <row r="238" customFormat="false" ht="15.5" hidden="false" customHeight="true" outlineLevel="0" collapsed="false">
      <c r="A238" s="208" t="s">
        <v>282</v>
      </c>
      <c r="B238" s="104"/>
      <c r="C238" s="104"/>
      <c r="D238" s="204"/>
      <c r="E238" s="204"/>
      <c r="F238" s="208" t="s">
        <v>283</v>
      </c>
      <c r="H238" s="204"/>
      <c r="I238" s="204"/>
    </row>
    <row r="239" customFormat="false" ht="15.5" hidden="false" customHeight="true" outlineLevel="0" collapsed="false">
      <c r="A239" s="105" t="s">
        <v>284</v>
      </c>
      <c r="B239" s="105"/>
      <c r="C239" s="105"/>
      <c r="D239" s="105"/>
      <c r="E239" s="105"/>
      <c r="F239" s="105"/>
      <c r="G239" s="105"/>
      <c r="H239" s="105"/>
      <c r="I239" s="105"/>
    </row>
    <row r="240" customFormat="false" ht="15.5" hidden="false" customHeight="true" outlineLevel="0" collapsed="false">
      <c r="A240" s="78"/>
      <c r="B240" s="104"/>
      <c r="C240" s="104"/>
      <c r="D240" s="104"/>
      <c r="E240" s="104"/>
      <c r="F240" s="104"/>
      <c r="G240" s="104"/>
      <c r="H240" s="104"/>
      <c r="I240" s="104"/>
    </row>
    <row r="241" customFormat="false" ht="15.5" hidden="false" customHeight="true" outlineLevel="0" collapsed="false">
      <c r="A241" s="200" t="s">
        <v>285</v>
      </c>
      <c r="B241" s="200"/>
      <c r="C241" s="200"/>
      <c r="D241" s="104"/>
      <c r="E241" s="104"/>
      <c r="F241" s="104"/>
      <c r="G241" s="104"/>
      <c r="H241" s="104"/>
      <c r="I241" s="104"/>
    </row>
    <row r="242" customFormat="false" ht="15.5" hidden="false" customHeight="true" outlineLevel="0" collapsed="false">
      <c r="A242" s="78"/>
      <c r="B242" s="104"/>
      <c r="C242" s="104"/>
      <c r="D242" s="104"/>
      <c r="E242" s="104"/>
      <c r="F242" s="104"/>
      <c r="G242" s="104"/>
      <c r="H242" s="104"/>
      <c r="I242" s="104"/>
    </row>
    <row r="243" customFormat="false" ht="15.5" hidden="false" customHeight="true" outlineLevel="0" collapsed="false">
      <c r="A243" s="78"/>
      <c r="B243" s="104"/>
      <c r="C243" s="212" t="s">
        <v>286</v>
      </c>
      <c r="D243" s="212" t="s">
        <v>287</v>
      </c>
      <c r="E243" s="212" t="s">
        <v>288</v>
      </c>
      <c r="F243" s="212" t="s">
        <v>289</v>
      </c>
      <c r="G243" s="212" t="s">
        <v>290</v>
      </c>
      <c r="H243" s="212"/>
      <c r="I243" s="212"/>
    </row>
    <row r="244" customFormat="false" ht="36" hidden="false" customHeight="true" outlineLevel="0" collapsed="false">
      <c r="A244" s="78"/>
      <c r="B244" s="104"/>
      <c r="C244" s="213" t="s">
        <v>291</v>
      </c>
      <c r="D244" s="213" t="s">
        <v>292</v>
      </c>
      <c r="E244" s="213" t="s">
        <v>293</v>
      </c>
      <c r="F244" s="213" t="s">
        <v>294</v>
      </c>
      <c r="G244" s="213" t="s">
        <v>295</v>
      </c>
      <c r="H244" s="213" t="s">
        <v>296</v>
      </c>
      <c r="I244" s="213"/>
    </row>
    <row r="245" customFormat="false" ht="15.5" hidden="false" customHeight="true" outlineLevel="0" collapsed="false">
      <c r="A245" s="130" t="s">
        <v>297</v>
      </c>
      <c r="B245" s="130"/>
      <c r="C245" s="214"/>
      <c r="D245" s="214"/>
      <c r="E245" s="214"/>
      <c r="F245" s="214"/>
      <c r="G245" s="215"/>
      <c r="H245" s="134"/>
      <c r="I245" s="128"/>
    </row>
    <row r="246" customFormat="false" ht="15.5" hidden="false" customHeight="true" outlineLevel="0" collapsed="false">
      <c r="A246" s="198" t="s">
        <v>298</v>
      </c>
      <c r="B246" s="128"/>
      <c r="C246" s="216"/>
      <c r="D246" s="216"/>
      <c r="E246" s="216"/>
      <c r="F246" s="217"/>
      <c r="G246" s="218"/>
      <c r="H246" s="219"/>
      <c r="I246" s="219"/>
    </row>
    <row r="247" customFormat="false" ht="15.5" hidden="false" customHeight="true" outlineLevel="0" collapsed="false">
      <c r="A247" s="198" t="s">
        <v>191</v>
      </c>
      <c r="B247" s="128"/>
      <c r="C247" s="216"/>
      <c r="D247" s="216"/>
      <c r="E247" s="216"/>
      <c r="F247" s="217"/>
      <c r="G247" s="218"/>
      <c r="H247" s="219"/>
      <c r="I247" s="219"/>
    </row>
    <row r="248" customFormat="false" ht="15.5" hidden="false" customHeight="true" outlineLevel="0" collapsed="false">
      <c r="A248" s="198" t="s">
        <v>195</v>
      </c>
      <c r="B248" s="128"/>
      <c r="C248" s="216"/>
      <c r="D248" s="216"/>
      <c r="E248" s="216"/>
      <c r="F248" s="217"/>
      <c r="G248" s="218"/>
      <c r="H248" s="219"/>
      <c r="I248" s="219"/>
    </row>
    <row r="249" customFormat="false" ht="15.5" hidden="false" customHeight="true" outlineLevel="0" collapsed="false">
      <c r="A249" s="198" t="s">
        <v>299</v>
      </c>
      <c r="B249" s="128"/>
      <c r="C249" s="216"/>
      <c r="D249" s="216"/>
      <c r="E249" s="216"/>
      <c r="F249" s="217"/>
      <c r="G249" s="218"/>
      <c r="H249" s="219"/>
      <c r="I249" s="219"/>
    </row>
    <row r="250" customFormat="false" ht="15.5" hidden="false" customHeight="true" outlineLevel="0" collapsed="false">
      <c r="A250" s="198" t="s">
        <v>193</v>
      </c>
      <c r="B250" s="128"/>
      <c r="C250" s="216"/>
      <c r="D250" s="216"/>
      <c r="E250" s="216"/>
      <c r="F250" s="217"/>
      <c r="G250" s="218"/>
      <c r="H250" s="219"/>
      <c r="I250" s="219"/>
    </row>
    <row r="251" customFormat="false" ht="15.5" hidden="false" customHeight="true" outlineLevel="0" collapsed="false">
      <c r="A251" s="220" t="s">
        <v>300</v>
      </c>
      <c r="B251" s="128"/>
      <c r="C251" s="216"/>
      <c r="D251" s="216"/>
      <c r="E251" s="216"/>
      <c r="F251" s="216"/>
      <c r="G251" s="218"/>
      <c r="H251" s="219"/>
      <c r="I251" s="219"/>
    </row>
    <row r="252" customFormat="false" ht="15.5" hidden="false" customHeight="true" outlineLevel="0" collapsed="false">
      <c r="A252" s="220" t="s">
        <v>301</v>
      </c>
      <c r="B252" s="128"/>
      <c r="C252" s="216"/>
      <c r="D252" s="216"/>
      <c r="E252" s="216"/>
      <c r="F252" s="216"/>
      <c r="G252" s="218"/>
      <c r="H252" s="219"/>
      <c r="I252" s="219"/>
    </row>
    <row r="253" customFormat="false" ht="15.5" hidden="false" customHeight="true" outlineLevel="0" collapsed="false">
      <c r="A253" s="198" t="s">
        <v>302</v>
      </c>
      <c r="B253" s="128"/>
      <c r="C253" s="216"/>
      <c r="D253" s="216"/>
      <c r="E253" s="216"/>
      <c r="F253" s="216"/>
      <c r="G253" s="218"/>
      <c r="H253" s="219"/>
      <c r="I253" s="219"/>
    </row>
    <row r="254" customFormat="false" ht="15.5" hidden="false" customHeight="true" outlineLevel="0" collapsed="false">
      <c r="A254" s="198" t="s">
        <v>303</v>
      </c>
      <c r="B254" s="128"/>
      <c r="C254" s="216"/>
      <c r="D254" s="216"/>
      <c r="E254" s="216"/>
      <c r="F254" s="216"/>
      <c r="G254" s="218"/>
      <c r="H254" s="219"/>
      <c r="I254" s="219"/>
    </row>
    <row r="255" customFormat="false" ht="15.5" hidden="false" customHeight="true" outlineLevel="0" collapsed="false">
      <c r="A255" s="198"/>
      <c r="B255" s="128"/>
      <c r="C255" s="216"/>
      <c r="D255" s="216"/>
      <c r="E255" s="216"/>
      <c r="F255" s="216"/>
      <c r="G255" s="218"/>
      <c r="H255" s="219"/>
      <c r="I255" s="219"/>
    </row>
    <row r="256" customFormat="false" ht="15.5" hidden="false" customHeight="true" outlineLevel="0" collapsed="false">
      <c r="A256" s="220" t="s">
        <v>304</v>
      </c>
      <c r="B256" s="128"/>
      <c r="C256" s="217"/>
      <c r="D256" s="216"/>
      <c r="E256" s="216"/>
      <c r="F256" s="217"/>
      <c r="G256" s="218"/>
      <c r="H256" s="219"/>
      <c r="I256" s="219"/>
    </row>
    <row r="257" customFormat="false" ht="15.5" hidden="false" customHeight="true" outlineLevel="0" collapsed="false">
      <c r="A257" s="220" t="s">
        <v>305</v>
      </c>
      <c r="B257" s="128"/>
      <c r="C257" s="217"/>
      <c r="D257" s="216"/>
      <c r="E257" s="216"/>
      <c r="F257" s="217"/>
      <c r="G257" s="218"/>
      <c r="H257" s="219"/>
      <c r="I257" s="219"/>
    </row>
    <row r="258" customFormat="false" ht="29.5" hidden="false" customHeight="true" outlineLevel="0" collapsed="false">
      <c r="A258" s="221" t="s">
        <v>306</v>
      </c>
      <c r="B258" s="221"/>
      <c r="C258" s="214"/>
      <c r="D258" s="214"/>
      <c r="E258" s="214"/>
      <c r="F258" s="214"/>
      <c r="G258" s="215"/>
      <c r="H258" s="222"/>
      <c r="I258" s="222"/>
    </row>
    <row r="259" customFormat="false" ht="15.5" hidden="false" customHeight="true" outlineLevel="0" collapsed="false">
      <c r="A259" s="198" t="s">
        <v>307</v>
      </c>
      <c r="B259" s="128"/>
      <c r="C259" s="216"/>
      <c r="D259" s="216"/>
      <c r="E259" s="216"/>
      <c r="F259" s="216"/>
      <c r="G259" s="218"/>
      <c r="H259" s="219"/>
      <c r="I259" s="219"/>
    </row>
    <row r="260" customFormat="false" ht="15.5" hidden="false" customHeight="true" outlineLevel="0" collapsed="false">
      <c r="A260" s="198" t="s">
        <v>308</v>
      </c>
      <c r="B260" s="128"/>
      <c r="C260" s="216"/>
      <c r="D260" s="216"/>
      <c r="E260" s="216"/>
      <c r="F260" s="216"/>
      <c r="G260" s="218"/>
      <c r="H260" s="219"/>
      <c r="I260" s="219"/>
    </row>
    <row r="261" customFormat="false" ht="15.5" hidden="false" customHeight="true" outlineLevel="0" collapsed="false">
      <c r="A261" s="198" t="s">
        <v>309</v>
      </c>
      <c r="B261" s="128"/>
      <c r="C261" s="216"/>
      <c r="D261" s="216"/>
      <c r="E261" s="216"/>
      <c r="F261" s="216"/>
      <c r="G261" s="218"/>
      <c r="H261" s="219"/>
      <c r="I261" s="219"/>
    </row>
    <row r="262" customFormat="false" ht="15.5" hidden="false" customHeight="true" outlineLevel="0" collapsed="false">
      <c r="A262" s="198" t="s">
        <v>310</v>
      </c>
      <c r="B262" s="128"/>
      <c r="C262" s="216"/>
      <c r="D262" s="216"/>
      <c r="E262" s="216"/>
      <c r="F262" s="216"/>
      <c r="G262" s="218"/>
      <c r="H262" s="219"/>
      <c r="I262" s="219"/>
    </row>
    <row r="263" customFormat="false" ht="15.5" hidden="false" customHeight="true" outlineLevel="0" collapsed="false">
      <c r="A263" s="198" t="s">
        <v>311</v>
      </c>
      <c r="B263" s="128"/>
      <c r="C263" s="216"/>
      <c r="D263" s="216"/>
      <c r="E263" s="216"/>
      <c r="F263" s="216"/>
      <c r="G263" s="218"/>
      <c r="H263" s="219"/>
      <c r="I263" s="219"/>
    </row>
    <row r="264" customFormat="false" ht="15.5" hidden="false" customHeight="true" outlineLevel="0" collapsed="false">
      <c r="A264" s="198" t="s">
        <v>312</v>
      </c>
      <c r="B264" s="128"/>
      <c r="C264" s="216"/>
      <c r="D264" s="216"/>
      <c r="E264" s="216"/>
      <c r="F264" s="216"/>
      <c r="G264" s="218"/>
      <c r="H264" s="219"/>
      <c r="I264" s="219"/>
    </row>
    <row r="265" customFormat="false" ht="15.5" hidden="false" customHeight="true" outlineLevel="0" collapsed="false">
      <c r="A265" s="221" t="s">
        <v>313</v>
      </c>
      <c r="B265" s="221"/>
      <c r="C265" s="214"/>
      <c r="D265" s="214"/>
      <c r="E265" s="214"/>
      <c r="F265" s="214"/>
      <c r="G265" s="215"/>
      <c r="H265" s="222"/>
      <c r="I265" s="222"/>
    </row>
    <row r="266" customFormat="false" ht="15.5" hidden="false" customHeight="true" outlineLevel="0" collapsed="false">
      <c r="A266" s="198" t="s">
        <v>314</v>
      </c>
      <c r="B266" s="128"/>
      <c r="C266" s="216"/>
      <c r="D266" s="216"/>
      <c r="E266" s="216"/>
      <c r="F266" s="217"/>
      <c r="G266" s="218"/>
      <c r="H266" s="219"/>
      <c r="I266" s="219"/>
    </row>
    <row r="267" customFormat="false" ht="15.5" hidden="false" customHeight="true" outlineLevel="0" collapsed="false">
      <c r="A267" s="198" t="s">
        <v>315</v>
      </c>
      <c r="B267" s="128"/>
      <c r="C267" s="216"/>
      <c r="D267" s="216"/>
      <c r="E267" s="216"/>
      <c r="F267" s="217"/>
      <c r="G267" s="218"/>
      <c r="H267" s="219"/>
      <c r="I267" s="219"/>
    </row>
    <row r="268" customFormat="false" ht="15.5" hidden="false" customHeight="true" outlineLevel="0" collapsed="false">
      <c r="A268" s="198" t="s">
        <v>316</v>
      </c>
      <c r="B268" s="128"/>
      <c r="C268" s="216"/>
      <c r="D268" s="216"/>
      <c r="E268" s="216"/>
      <c r="F268" s="217"/>
      <c r="G268" s="218"/>
      <c r="H268" s="219"/>
      <c r="I268" s="219"/>
    </row>
    <row r="269" customFormat="false" ht="15.5" hidden="false" customHeight="true" outlineLevel="0" collapsed="false">
      <c r="A269" s="198" t="s">
        <v>317</v>
      </c>
      <c r="B269" s="128"/>
      <c r="C269" s="216"/>
      <c r="D269" s="216"/>
      <c r="E269" s="216"/>
      <c r="F269" s="216"/>
      <c r="G269" s="218"/>
      <c r="H269" s="219"/>
      <c r="I269" s="219"/>
    </row>
    <row r="270" customFormat="false" ht="15.5" hidden="false" customHeight="true" outlineLevel="0" collapsed="false">
      <c r="A270" s="198" t="s">
        <v>318</v>
      </c>
      <c r="B270" s="128"/>
      <c r="C270" s="216"/>
      <c r="D270" s="216"/>
      <c r="E270" s="216"/>
      <c r="F270" s="216"/>
      <c r="G270" s="218"/>
      <c r="H270" s="219"/>
      <c r="I270" s="219"/>
    </row>
    <row r="271" customFormat="false" ht="15.5" hidden="false" customHeight="true" outlineLevel="0" collapsed="false">
      <c r="A271" s="198"/>
      <c r="B271" s="128"/>
      <c r="C271" s="216"/>
      <c r="D271" s="216"/>
      <c r="E271" s="216"/>
      <c r="F271" s="216"/>
      <c r="G271" s="218"/>
      <c r="H271" s="219"/>
      <c r="I271" s="219"/>
    </row>
    <row r="272" customFormat="false" ht="15.5" hidden="false" customHeight="true" outlineLevel="0" collapsed="false">
      <c r="A272" s="198"/>
      <c r="B272" s="128"/>
      <c r="C272" s="216"/>
      <c r="D272" s="216"/>
      <c r="E272" s="216"/>
      <c r="F272" s="216"/>
      <c r="G272" s="218"/>
      <c r="H272" s="219"/>
      <c r="I272" s="219"/>
    </row>
    <row r="273" customFormat="false" ht="28.25" hidden="false" customHeight="true" outlineLevel="0" collapsed="false">
      <c r="A273" s="221" t="s">
        <v>319</v>
      </c>
      <c r="B273" s="221"/>
      <c r="C273" s="214"/>
      <c r="D273" s="214"/>
      <c r="E273" s="214"/>
      <c r="F273" s="214"/>
      <c r="G273" s="215"/>
      <c r="H273" s="222"/>
      <c r="I273" s="222"/>
    </row>
    <row r="274" customFormat="false" ht="15.5" hidden="false" customHeight="true" outlineLevel="0" collapsed="false">
      <c r="A274" s="198" t="s">
        <v>320</v>
      </c>
      <c r="B274" s="128"/>
      <c r="C274" s="217"/>
      <c r="D274" s="216"/>
      <c r="E274" s="216"/>
      <c r="F274" s="216"/>
      <c r="G274" s="218"/>
      <c r="H274" s="219"/>
      <c r="I274" s="219"/>
    </row>
    <row r="275" customFormat="false" ht="15.5" hidden="false" customHeight="true" outlineLevel="0" collapsed="false">
      <c r="A275" s="198" t="s">
        <v>321</v>
      </c>
      <c r="B275" s="128"/>
      <c r="C275" s="217"/>
      <c r="D275" s="216"/>
      <c r="E275" s="216"/>
      <c r="F275" s="216"/>
      <c r="G275" s="218"/>
      <c r="H275" s="219"/>
      <c r="I275" s="219"/>
    </row>
    <row r="276" customFormat="false" ht="15.5" hidden="false" customHeight="true" outlineLevel="0" collapsed="false">
      <c r="A276" s="198" t="s">
        <v>322</v>
      </c>
      <c r="B276" s="128"/>
      <c r="C276" s="217"/>
      <c r="D276" s="216"/>
      <c r="E276" s="216"/>
      <c r="F276" s="216"/>
      <c r="G276" s="218"/>
      <c r="H276" s="219"/>
      <c r="I276" s="219"/>
    </row>
    <row r="277" customFormat="false" ht="15.5" hidden="false" customHeight="true" outlineLevel="0" collapsed="false">
      <c r="A277" s="198" t="s">
        <v>323</v>
      </c>
      <c r="B277" s="128"/>
      <c r="C277" s="217"/>
      <c r="D277" s="216"/>
      <c r="E277" s="216"/>
      <c r="F277" s="216"/>
      <c r="G277" s="218"/>
      <c r="H277" s="219"/>
      <c r="I277" s="219"/>
    </row>
    <row r="278" customFormat="false" ht="15.5" hidden="false" customHeight="true" outlineLevel="0" collapsed="false">
      <c r="A278" s="221" t="s">
        <v>185</v>
      </c>
      <c r="B278" s="221"/>
      <c r="C278" s="216"/>
      <c r="D278" s="216"/>
      <c r="E278" s="216"/>
      <c r="F278" s="216"/>
      <c r="G278" s="218"/>
      <c r="H278" s="219"/>
      <c r="I278" s="219"/>
    </row>
    <row r="279" customFormat="false" ht="15.5" hidden="false" customHeight="true" outlineLevel="0" collapsed="false">
      <c r="A279" s="221" t="s">
        <v>187</v>
      </c>
      <c r="B279" s="221"/>
      <c r="C279" s="216"/>
      <c r="D279" s="216"/>
      <c r="E279" s="216"/>
      <c r="F279" s="216"/>
      <c r="G279" s="218"/>
      <c r="H279" s="219"/>
      <c r="I279" s="219"/>
    </row>
    <row r="280" customFormat="false" ht="15.5" hidden="false" customHeight="true" outlineLevel="0" collapsed="false">
      <c r="A280" s="78"/>
      <c r="B280" s="104"/>
      <c r="C280" s="104"/>
      <c r="D280" s="104"/>
      <c r="E280" s="104"/>
      <c r="F280" s="104"/>
      <c r="G280" s="104"/>
      <c r="H280" s="104"/>
      <c r="I280" s="104"/>
    </row>
    <row r="281" customFormat="false" ht="15.5" hidden="false" customHeight="true" outlineLevel="0" collapsed="false">
      <c r="A281" s="78"/>
      <c r="B281" s="104"/>
      <c r="C281" s="104"/>
      <c r="D281" s="104"/>
      <c r="E281" s="104"/>
      <c r="F281" s="104"/>
      <c r="G281" s="104"/>
      <c r="H281" s="104"/>
      <c r="I281" s="104"/>
    </row>
    <row r="282" customFormat="false" ht="15.5" hidden="false" customHeight="true" outlineLevel="0" collapsed="false">
      <c r="A282" s="78"/>
      <c r="B282" s="104"/>
      <c r="C282" s="104"/>
      <c r="D282" s="104"/>
      <c r="E282" s="104"/>
      <c r="F282" s="104"/>
      <c r="G282" s="104"/>
      <c r="H282" s="104"/>
      <c r="I282" s="104"/>
    </row>
    <row r="283" customFormat="false" ht="15.5" hidden="false" customHeight="true" outlineLevel="0" collapsed="false">
      <c r="A283" s="78"/>
      <c r="B283" s="104"/>
      <c r="C283" s="104"/>
      <c r="D283" s="104"/>
      <c r="E283" s="104"/>
      <c r="F283" s="104"/>
      <c r="G283" s="104"/>
      <c r="H283" s="104"/>
      <c r="I283" s="104"/>
    </row>
    <row r="284" customFormat="false" ht="15.5" hidden="false" customHeight="true" outlineLevel="0" collapsed="false">
      <c r="A284" s="78"/>
      <c r="B284" s="104"/>
      <c r="C284" s="104"/>
      <c r="D284" s="104"/>
      <c r="E284" s="104"/>
      <c r="F284" s="104"/>
      <c r="G284" s="104"/>
      <c r="H284" s="104"/>
      <c r="I284" s="104"/>
    </row>
    <row r="285" customFormat="false" ht="15.5" hidden="false" customHeight="true" outlineLevel="0" collapsed="false">
      <c r="A285" s="223" t="s">
        <v>324</v>
      </c>
      <c r="B285" s="223"/>
      <c r="C285" s="223"/>
      <c r="D285" s="104"/>
      <c r="E285" s="104"/>
      <c r="F285" s="104"/>
      <c r="G285" s="104"/>
      <c r="H285" s="104"/>
      <c r="I285" s="104"/>
    </row>
    <row r="286" customFormat="false" ht="15.5" hidden="false" customHeight="true" outlineLevel="0" collapsed="false">
      <c r="A286" s="223"/>
      <c r="B286" s="223"/>
      <c r="C286" s="223"/>
      <c r="D286" s="104"/>
      <c r="E286" s="104"/>
      <c r="F286" s="104"/>
      <c r="G286" s="104"/>
      <c r="H286" s="104"/>
      <c r="I286" s="104"/>
    </row>
    <row r="287" customFormat="false" ht="15.5" hidden="false" customHeight="true" outlineLevel="0" collapsed="false">
      <c r="A287" s="78"/>
      <c r="B287" s="104"/>
      <c r="C287" s="104"/>
      <c r="D287" s="104"/>
      <c r="E287" s="104"/>
      <c r="F287" s="104"/>
      <c r="G287" s="104"/>
      <c r="H287" s="104"/>
      <c r="I287" s="104"/>
    </row>
    <row r="288" customFormat="false" ht="15.5" hidden="false" customHeight="true" outlineLevel="0" collapsed="false">
      <c r="A288" s="78"/>
      <c r="B288" s="104"/>
      <c r="C288" s="212" t="s">
        <v>286</v>
      </c>
      <c r="D288" s="212" t="s">
        <v>287</v>
      </c>
      <c r="E288" s="212" t="s">
        <v>288</v>
      </c>
      <c r="F288" s="212" t="s">
        <v>325</v>
      </c>
      <c r="G288" s="212"/>
      <c r="H288" s="212"/>
      <c r="I288" s="212"/>
    </row>
    <row r="289" customFormat="false" ht="27.75" hidden="false" customHeight="true" outlineLevel="0" collapsed="false">
      <c r="A289" s="78"/>
      <c r="B289" s="104"/>
      <c r="C289" s="213" t="s">
        <v>326</v>
      </c>
      <c r="D289" s="213" t="s">
        <v>292</v>
      </c>
      <c r="E289" s="213" t="s">
        <v>327</v>
      </c>
      <c r="F289" s="213" t="s">
        <v>328</v>
      </c>
      <c r="G289" s="213" t="s">
        <v>329</v>
      </c>
      <c r="H289" s="213"/>
      <c r="I289" s="213"/>
    </row>
    <row r="290" customFormat="false" ht="15.5" hidden="false" customHeight="true" outlineLevel="0" collapsed="false">
      <c r="A290" s="221" t="s">
        <v>330</v>
      </c>
      <c r="B290" s="221"/>
      <c r="C290" s="214"/>
      <c r="D290" s="214"/>
      <c r="E290" s="214"/>
      <c r="F290" s="215"/>
      <c r="G290" s="134"/>
      <c r="H290" s="134"/>
      <c r="I290" s="128"/>
    </row>
    <row r="291" customFormat="false" ht="15.5" hidden="false" customHeight="true" outlineLevel="0" collapsed="false">
      <c r="A291" s="220" t="s">
        <v>331</v>
      </c>
      <c r="B291" s="128"/>
      <c r="C291" s="216"/>
      <c r="D291" s="216"/>
      <c r="E291" s="216"/>
      <c r="F291" s="218"/>
      <c r="G291" s="219"/>
      <c r="H291" s="219"/>
      <c r="I291" s="219"/>
    </row>
    <row r="292" customFormat="false" ht="15.5" hidden="false" customHeight="true" outlineLevel="0" collapsed="false">
      <c r="A292" s="198" t="s">
        <v>332</v>
      </c>
      <c r="B292" s="128"/>
      <c r="C292" s="216"/>
      <c r="D292" s="216"/>
      <c r="E292" s="216"/>
      <c r="F292" s="218"/>
      <c r="G292" s="219"/>
      <c r="H292" s="219"/>
      <c r="I292" s="219"/>
    </row>
    <row r="293" customFormat="false" ht="15.5" hidden="false" customHeight="true" outlineLevel="0" collapsed="false">
      <c r="A293" s="198" t="s">
        <v>333</v>
      </c>
      <c r="B293" s="128"/>
      <c r="C293" s="216"/>
      <c r="D293" s="216"/>
      <c r="E293" s="216"/>
      <c r="F293" s="218"/>
      <c r="G293" s="219"/>
      <c r="H293" s="219"/>
      <c r="I293" s="219"/>
    </row>
    <row r="294" customFormat="false" ht="15.5" hidden="false" customHeight="true" outlineLevel="0" collapsed="false">
      <c r="A294" s="198" t="s">
        <v>334</v>
      </c>
      <c r="B294" s="128"/>
      <c r="C294" s="216"/>
      <c r="D294" s="216"/>
      <c r="E294" s="216"/>
      <c r="F294" s="218"/>
      <c r="G294" s="219"/>
      <c r="H294" s="219"/>
      <c r="I294" s="219"/>
    </row>
    <row r="295" customFormat="false" ht="15.5" hidden="false" customHeight="true" outlineLevel="0" collapsed="false">
      <c r="A295" s="198" t="s">
        <v>335</v>
      </c>
      <c r="B295" s="128"/>
      <c r="C295" s="216"/>
      <c r="D295" s="216"/>
      <c r="E295" s="216"/>
      <c r="F295" s="218"/>
      <c r="G295" s="219"/>
      <c r="H295" s="219"/>
      <c r="I295" s="219"/>
    </row>
    <row r="296" customFormat="false" ht="15.5" hidden="false" customHeight="true" outlineLevel="0" collapsed="false">
      <c r="A296" s="198" t="s">
        <v>336</v>
      </c>
      <c r="B296" s="128"/>
      <c r="C296" s="216"/>
      <c r="D296" s="216"/>
      <c r="E296" s="216"/>
      <c r="F296" s="218"/>
      <c r="G296" s="219"/>
      <c r="H296" s="219"/>
      <c r="I296" s="219"/>
    </row>
    <row r="297" customFormat="false" ht="15.5" hidden="false" customHeight="true" outlineLevel="0" collapsed="false">
      <c r="A297" s="220" t="s">
        <v>337</v>
      </c>
      <c r="B297" s="128"/>
      <c r="C297" s="216"/>
      <c r="D297" s="216"/>
      <c r="E297" s="216"/>
      <c r="F297" s="218"/>
      <c r="G297" s="219"/>
      <c r="H297" s="219"/>
      <c r="I297" s="219"/>
    </row>
    <row r="298" customFormat="false" ht="15.5" hidden="false" customHeight="true" outlineLevel="0" collapsed="false">
      <c r="A298" s="198" t="s">
        <v>338</v>
      </c>
      <c r="B298" s="128"/>
      <c r="C298" s="216"/>
      <c r="D298" s="216"/>
      <c r="E298" s="216"/>
      <c r="F298" s="218"/>
      <c r="G298" s="219"/>
      <c r="H298" s="219"/>
      <c r="I298" s="219"/>
    </row>
    <row r="299" customFormat="false" ht="15.5" hidden="false" customHeight="true" outlineLevel="0" collapsed="false">
      <c r="A299" s="198" t="s">
        <v>339</v>
      </c>
      <c r="B299" s="128"/>
      <c r="C299" s="216"/>
      <c r="D299" s="216"/>
      <c r="E299" s="216"/>
      <c r="F299" s="218"/>
      <c r="G299" s="219"/>
      <c r="H299" s="219"/>
      <c r="I299" s="219"/>
    </row>
    <row r="300" customFormat="false" ht="15.5" hidden="false" customHeight="true" outlineLevel="0" collapsed="false">
      <c r="A300" s="198" t="s">
        <v>340</v>
      </c>
      <c r="B300" s="128"/>
      <c r="C300" s="216"/>
      <c r="D300" s="216"/>
      <c r="E300" s="216"/>
      <c r="F300" s="218"/>
      <c r="G300" s="219"/>
      <c r="H300" s="219"/>
      <c r="I300" s="219"/>
    </row>
    <row r="301" customFormat="false" ht="15.5" hidden="false" customHeight="true" outlineLevel="0" collapsed="false">
      <c r="A301" s="198" t="s">
        <v>341</v>
      </c>
      <c r="B301" s="128"/>
      <c r="C301" s="216"/>
      <c r="D301" s="216"/>
      <c r="E301" s="216"/>
      <c r="F301" s="218"/>
      <c r="G301" s="219"/>
      <c r="H301" s="219"/>
      <c r="I301" s="219"/>
    </row>
    <row r="302" customFormat="false" ht="15.5" hidden="false" customHeight="true" outlineLevel="0" collapsed="false">
      <c r="A302" s="198"/>
      <c r="B302" s="128"/>
      <c r="C302" s="216"/>
      <c r="D302" s="216"/>
      <c r="E302" s="216"/>
      <c r="F302" s="218"/>
      <c r="G302" s="219"/>
      <c r="H302" s="219"/>
      <c r="I302" s="219"/>
    </row>
    <row r="303" customFormat="false" ht="15.5" hidden="false" customHeight="true" outlineLevel="0" collapsed="false">
      <c r="A303" s="198"/>
      <c r="B303" s="128"/>
      <c r="C303" s="216"/>
      <c r="D303" s="216"/>
      <c r="E303" s="216"/>
      <c r="F303" s="218"/>
      <c r="G303" s="224"/>
      <c r="H303" s="224"/>
      <c r="I303" s="219"/>
    </row>
    <row r="304" customFormat="false" ht="15.5" hidden="false" customHeight="true" outlineLevel="0" collapsed="false">
      <c r="A304" s="198" t="s">
        <v>342</v>
      </c>
      <c r="B304" s="128"/>
      <c r="C304" s="216"/>
      <c r="D304" s="216"/>
      <c r="E304" s="216"/>
      <c r="F304" s="218"/>
      <c r="G304" s="224"/>
      <c r="H304" s="224"/>
      <c r="I304" s="219"/>
    </row>
    <row r="305" customFormat="false" ht="15.5" hidden="false" customHeight="true" outlineLevel="0" collapsed="false">
      <c r="A305" s="198" t="s">
        <v>343</v>
      </c>
      <c r="B305" s="128"/>
      <c r="C305" s="216"/>
      <c r="D305" s="216"/>
      <c r="E305" s="216"/>
      <c r="F305" s="218"/>
      <c r="G305" s="219"/>
      <c r="H305" s="219"/>
      <c r="I305" s="219"/>
    </row>
    <row r="306" customFormat="false" ht="15.5" hidden="false" customHeight="true" outlineLevel="0" collapsed="false">
      <c r="A306" s="198"/>
      <c r="B306" s="128"/>
      <c r="C306" s="216"/>
      <c r="D306" s="216"/>
      <c r="E306" s="216"/>
      <c r="F306" s="218"/>
      <c r="G306" s="219"/>
      <c r="H306" s="219"/>
      <c r="I306" s="219"/>
    </row>
    <row r="307" customFormat="false" ht="29" hidden="false" customHeight="true" outlineLevel="0" collapsed="false">
      <c r="A307" s="221" t="s">
        <v>344</v>
      </c>
      <c r="B307" s="221"/>
      <c r="C307" s="214"/>
      <c r="D307" s="214"/>
      <c r="E307" s="214"/>
      <c r="F307" s="215"/>
      <c r="G307" s="222"/>
      <c r="H307" s="222"/>
      <c r="I307" s="222"/>
    </row>
    <row r="308" customFormat="false" ht="15.5" hidden="false" customHeight="true" outlineLevel="0" collapsed="false">
      <c r="A308" s="220" t="s">
        <v>345</v>
      </c>
      <c r="B308" s="128"/>
      <c r="C308" s="216"/>
      <c r="D308" s="216"/>
      <c r="E308" s="216"/>
      <c r="F308" s="218"/>
      <c r="G308" s="219"/>
      <c r="H308" s="219"/>
      <c r="I308" s="219"/>
    </row>
    <row r="309" customFormat="false" ht="15.5" hidden="false" customHeight="true" outlineLevel="0" collapsed="false">
      <c r="A309" s="225" t="s">
        <v>346</v>
      </c>
      <c r="B309" s="226"/>
      <c r="C309" s="216"/>
      <c r="D309" s="216"/>
      <c r="E309" s="216"/>
      <c r="F309" s="218"/>
      <c r="G309" s="219"/>
      <c r="H309" s="219"/>
      <c r="I309" s="219"/>
    </row>
    <row r="310" customFormat="false" ht="15.5" hidden="false" customHeight="true" outlineLevel="0" collapsed="false">
      <c r="A310" s="220" t="s">
        <v>347</v>
      </c>
      <c r="B310" s="128"/>
      <c r="C310" s="216"/>
      <c r="D310" s="216"/>
      <c r="E310" s="216"/>
      <c r="F310" s="218"/>
      <c r="G310" s="219"/>
      <c r="H310" s="219"/>
      <c r="I310" s="219"/>
    </row>
    <row r="311" customFormat="false" ht="15.5" hidden="false" customHeight="true" outlineLevel="0" collapsed="false">
      <c r="A311" s="198" t="s">
        <v>348</v>
      </c>
      <c r="B311" s="128"/>
      <c r="C311" s="216"/>
      <c r="D311" s="216"/>
      <c r="E311" s="216"/>
      <c r="F311" s="218"/>
      <c r="G311" s="219"/>
      <c r="H311" s="219"/>
      <c r="I311" s="219"/>
    </row>
    <row r="312" customFormat="false" ht="15.5" hidden="false" customHeight="true" outlineLevel="0" collapsed="false">
      <c r="A312" s="198" t="s">
        <v>349</v>
      </c>
      <c r="B312" s="128"/>
      <c r="C312" s="216"/>
      <c r="D312" s="216"/>
      <c r="E312" s="216"/>
      <c r="F312" s="218"/>
      <c r="G312" s="219"/>
      <c r="H312" s="219"/>
      <c r="I312" s="219"/>
    </row>
    <row r="313" customFormat="false" ht="15.5" hidden="false" customHeight="true" outlineLevel="0" collapsed="false">
      <c r="A313" s="220"/>
      <c r="B313" s="128"/>
      <c r="C313" s="216"/>
      <c r="D313" s="216"/>
      <c r="E313" s="216"/>
      <c r="F313" s="218"/>
      <c r="G313" s="219"/>
      <c r="H313" s="219"/>
      <c r="I313" s="219"/>
    </row>
    <row r="314" customFormat="false" ht="28.25" hidden="false" customHeight="true" outlineLevel="0" collapsed="false">
      <c r="A314" s="221" t="s">
        <v>350</v>
      </c>
      <c r="B314" s="221"/>
      <c r="C314" s="214"/>
      <c r="D314" s="214"/>
      <c r="E314" s="214"/>
      <c r="F314" s="215"/>
      <c r="G314" s="227" t="s">
        <v>351</v>
      </c>
      <c r="H314" s="227"/>
      <c r="I314" s="227"/>
    </row>
    <row r="315" customFormat="false" ht="15.5" hidden="false" customHeight="true" outlineLevel="0" collapsed="false">
      <c r="A315" s="198"/>
      <c r="B315" s="128"/>
      <c r="C315" s="216"/>
      <c r="D315" s="216"/>
      <c r="E315" s="216"/>
      <c r="F315" s="218"/>
      <c r="G315" s="219"/>
      <c r="H315" s="219"/>
      <c r="I315" s="219"/>
    </row>
    <row r="316" customFormat="false" ht="15.5" hidden="false" customHeight="true" outlineLevel="0" collapsed="false">
      <c r="A316" s="198"/>
      <c r="B316" s="128"/>
      <c r="C316" s="216"/>
      <c r="D316" s="216"/>
      <c r="E316" s="216"/>
      <c r="F316" s="218"/>
      <c r="G316" s="219"/>
      <c r="H316" s="219"/>
      <c r="I316" s="219"/>
    </row>
    <row r="317" customFormat="false" ht="15.5" hidden="false" customHeight="true" outlineLevel="0" collapsed="false">
      <c r="A317" s="220"/>
      <c r="B317" s="128"/>
      <c r="C317" s="216"/>
      <c r="D317" s="216"/>
      <c r="E317" s="216"/>
      <c r="F317" s="218"/>
      <c r="G317" s="219"/>
      <c r="H317" s="219"/>
      <c r="I317" s="219"/>
    </row>
    <row r="318" customFormat="false" ht="15.5" hidden="false" customHeight="true" outlineLevel="0" collapsed="false">
      <c r="A318" s="221" t="s">
        <v>352</v>
      </c>
      <c r="B318" s="221"/>
      <c r="C318" s="214"/>
      <c r="D318" s="214"/>
      <c r="E318" s="214"/>
      <c r="F318" s="215"/>
      <c r="G318" s="227" t="s">
        <v>351</v>
      </c>
      <c r="H318" s="227"/>
      <c r="I318" s="227"/>
    </row>
    <row r="319" customFormat="false" ht="15.5" hidden="false" customHeight="true" outlineLevel="0" collapsed="false">
      <c r="A319" s="198" t="s">
        <v>353</v>
      </c>
      <c r="B319" s="128"/>
      <c r="C319" s="216"/>
      <c r="D319" s="216"/>
      <c r="E319" s="216"/>
      <c r="F319" s="218"/>
      <c r="G319" s="219"/>
      <c r="H319" s="219"/>
      <c r="I319" s="219"/>
    </row>
    <row r="320" customFormat="false" ht="15.5" hidden="false" customHeight="true" outlineLevel="0" collapsed="false">
      <c r="A320" s="198" t="s">
        <v>354</v>
      </c>
      <c r="B320" s="128"/>
      <c r="C320" s="216"/>
      <c r="D320" s="216"/>
      <c r="E320" s="216"/>
      <c r="F320" s="218"/>
      <c r="G320" s="219"/>
      <c r="H320" s="219"/>
      <c r="I320" s="219"/>
    </row>
    <row r="321" customFormat="false" ht="15.5" hidden="false" customHeight="true" outlineLevel="0" collapsed="false">
      <c r="A321" s="198" t="s">
        <v>355</v>
      </c>
      <c r="B321" s="128"/>
      <c r="C321" s="216"/>
      <c r="D321" s="216"/>
      <c r="E321" s="216"/>
      <c r="F321" s="218"/>
      <c r="G321" s="219"/>
      <c r="H321" s="219"/>
      <c r="I321" s="219"/>
    </row>
    <row r="322" customFormat="false" ht="15.5" hidden="false" customHeight="true" outlineLevel="0" collapsed="false">
      <c r="A322" s="198"/>
      <c r="B322" s="128"/>
      <c r="C322" s="216"/>
      <c r="D322" s="216"/>
      <c r="E322" s="216"/>
      <c r="F322" s="218"/>
      <c r="G322" s="219"/>
      <c r="H322" s="219"/>
      <c r="I322" s="219"/>
    </row>
    <row r="323" customFormat="false" ht="15.5" hidden="false" customHeight="true" outlineLevel="0" collapsed="false">
      <c r="A323" s="198"/>
      <c r="B323" s="128"/>
      <c r="C323" s="216"/>
      <c r="D323" s="216"/>
      <c r="E323" s="216"/>
      <c r="F323" s="218"/>
      <c r="G323" s="219"/>
      <c r="H323" s="219"/>
      <c r="I323" s="219"/>
    </row>
    <row r="324" customFormat="false" ht="15.5" hidden="false" customHeight="true" outlineLevel="0" collapsed="false">
      <c r="A324" s="221" t="s">
        <v>356</v>
      </c>
      <c r="B324" s="221"/>
      <c r="C324" s="214"/>
      <c r="D324" s="214"/>
      <c r="E324" s="214"/>
      <c r="F324" s="215"/>
      <c r="G324" s="222"/>
      <c r="H324" s="222"/>
      <c r="I324" s="222"/>
    </row>
    <row r="325" customFormat="false" ht="15.5" hidden="false" customHeight="true" outlineLevel="0" collapsed="false">
      <c r="A325" s="198" t="s">
        <v>357</v>
      </c>
      <c r="B325" s="128"/>
      <c r="C325" s="216"/>
      <c r="D325" s="216"/>
      <c r="E325" s="216"/>
      <c r="F325" s="218"/>
      <c r="G325" s="219"/>
      <c r="H325" s="219"/>
      <c r="I325" s="219"/>
    </row>
    <row r="326" customFormat="false" ht="15.5" hidden="false" customHeight="true" outlineLevel="0" collapsed="false">
      <c r="A326" s="184" t="s">
        <v>358</v>
      </c>
      <c r="B326" s="128"/>
      <c r="C326" s="216"/>
      <c r="D326" s="216"/>
      <c r="E326" s="216"/>
      <c r="F326" s="218"/>
      <c r="G326" s="219"/>
      <c r="H326" s="219"/>
      <c r="I326" s="219"/>
    </row>
    <row r="327" customFormat="false" ht="15.5" hidden="false" customHeight="true" outlineLevel="0" collapsed="false">
      <c r="A327" s="228"/>
      <c r="B327" s="128"/>
      <c r="C327" s="216"/>
      <c r="D327" s="216"/>
      <c r="E327" s="216"/>
      <c r="F327" s="218"/>
      <c r="G327" s="219"/>
      <c r="H327" s="219"/>
      <c r="I327" s="219"/>
    </row>
    <row r="328" customFormat="false" ht="15.5" hidden="false" customHeight="true" outlineLevel="0" collapsed="false">
      <c r="A328" s="221" t="s">
        <v>359</v>
      </c>
      <c r="B328" s="221"/>
      <c r="C328" s="216"/>
      <c r="D328" s="216"/>
      <c r="E328" s="216"/>
      <c r="F328" s="218"/>
      <c r="G328" s="219"/>
      <c r="H328" s="219"/>
      <c r="I328" s="219"/>
    </row>
    <row r="329" customFormat="false" ht="8.25" hidden="false" customHeight="true" outlineLevel="0" collapsed="false">
      <c r="A329" s="78"/>
      <c r="B329" s="104"/>
      <c r="C329" s="104"/>
      <c r="D329" s="104"/>
      <c r="E329" s="104"/>
      <c r="F329" s="104"/>
      <c r="G329" s="104"/>
      <c r="H329" s="104"/>
      <c r="I329" s="104"/>
    </row>
    <row r="330" customFormat="false" ht="15.5" hidden="false" customHeight="true" outlineLevel="0" collapsed="false">
      <c r="A330" s="78"/>
      <c r="B330" s="98" t="s">
        <v>360</v>
      </c>
      <c r="C330" s="98"/>
      <c r="D330" s="98"/>
      <c r="E330" s="98"/>
      <c r="F330" s="98"/>
      <c r="G330" s="203" t="s">
        <v>242</v>
      </c>
      <c r="H330" s="203" t="s">
        <v>243</v>
      </c>
      <c r="I330" s="104"/>
    </row>
    <row r="331" customFormat="false" ht="15.5" hidden="false" customHeight="true" outlineLevel="0" collapsed="false">
      <c r="A331" s="78"/>
      <c r="B331" s="229" t="s">
        <v>361</v>
      </c>
      <c r="C331" s="100"/>
      <c r="D331" s="100"/>
      <c r="E331" s="100"/>
      <c r="F331" s="100"/>
      <c r="G331" s="204"/>
      <c r="H331" s="204"/>
      <c r="I331" s="104"/>
    </row>
    <row r="332" customFormat="false" ht="15.5" hidden="false" customHeight="true" outlineLevel="0" collapsed="false">
      <c r="A332" s="200" t="s">
        <v>362</v>
      </c>
      <c r="B332" s="200"/>
      <c r="C332" s="200"/>
      <c r="D332" s="104"/>
      <c r="E332" s="104"/>
      <c r="F332" s="104"/>
      <c r="G332" s="104"/>
      <c r="H332" s="104"/>
      <c r="I332" s="104"/>
    </row>
    <row r="333" customFormat="false" ht="15.5" hidden="false" customHeight="true" outlineLevel="0" collapsed="false">
      <c r="A333" s="78"/>
      <c r="B333" s="104"/>
      <c r="C333" s="104"/>
      <c r="D333" s="104"/>
      <c r="E333" s="104"/>
      <c r="F333" s="104"/>
      <c r="G333" s="104"/>
      <c r="H333" s="104"/>
      <c r="I333" s="104"/>
    </row>
    <row r="334" customFormat="false" ht="30" hidden="false" customHeight="true" outlineLevel="0" collapsed="false">
      <c r="A334" s="78"/>
      <c r="B334" s="106" t="s">
        <v>363</v>
      </c>
      <c r="C334" s="230" t="s">
        <v>364</v>
      </c>
      <c r="D334" s="148" t="s">
        <v>365</v>
      </c>
      <c r="E334" s="148"/>
      <c r="F334" s="148"/>
      <c r="G334" s="148"/>
      <c r="H334" s="148"/>
      <c r="I334" s="104"/>
    </row>
    <row r="335" customFormat="false" ht="15.5" hidden="false" customHeight="true" outlineLevel="0" collapsed="false">
      <c r="A335" s="231" t="s">
        <v>366</v>
      </c>
      <c r="B335" s="216"/>
      <c r="C335" s="216"/>
      <c r="D335" s="232"/>
      <c r="E335" s="232"/>
      <c r="F335" s="232"/>
      <c r="G335" s="232"/>
      <c r="H335" s="232"/>
      <c r="I335" s="104"/>
    </row>
    <row r="336" customFormat="false" ht="15.5" hidden="false" customHeight="true" outlineLevel="0" collapsed="false">
      <c r="A336" s="231" t="s">
        <v>367</v>
      </c>
      <c r="B336" s="216"/>
      <c r="C336" s="216"/>
      <c r="D336" s="232"/>
      <c r="E336" s="232"/>
      <c r="F336" s="232"/>
      <c r="G336" s="232"/>
      <c r="H336" s="232"/>
      <c r="I336" s="104"/>
    </row>
    <row r="337" customFormat="false" ht="15.5" hidden="false" customHeight="true" outlineLevel="0" collapsed="false">
      <c r="A337" s="231" t="s">
        <v>368</v>
      </c>
      <c r="B337" s="216"/>
      <c r="C337" s="216"/>
      <c r="D337" s="232"/>
      <c r="E337" s="232"/>
      <c r="F337" s="232"/>
      <c r="G337" s="232"/>
      <c r="H337" s="232"/>
      <c r="I337" s="104"/>
    </row>
    <row r="338" customFormat="false" ht="15.5" hidden="false" customHeight="true" outlineLevel="0" collapsed="false">
      <c r="A338" s="231" t="s">
        <v>369</v>
      </c>
      <c r="B338" s="216"/>
      <c r="C338" s="216"/>
      <c r="D338" s="232"/>
      <c r="E338" s="232"/>
      <c r="F338" s="232"/>
      <c r="G338" s="232"/>
      <c r="H338" s="232"/>
      <c r="I338" s="104"/>
    </row>
    <row r="339" customFormat="false" ht="15.5" hidden="false" customHeight="true" outlineLevel="0" collapsed="false">
      <c r="A339" s="78"/>
      <c r="B339" s="104"/>
      <c r="C339" s="104"/>
      <c r="D339" s="104"/>
      <c r="E339" s="104"/>
      <c r="F339" s="104"/>
      <c r="G339" s="104"/>
      <c r="H339" s="104"/>
      <c r="I339" s="104"/>
    </row>
    <row r="340" customFormat="false" ht="15.5" hidden="false" customHeight="true" outlineLevel="0" collapsed="false">
      <c r="A340" s="78"/>
      <c r="B340" s="104"/>
      <c r="C340" s="104"/>
      <c r="D340" s="104"/>
      <c r="E340" s="104"/>
      <c r="F340" s="104"/>
      <c r="G340" s="104"/>
      <c r="H340" s="104"/>
      <c r="I340" s="104"/>
    </row>
    <row r="341" customFormat="false" ht="15.5" hidden="false" customHeight="true" outlineLevel="0" collapsed="false">
      <c r="A341" s="200" t="s">
        <v>370</v>
      </c>
      <c r="B341" s="200"/>
      <c r="C341" s="200"/>
      <c r="D341" s="104"/>
      <c r="E341" s="104"/>
      <c r="F341" s="104"/>
      <c r="G341" s="104"/>
      <c r="H341" s="104"/>
      <c r="I341" s="104"/>
    </row>
    <row r="342" customFormat="false" ht="15.5" hidden="false" customHeight="true" outlineLevel="0" collapsed="false">
      <c r="A342" s="78"/>
      <c r="B342" s="104"/>
      <c r="C342" s="104"/>
      <c r="D342" s="104"/>
      <c r="E342" s="104"/>
      <c r="F342" s="104"/>
      <c r="G342" s="104"/>
      <c r="H342" s="104"/>
      <c r="I342" s="104"/>
    </row>
    <row r="343" customFormat="false" ht="15.5" hidden="false" customHeight="true" outlineLevel="0" collapsed="false">
      <c r="A343" s="233"/>
      <c r="B343" s="104"/>
      <c r="C343" s="104"/>
      <c r="D343" s="181" t="s">
        <v>371</v>
      </c>
      <c r="E343" s="104"/>
      <c r="F343" s="104"/>
      <c r="G343" s="104"/>
      <c r="H343" s="104"/>
      <c r="I343" s="104"/>
    </row>
    <row r="344" customFormat="false" ht="15.5" hidden="false" customHeight="true" outlineLevel="0" collapsed="false">
      <c r="A344" s="234"/>
      <c r="B344" s="104"/>
      <c r="C344" s="104"/>
      <c r="D344" s="213" t="s">
        <v>372</v>
      </c>
      <c r="E344" s="104"/>
      <c r="F344" s="104"/>
      <c r="G344" s="104"/>
      <c r="H344" s="104"/>
      <c r="I344" s="104"/>
    </row>
    <row r="345" customFormat="false" ht="15.5" hidden="false" customHeight="true" outlineLevel="0" collapsed="false">
      <c r="A345" s="235" t="s">
        <v>373</v>
      </c>
      <c r="B345" s="236"/>
      <c r="C345" s="128"/>
      <c r="D345" s="216"/>
      <c r="E345" s="104"/>
      <c r="F345" s="104"/>
      <c r="G345" s="104"/>
      <c r="H345" s="104"/>
      <c r="I345" s="104"/>
    </row>
    <row r="346" customFormat="false" ht="15.5" hidden="false" customHeight="true" outlineLevel="0" collapsed="false">
      <c r="A346" s="235" t="s">
        <v>374</v>
      </c>
      <c r="B346" s="236"/>
      <c r="C346" s="128"/>
      <c r="D346" s="216"/>
      <c r="E346" s="104"/>
      <c r="F346" s="104"/>
      <c r="G346" s="104"/>
      <c r="H346" s="104"/>
      <c r="I346" s="104"/>
    </row>
    <row r="347" customFormat="false" ht="15.5" hidden="false" customHeight="true" outlineLevel="0" collapsed="false">
      <c r="A347" s="235" t="s">
        <v>375</v>
      </c>
      <c r="B347" s="236"/>
      <c r="C347" s="128"/>
      <c r="D347" s="216"/>
      <c r="E347" s="104"/>
      <c r="F347" s="104"/>
      <c r="G347" s="104"/>
      <c r="H347" s="104"/>
      <c r="I347" s="104"/>
    </row>
    <row r="348" customFormat="false" ht="15.5" hidden="false" customHeight="true" outlineLevel="0" collapsed="false">
      <c r="A348" s="235" t="s">
        <v>376</v>
      </c>
      <c r="B348" s="236"/>
      <c r="C348" s="128"/>
      <c r="D348" s="216"/>
      <c r="E348" s="104"/>
      <c r="F348" s="104"/>
      <c r="G348" s="104"/>
      <c r="H348" s="104"/>
      <c r="I348" s="104"/>
    </row>
    <row r="349" customFormat="false" ht="15.5" hidden="false" customHeight="true" outlineLevel="0" collapsed="false">
      <c r="A349" s="235" t="s">
        <v>377</v>
      </c>
      <c r="B349" s="236"/>
      <c r="C349" s="128"/>
      <c r="D349" s="216"/>
      <c r="E349" s="104"/>
      <c r="F349" s="104"/>
      <c r="G349" s="104"/>
      <c r="H349" s="104"/>
      <c r="I349" s="104"/>
    </row>
    <row r="350" customFormat="false" ht="15.5" hidden="false" customHeight="true" outlineLevel="0" collapsed="false">
      <c r="A350" s="235" t="s">
        <v>378</v>
      </c>
      <c r="B350" s="236"/>
      <c r="C350" s="128"/>
      <c r="D350" s="216"/>
      <c r="E350" s="104"/>
      <c r="F350" s="104"/>
      <c r="G350" s="104"/>
      <c r="H350" s="104"/>
      <c r="I350" s="104"/>
    </row>
    <row r="351" customFormat="false" ht="15.5" hidden="false" customHeight="true" outlineLevel="0" collapsed="false">
      <c r="A351" s="235" t="s">
        <v>379</v>
      </c>
      <c r="B351" s="236"/>
      <c r="C351" s="128"/>
      <c r="D351" s="216"/>
      <c r="E351" s="104"/>
      <c r="F351" s="104"/>
      <c r="G351" s="104"/>
      <c r="H351" s="104"/>
      <c r="I351" s="104"/>
    </row>
    <row r="352" customFormat="false" ht="15.5" hidden="false" customHeight="true" outlineLevel="0" collapsed="false">
      <c r="A352" s="235" t="s">
        <v>380</v>
      </c>
      <c r="B352" s="236"/>
      <c r="C352" s="128"/>
      <c r="D352" s="216"/>
      <c r="E352" s="104"/>
      <c r="F352" s="104"/>
      <c r="G352" s="104"/>
      <c r="H352" s="104"/>
      <c r="I352" s="104"/>
    </row>
    <row r="353" customFormat="false" ht="15.5" hidden="false" customHeight="true" outlineLevel="0" collapsed="false">
      <c r="A353" s="235" t="s">
        <v>381</v>
      </c>
      <c r="B353" s="236"/>
      <c r="C353" s="128"/>
      <c r="D353" s="216"/>
      <c r="E353" s="104"/>
      <c r="F353" s="104"/>
      <c r="G353" s="104"/>
      <c r="H353" s="104"/>
      <c r="I353" s="104"/>
    </row>
    <row r="354" customFormat="false" ht="15.5" hidden="false" customHeight="true" outlineLevel="0" collapsed="false">
      <c r="A354" s="235" t="s">
        <v>382</v>
      </c>
      <c r="B354" s="236"/>
      <c r="C354" s="128"/>
      <c r="D354" s="216"/>
      <c r="E354" s="104"/>
      <c r="F354" s="104"/>
      <c r="G354" s="104"/>
      <c r="H354" s="104"/>
      <c r="I354" s="104"/>
    </row>
    <row r="355" customFormat="false" ht="15.5" hidden="false" customHeight="true" outlineLevel="0" collapsed="false">
      <c r="A355" s="235" t="s">
        <v>383</v>
      </c>
      <c r="B355" s="236"/>
      <c r="C355" s="128"/>
      <c r="D355" s="216"/>
      <c r="E355" s="104"/>
      <c r="F355" s="104"/>
      <c r="G355" s="104"/>
      <c r="H355" s="104"/>
      <c r="I355" s="104"/>
    </row>
    <row r="356" customFormat="false" ht="15.5" hidden="false" customHeight="true" outlineLevel="0" collapsed="false">
      <c r="A356" s="235" t="s">
        <v>384</v>
      </c>
      <c r="B356" s="236"/>
      <c r="C356" s="128"/>
      <c r="D356" s="216"/>
      <c r="E356" s="104"/>
      <c r="F356" s="104"/>
      <c r="G356" s="104"/>
      <c r="H356" s="104"/>
      <c r="I356" s="104"/>
    </row>
    <row r="357" customFormat="false" ht="15.5" hidden="false" customHeight="true" outlineLevel="0" collapsed="false">
      <c r="A357" s="235" t="s">
        <v>385</v>
      </c>
      <c r="B357" s="236"/>
      <c r="C357" s="128"/>
      <c r="D357" s="216"/>
      <c r="E357" s="104"/>
      <c r="F357" s="104"/>
      <c r="G357" s="104"/>
      <c r="H357" s="104"/>
      <c r="I357" s="104"/>
    </row>
    <row r="358" customFormat="false" ht="15.5" hidden="false" customHeight="true" outlineLevel="0" collapsed="false">
      <c r="A358" s="235" t="s">
        <v>386</v>
      </c>
      <c r="B358" s="236"/>
      <c r="C358" s="128"/>
      <c r="D358" s="216"/>
      <c r="E358" s="104"/>
      <c r="F358" s="104"/>
      <c r="G358" s="104"/>
      <c r="H358" s="104"/>
      <c r="I358" s="104"/>
    </row>
    <row r="359" customFormat="false" ht="15.5" hidden="false" customHeight="true" outlineLevel="0" collapsed="false">
      <c r="A359" s="235" t="s">
        <v>387</v>
      </c>
      <c r="B359" s="236"/>
      <c r="C359" s="128"/>
      <c r="D359" s="216"/>
      <c r="E359" s="104"/>
      <c r="F359" s="104"/>
      <c r="G359" s="104"/>
      <c r="H359" s="104"/>
      <c r="I359" s="104"/>
    </row>
    <row r="360" customFormat="false" ht="15.5" hidden="false" customHeight="true" outlineLevel="0" collapsed="false">
      <c r="A360" s="235" t="s">
        <v>388</v>
      </c>
      <c r="B360" s="236"/>
      <c r="C360" s="128"/>
      <c r="D360" s="216"/>
      <c r="E360" s="104"/>
      <c r="F360" s="104"/>
      <c r="G360" s="104"/>
      <c r="H360" s="104"/>
      <c r="I360" s="104"/>
    </row>
    <row r="361" customFormat="false" ht="15.5" hidden="false" customHeight="true" outlineLevel="0" collapsed="false">
      <c r="A361" s="235" t="s">
        <v>389</v>
      </c>
      <c r="B361" s="236"/>
      <c r="C361" s="128"/>
      <c r="D361" s="216"/>
      <c r="E361" s="104"/>
      <c r="F361" s="104"/>
      <c r="G361" s="104"/>
      <c r="H361" s="104"/>
      <c r="I361" s="104"/>
    </row>
    <row r="362" customFormat="false" ht="15.5" hidden="false" customHeight="true" outlineLevel="0" collapsed="false">
      <c r="A362" s="235" t="s">
        <v>390</v>
      </c>
      <c r="B362" s="236"/>
      <c r="C362" s="128"/>
      <c r="D362" s="216"/>
      <c r="E362" s="104"/>
      <c r="F362" s="104"/>
      <c r="G362" s="104"/>
      <c r="H362" s="104"/>
      <c r="I362" s="104"/>
    </row>
    <row r="363" customFormat="false" ht="15.5" hidden="false" customHeight="true" outlineLevel="0" collapsed="false">
      <c r="A363" s="235" t="s">
        <v>391</v>
      </c>
      <c r="B363" s="236"/>
      <c r="C363" s="128"/>
      <c r="D363" s="216"/>
      <c r="E363" s="104"/>
      <c r="F363" s="104"/>
      <c r="G363" s="104"/>
      <c r="H363" s="104"/>
      <c r="I363" s="104"/>
    </row>
    <row r="364" customFormat="false" ht="15.5" hidden="false" customHeight="true" outlineLevel="0" collapsed="false">
      <c r="A364" s="235" t="s">
        <v>392</v>
      </c>
      <c r="B364" s="236"/>
      <c r="C364" s="128"/>
      <c r="D364" s="216"/>
      <c r="E364" s="104"/>
      <c r="F364" s="104"/>
      <c r="G364" s="104"/>
      <c r="H364" s="104"/>
      <c r="I364" s="104"/>
    </row>
    <row r="365" customFormat="false" ht="15.5" hidden="false" customHeight="true" outlineLevel="0" collapsed="false">
      <c r="A365" s="235" t="s">
        <v>393</v>
      </c>
      <c r="B365" s="236"/>
      <c r="C365" s="128"/>
      <c r="D365" s="216"/>
      <c r="E365" s="104"/>
      <c r="F365" s="104"/>
      <c r="G365" s="104"/>
      <c r="H365" s="104"/>
      <c r="I365" s="104"/>
    </row>
    <row r="366" customFormat="false" ht="15.5" hidden="false" customHeight="true" outlineLevel="0" collapsed="false">
      <c r="A366" s="235" t="s">
        <v>394</v>
      </c>
      <c r="B366" s="236"/>
      <c r="C366" s="128"/>
      <c r="D366" s="216"/>
      <c r="E366" s="181" t="s">
        <v>395</v>
      </c>
      <c r="F366" s="181" t="s">
        <v>396</v>
      </c>
      <c r="G366" s="181" t="s">
        <v>397</v>
      </c>
      <c r="H366" s="104"/>
      <c r="I366" s="104"/>
    </row>
    <row r="367" customFormat="false" ht="15.5" hidden="false" customHeight="true" outlineLevel="0" collapsed="false">
      <c r="A367" s="235" t="s">
        <v>398</v>
      </c>
      <c r="B367" s="236"/>
      <c r="C367" s="128"/>
      <c r="D367" s="216"/>
      <c r="E367" s="237" t="s">
        <v>399</v>
      </c>
      <c r="F367" s="237" t="s">
        <v>399</v>
      </c>
      <c r="G367" s="237" t="s">
        <v>399</v>
      </c>
      <c r="H367" s="104"/>
      <c r="I367" s="104"/>
    </row>
    <row r="368" customFormat="false" ht="15.5" hidden="false" customHeight="true" outlineLevel="0" collapsed="false">
      <c r="A368" s="235" t="s">
        <v>400</v>
      </c>
      <c r="B368" s="236"/>
      <c r="C368" s="128"/>
      <c r="D368" s="216"/>
      <c r="E368" s="237"/>
      <c r="F368" s="237"/>
      <c r="G368" s="237"/>
      <c r="H368" s="104"/>
      <c r="I368" s="104"/>
    </row>
    <row r="369" customFormat="false" ht="15.5" hidden="false" customHeight="true" outlineLevel="0" collapsed="false">
      <c r="A369" s="238"/>
      <c r="B369" s="236"/>
      <c r="C369" s="128"/>
      <c r="D369" s="216"/>
      <c r="E369" s="216"/>
      <c r="F369" s="216"/>
      <c r="G369" s="216"/>
      <c r="H369" s="104"/>
      <c r="I369" s="104"/>
    </row>
    <row r="370" customFormat="false" ht="15.5" hidden="false" customHeight="true" outlineLevel="0" collapsed="false">
      <c r="A370" s="238"/>
      <c r="B370" s="236"/>
      <c r="C370" s="128"/>
      <c r="D370" s="216"/>
      <c r="E370" s="216"/>
      <c r="F370" s="216"/>
      <c r="G370" s="216"/>
      <c r="H370" s="104"/>
      <c r="I370" s="104"/>
    </row>
    <row r="371" customFormat="false" ht="15.5" hidden="false" customHeight="true" outlineLevel="0" collapsed="false">
      <c r="A371" s="238"/>
      <c r="B371" s="236"/>
      <c r="C371" s="128"/>
      <c r="D371" s="216"/>
      <c r="E371" s="216"/>
      <c r="F371" s="216"/>
      <c r="G371" s="216"/>
      <c r="H371" s="104"/>
      <c r="I371" s="104"/>
    </row>
    <row r="372" customFormat="false" ht="15.5" hidden="false" customHeight="true" outlineLevel="0" collapsed="false">
      <c r="A372" s="198"/>
      <c r="B372" s="134"/>
      <c r="C372" s="128"/>
      <c r="D372" s="216"/>
      <c r="E372" s="216"/>
      <c r="F372" s="216"/>
      <c r="G372" s="216"/>
      <c r="H372" s="104"/>
      <c r="I372" s="104"/>
    </row>
    <row r="373" customFormat="false" ht="15.5" hidden="false" customHeight="true" outlineLevel="0" collapsed="false">
      <c r="A373" s="198"/>
      <c r="B373" s="134"/>
      <c r="C373" s="128"/>
      <c r="D373" s="216"/>
      <c r="E373" s="216"/>
      <c r="F373" s="216"/>
      <c r="G373" s="216"/>
      <c r="H373" s="104"/>
      <c r="I373" s="104"/>
    </row>
    <row r="374" customFormat="false" ht="15.5" hidden="false" customHeight="true" outlineLevel="0" collapsed="false">
      <c r="A374" s="78"/>
      <c r="B374" s="104"/>
      <c r="C374" s="104"/>
      <c r="D374" s="104"/>
      <c r="E374" s="104"/>
      <c r="F374" s="104"/>
      <c r="G374" s="104"/>
      <c r="H374" s="104"/>
      <c r="I374" s="104"/>
    </row>
    <row r="375" customFormat="false" ht="15.5" hidden="false" customHeight="true" outlineLevel="0" collapsed="false">
      <c r="A375" s="78"/>
      <c r="B375" s="104"/>
      <c r="C375" s="104"/>
      <c r="D375" s="104"/>
      <c r="E375" s="104"/>
      <c r="F375" s="104"/>
      <c r="G375" s="104"/>
      <c r="H375" s="104"/>
      <c r="I375" s="104"/>
    </row>
    <row r="376" customFormat="false" ht="15.5" hidden="false" customHeight="true" outlineLevel="0" collapsed="false">
      <c r="A376" s="78"/>
      <c r="B376" s="104"/>
      <c r="C376" s="104"/>
      <c r="D376" s="104"/>
      <c r="E376" s="104"/>
      <c r="F376" s="104"/>
      <c r="G376" s="104"/>
      <c r="H376" s="104"/>
      <c r="I376" s="104"/>
    </row>
    <row r="377" customFormat="false" ht="15.5" hidden="false" customHeight="true" outlineLevel="0" collapsed="false">
      <c r="A377" s="78"/>
      <c r="B377" s="104"/>
      <c r="C377" s="104"/>
      <c r="D377" s="104"/>
      <c r="E377" s="104"/>
      <c r="F377" s="104"/>
      <c r="G377" s="104"/>
      <c r="H377" s="104"/>
      <c r="I377" s="104"/>
    </row>
    <row r="378" customFormat="false" ht="15.5" hidden="false" customHeight="true" outlineLevel="0" collapsed="false">
      <c r="A378" s="78"/>
      <c r="B378" s="104"/>
      <c r="C378" s="104"/>
      <c r="D378" s="104"/>
      <c r="E378" s="104"/>
      <c r="F378" s="104"/>
      <c r="G378" s="104"/>
      <c r="H378" s="104"/>
      <c r="I378" s="104"/>
    </row>
    <row r="379" customFormat="false" ht="15.5" hidden="false" customHeight="true" outlineLevel="0" collapsed="false">
      <c r="A379" s="78"/>
      <c r="B379" s="104"/>
      <c r="C379" s="104"/>
      <c r="D379" s="104"/>
      <c r="E379" s="104"/>
      <c r="F379" s="104"/>
      <c r="G379" s="104"/>
      <c r="H379" s="104"/>
      <c r="I379" s="104"/>
    </row>
    <row r="380" customFormat="false" ht="15.5" hidden="false" customHeight="true" outlineLevel="0" collapsed="false">
      <c r="A380" s="200" t="s">
        <v>401</v>
      </c>
      <c r="B380" s="200"/>
      <c r="C380" s="200"/>
      <c r="D380" s="104"/>
      <c r="E380" s="104"/>
      <c r="F380" s="104"/>
      <c r="G380" s="104"/>
      <c r="H380" s="104"/>
      <c r="I380" s="104"/>
    </row>
    <row r="381" customFormat="false" ht="15.5" hidden="false" customHeight="true" outlineLevel="0" collapsed="false">
      <c r="A381" s="78"/>
      <c r="B381" s="104"/>
      <c r="C381" s="104"/>
      <c r="D381" s="104"/>
      <c r="E381" s="181" t="s">
        <v>402</v>
      </c>
      <c r="F381" s="181" t="s">
        <v>403</v>
      </c>
      <c r="G381" s="181" t="s">
        <v>404</v>
      </c>
      <c r="H381" s="104"/>
      <c r="I381" s="104"/>
    </row>
    <row r="382" customFormat="false" ht="15.5" hidden="false" customHeight="true" outlineLevel="0" collapsed="false">
      <c r="A382" s="239" t="s">
        <v>405</v>
      </c>
      <c r="B382" s="239"/>
      <c r="C382" s="239"/>
      <c r="D382" s="239"/>
      <c r="E382" s="181"/>
      <c r="F382" s="181"/>
      <c r="G382" s="181"/>
      <c r="H382" s="104"/>
      <c r="I382" s="104"/>
    </row>
    <row r="383" customFormat="false" ht="15.5" hidden="false" customHeight="true" outlineLevel="0" collapsed="false">
      <c r="A383" s="239"/>
      <c r="B383" s="239"/>
      <c r="C383" s="239"/>
      <c r="D383" s="239"/>
      <c r="E383" s="213" t="s">
        <v>406</v>
      </c>
      <c r="F383" s="213" t="s">
        <v>406</v>
      </c>
      <c r="G383" s="213" t="s">
        <v>406</v>
      </c>
      <c r="H383" s="104"/>
      <c r="I383" s="104"/>
    </row>
    <row r="384" customFormat="false" ht="15.5" hidden="false" customHeight="true" outlineLevel="0" collapsed="false">
      <c r="A384" s="240" t="s">
        <v>407</v>
      </c>
      <c r="B384" s="241"/>
      <c r="C384" s="241"/>
      <c r="D384" s="242"/>
      <c r="E384" s="243"/>
      <c r="F384" s="243"/>
      <c r="G384" s="243"/>
      <c r="H384" s="104"/>
      <c r="I384" s="104"/>
    </row>
    <row r="385" customFormat="false" ht="15.5" hidden="false" customHeight="true" outlineLevel="0" collapsed="false">
      <c r="A385" s="240" t="s">
        <v>408</v>
      </c>
      <c r="B385" s="134"/>
      <c r="C385" s="134"/>
      <c r="D385" s="128"/>
      <c r="E385" s="216"/>
      <c r="F385" s="216"/>
      <c r="G385" s="216"/>
      <c r="H385" s="104"/>
      <c r="I385" s="104"/>
    </row>
    <row r="386" customFormat="false" ht="15.5" hidden="false" customHeight="true" outlineLevel="0" collapsed="false">
      <c r="A386" s="240" t="s">
        <v>409</v>
      </c>
      <c r="B386" s="134"/>
      <c r="C386" s="134"/>
      <c r="D386" s="128"/>
      <c r="E386" s="216"/>
      <c r="F386" s="216"/>
      <c r="G386" s="216"/>
      <c r="H386" s="104"/>
      <c r="I386" s="104"/>
    </row>
    <row r="387" customFormat="false" ht="15.5" hidden="false" customHeight="true" outlineLevel="0" collapsed="false">
      <c r="A387" s="240" t="s">
        <v>410</v>
      </c>
      <c r="B387" s="134"/>
      <c r="C387" s="134"/>
      <c r="D387" s="128"/>
      <c r="E387" s="216"/>
      <c r="F387" s="216"/>
      <c r="G387" s="216"/>
      <c r="H387" s="104"/>
      <c r="I387" s="104"/>
    </row>
    <row r="388" customFormat="false" ht="15.5" hidden="false" customHeight="true" outlineLevel="0" collapsed="false">
      <c r="A388" s="240" t="s">
        <v>411</v>
      </c>
      <c r="B388" s="134"/>
      <c r="C388" s="134"/>
      <c r="D388" s="128"/>
      <c r="E388" s="216"/>
      <c r="F388" s="216"/>
      <c r="G388" s="216"/>
      <c r="H388" s="104"/>
      <c r="I388" s="104"/>
    </row>
    <row r="389" customFormat="false" ht="15.5" hidden="false" customHeight="true" outlineLevel="0" collapsed="false">
      <c r="A389" s="240" t="s">
        <v>412</v>
      </c>
      <c r="B389" s="134"/>
      <c r="C389" s="134"/>
      <c r="D389" s="128"/>
      <c r="E389" s="216"/>
      <c r="F389" s="216"/>
      <c r="G389" s="216"/>
      <c r="H389" s="104"/>
      <c r="I389" s="104"/>
    </row>
    <row r="390" customFormat="false" ht="15.5" hidden="false" customHeight="true" outlineLevel="0" collapsed="false">
      <c r="A390" s="240" t="s">
        <v>413</v>
      </c>
      <c r="B390" s="134"/>
      <c r="C390" s="134"/>
      <c r="D390" s="128"/>
      <c r="E390" s="216"/>
      <c r="F390" s="216"/>
      <c r="G390" s="216"/>
      <c r="H390" s="104"/>
      <c r="I390" s="104"/>
    </row>
    <row r="391" customFormat="false" ht="15.5" hidden="false" customHeight="true" outlineLevel="0" collapsed="false">
      <c r="A391" s="240" t="s">
        <v>414</v>
      </c>
      <c r="B391" s="134"/>
      <c r="C391" s="134"/>
      <c r="D391" s="128"/>
      <c r="E391" s="216"/>
      <c r="F391" s="216"/>
      <c r="G391" s="216"/>
      <c r="H391" s="104"/>
      <c r="I391" s="104"/>
    </row>
    <row r="392" customFormat="false" ht="15.5" hidden="false" customHeight="true" outlineLevel="0" collapsed="false">
      <c r="A392" s="240" t="s">
        <v>415</v>
      </c>
      <c r="B392" s="134"/>
      <c r="C392" s="134"/>
      <c r="D392" s="128"/>
      <c r="E392" s="216"/>
      <c r="F392" s="216"/>
      <c r="G392" s="216"/>
      <c r="H392" s="104"/>
      <c r="I392" s="104"/>
    </row>
    <row r="393" customFormat="false" ht="15.5" hidden="false" customHeight="true" outlineLevel="0" collapsed="false">
      <c r="A393" s="240" t="s">
        <v>416</v>
      </c>
      <c r="B393" s="134"/>
      <c r="C393" s="134"/>
      <c r="D393" s="128"/>
      <c r="E393" s="216"/>
      <c r="F393" s="216"/>
      <c r="G393" s="216"/>
      <c r="H393" s="104"/>
      <c r="I393" s="104"/>
    </row>
    <row r="394" customFormat="false" ht="15.5" hidden="false" customHeight="true" outlineLevel="0" collapsed="false">
      <c r="A394" s="240" t="s">
        <v>417</v>
      </c>
      <c r="B394" s="134"/>
      <c r="C394" s="134"/>
      <c r="D394" s="128"/>
      <c r="E394" s="216"/>
      <c r="F394" s="216"/>
      <c r="G394" s="216"/>
      <c r="H394" s="104"/>
      <c r="I394" s="104"/>
    </row>
    <row r="395" customFormat="false" ht="15.5" hidden="false" customHeight="true" outlineLevel="0" collapsed="false">
      <c r="A395" s="240" t="s">
        <v>418</v>
      </c>
      <c r="B395" s="134"/>
      <c r="C395" s="134"/>
      <c r="D395" s="128"/>
      <c r="E395" s="216"/>
      <c r="F395" s="216"/>
      <c r="G395" s="216"/>
      <c r="H395" s="104"/>
      <c r="I395" s="104"/>
    </row>
    <row r="396" customFormat="false" ht="15.5" hidden="false" customHeight="true" outlineLevel="0" collapsed="false">
      <c r="A396" s="240" t="s">
        <v>419</v>
      </c>
      <c r="B396" s="134"/>
      <c r="C396" s="134"/>
      <c r="D396" s="128"/>
      <c r="E396" s="216"/>
      <c r="F396" s="216"/>
      <c r="G396" s="216"/>
      <c r="H396" s="104"/>
      <c r="I396" s="104"/>
    </row>
    <row r="397" customFormat="false" ht="15.5" hidden="false" customHeight="true" outlineLevel="0" collapsed="false">
      <c r="A397" s="240" t="s">
        <v>420</v>
      </c>
      <c r="B397" s="134"/>
      <c r="C397" s="134"/>
      <c r="D397" s="128"/>
      <c r="E397" s="216"/>
      <c r="F397" s="216"/>
      <c r="G397" s="216"/>
      <c r="H397" s="104"/>
      <c r="I397" s="104"/>
    </row>
    <row r="398" customFormat="false" ht="15.5" hidden="false" customHeight="true" outlineLevel="0" collapsed="false">
      <c r="A398" s="240" t="s">
        <v>421</v>
      </c>
      <c r="B398" s="134"/>
      <c r="C398" s="134"/>
      <c r="D398" s="128"/>
      <c r="E398" s="216"/>
      <c r="F398" s="216"/>
      <c r="G398" s="216"/>
      <c r="H398" s="104"/>
      <c r="I398" s="104"/>
    </row>
    <row r="399" customFormat="false" ht="15.5" hidden="false" customHeight="true" outlineLevel="0" collapsed="false">
      <c r="A399" s="240" t="s">
        <v>422</v>
      </c>
      <c r="B399" s="134"/>
      <c r="C399" s="134"/>
      <c r="D399" s="128"/>
      <c r="E399" s="216"/>
      <c r="F399" s="216"/>
      <c r="G399" s="216"/>
      <c r="H399" s="104"/>
      <c r="I399" s="104"/>
    </row>
    <row r="400" customFormat="false" ht="15.5" hidden="false" customHeight="true" outlineLevel="0" collapsed="false">
      <c r="A400" s="240" t="s">
        <v>423</v>
      </c>
      <c r="B400" s="134"/>
      <c r="C400" s="134"/>
      <c r="D400" s="128"/>
      <c r="E400" s="216"/>
      <c r="F400" s="216"/>
      <c r="G400" s="216"/>
      <c r="H400" s="104"/>
      <c r="I400" s="104"/>
    </row>
    <row r="401" customFormat="false" ht="15.5" hidden="false" customHeight="true" outlineLevel="0" collapsed="false">
      <c r="A401" s="240" t="s">
        <v>424</v>
      </c>
      <c r="B401" s="134"/>
      <c r="C401" s="134"/>
      <c r="D401" s="128"/>
      <c r="E401" s="216"/>
      <c r="F401" s="216"/>
      <c r="G401" s="216"/>
      <c r="H401" s="104"/>
      <c r="I401" s="104"/>
    </row>
    <row r="402" customFormat="false" ht="15.5" hidden="false" customHeight="true" outlineLevel="0" collapsed="false">
      <c r="A402" s="240" t="s">
        <v>425</v>
      </c>
      <c r="B402" s="134"/>
      <c r="C402" s="134"/>
      <c r="D402" s="128"/>
      <c r="E402" s="216"/>
      <c r="F402" s="216"/>
      <c r="G402" s="216"/>
      <c r="H402" s="104"/>
      <c r="I402" s="104"/>
    </row>
    <row r="403" customFormat="false" ht="15.5" hidden="false" customHeight="true" outlineLevel="0" collapsed="false">
      <c r="A403" s="240" t="s">
        <v>426</v>
      </c>
      <c r="B403" s="134"/>
      <c r="C403" s="134"/>
      <c r="D403" s="128"/>
      <c r="E403" s="216"/>
      <c r="F403" s="216"/>
      <c r="G403" s="216"/>
      <c r="H403" s="104"/>
      <c r="I403" s="104"/>
    </row>
    <row r="404" customFormat="false" ht="15.5" hidden="false" customHeight="true" outlineLevel="0" collapsed="false">
      <c r="A404" s="240" t="s">
        <v>427</v>
      </c>
      <c r="B404" s="134"/>
      <c r="C404" s="134"/>
      <c r="D404" s="128"/>
      <c r="E404" s="216"/>
      <c r="F404" s="216"/>
      <c r="G404" s="216"/>
      <c r="H404" s="104"/>
      <c r="I404" s="104"/>
    </row>
    <row r="405" customFormat="false" ht="15.5" hidden="false" customHeight="true" outlineLevel="0" collapsed="false">
      <c r="A405" s="240" t="s">
        <v>428</v>
      </c>
      <c r="B405" s="134"/>
      <c r="C405" s="134"/>
      <c r="D405" s="128"/>
      <c r="E405" s="216"/>
      <c r="F405" s="216"/>
      <c r="G405" s="216"/>
      <c r="H405" s="104"/>
      <c r="I405" s="104"/>
    </row>
    <row r="406" customFormat="false" ht="15.5" hidden="false" customHeight="true" outlineLevel="0" collapsed="false">
      <c r="A406" s="240" t="s">
        <v>429</v>
      </c>
      <c r="B406" s="134"/>
      <c r="C406" s="134"/>
      <c r="D406" s="128"/>
      <c r="E406" s="216"/>
      <c r="F406" s="216"/>
      <c r="G406" s="216"/>
      <c r="H406" s="104"/>
      <c r="I406" s="104"/>
    </row>
    <row r="407" customFormat="false" ht="15.5" hidden="false" customHeight="true" outlineLevel="0" collapsed="false">
      <c r="A407" s="240" t="s">
        <v>430</v>
      </c>
      <c r="B407" s="134"/>
      <c r="C407" s="134"/>
      <c r="D407" s="128"/>
      <c r="E407" s="216"/>
      <c r="F407" s="216"/>
      <c r="G407" s="216"/>
      <c r="H407" s="104"/>
      <c r="I407" s="104"/>
    </row>
    <row r="408" customFormat="false" ht="15.5" hidden="false" customHeight="true" outlineLevel="0" collapsed="false">
      <c r="A408" s="240" t="s">
        <v>431</v>
      </c>
      <c r="B408" s="134"/>
      <c r="C408" s="134"/>
      <c r="D408" s="128"/>
      <c r="E408" s="216"/>
      <c r="F408" s="216"/>
      <c r="G408" s="216"/>
      <c r="H408" s="104"/>
      <c r="I408" s="104"/>
    </row>
    <row r="409" customFormat="false" ht="15.5" hidden="false" customHeight="true" outlineLevel="0" collapsed="false">
      <c r="A409" s="240" t="s">
        <v>432</v>
      </c>
      <c r="B409" s="134"/>
      <c r="C409" s="134"/>
      <c r="D409" s="128"/>
      <c r="E409" s="216"/>
      <c r="F409" s="216"/>
      <c r="G409" s="216"/>
      <c r="H409" s="104"/>
      <c r="I409" s="104"/>
    </row>
    <row r="410" customFormat="false" ht="15.5" hidden="false" customHeight="true" outlineLevel="0" collapsed="false">
      <c r="A410" s="240" t="s">
        <v>433</v>
      </c>
      <c r="B410" s="134"/>
      <c r="C410" s="134"/>
      <c r="D410" s="128"/>
      <c r="E410" s="216"/>
      <c r="F410" s="216"/>
      <c r="G410" s="216"/>
      <c r="H410" s="104"/>
      <c r="I410" s="104"/>
    </row>
    <row r="411" customFormat="false" ht="15.5" hidden="false" customHeight="true" outlineLevel="0" collapsed="false">
      <c r="A411" s="240" t="s">
        <v>434</v>
      </c>
      <c r="B411" s="134"/>
      <c r="C411" s="134"/>
      <c r="D411" s="128"/>
      <c r="E411" s="216"/>
      <c r="F411" s="216"/>
      <c r="G411" s="216"/>
      <c r="H411" s="104"/>
      <c r="I411" s="104"/>
    </row>
    <row r="412" customFormat="false" ht="15.5" hidden="false" customHeight="true" outlineLevel="0" collapsed="false">
      <c r="A412" s="240" t="s">
        <v>435</v>
      </c>
      <c r="B412" s="134"/>
      <c r="C412" s="134"/>
      <c r="D412" s="128"/>
      <c r="E412" s="216"/>
      <c r="F412" s="216"/>
      <c r="G412" s="216"/>
      <c r="H412" s="181" t="s">
        <v>395</v>
      </c>
      <c r="I412" s="104"/>
    </row>
    <row r="413" customFormat="false" ht="15.5" hidden="false" customHeight="true" outlineLevel="0" collapsed="false">
      <c r="A413" s="240" t="s">
        <v>436</v>
      </c>
      <c r="B413" s="134"/>
      <c r="C413" s="134"/>
      <c r="D413" s="128"/>
      <c r="E413" s="216"/>
      <c r="F413" s="216"/>
      <c r="G413" s="216"/>
      <c r="H413" s="237" t="s">
        <v>399</v>
      </c>
      <c r="I413" s="104"/>
    </row>
    <row r="414" customFormat="false" ht="15.5" hidden="false" customHeight="true" outlineLevel="0" collapsed="false">
      <c r="A414" s="244" t="s">
        <v>437</v>
      </c>
      <c r="B414" s="134"/>
      <c r="C414" s="134"/>
      <c r="D414" s="128"/>
      <c r="E414" s="216"/>
      <c r="F414" s="216"/>
      <c r="G414" s="216"/>
      <c r="H414" s="237"/>
      <c r="I414" s="104"/>
    </row>
    <row r="415" customFormat="false" ht="15.5" hidden="false" customHeight="true" outlineLevel="0" collapsed="false">
      <c r="A415" s="198"/>
      <c r="B415" s="134"/>
      <c r="C415" s="134"/>
      <c r="D415" s="128"/>
      <c r="E415" s="216"/>
      <c r="F415" s="216"/>
      <c r="G415" s="216"/>
      <c r="H415" s="216"/>
      <c r="I415" s="104"/>
    </row>
    <row r="416" customFormat="false" ht="15.5" hidden="false" customHeight="true" outlineLevel="0" collapsed="false">
      <c r="A416" s="198"/>
      <c r="B416" s="134"/>
      <c r="C416" s="134"/>
      <c r="D416" s="128"/>
      <c r="E416" s="216"/>
      <c r="F416" s="216"/>
      <c r="G416" s="216"/>
      <c r="H416" s="216"/>
      <c r="I416" s="104"/>
    </row>
    <row r="417" customFormat="false" ht="15.5" hidden="false" customHeight="true" outlineLevel="0" collapsed="false">
      <c r="A417" s="198"/>
      <c r="B417" s="134"/>
      <c r="C417" s="134"/>
      <c r="D417" s="128"/>
      <c r="E417" s="216"/>
      <c r="F417" s="216"/>
      <c r="G417" s="216"/>
      <c r="H417" s="216"/>
      <c r="I417" s="104"/>
    </row>
    <row r="418" customFormat="false" ht="15.5" hidden="false" customHeight="true" outlineLevel="0" collapsed="false">
      <c r="A418" s="198"/>
      <c r="B418" s="134"/>
      <c r="C418" s="134"/>
      <c r="D418" s="128"/>
      <c r="E418" s="216"/>
      <c r="F418" s="216"/>
      <c r="G418" s="216"/>
      <c r="H418" s="216"/>
      <c r="I418" s="104"/>
    </row>
    <row r="419" customFormat="false" ht="15.5" hidden="false" customHeight="true" outlineLevel="0" collapsed="false">
      <c r="A419" s="78"/>
      <c r="B419" s="104"/>
      <c r="C419" s="104"/>
      <c r="D419" s="104"/>
      <c r="E419" s="104"/>
      <c r="F419" s="104"/>
      <c r="G419" s="104"/>
      <c r="H419" s="104"/>
      <c r="I419" s="104"/>
    </row>
    <row r="420" customFormat="false" ht="15.5" hidden="false" customHeight="true" outlineLevel="0" collapsed="false">
      <c r="A420" s="78"/>
      <c r="B420" s="202" t="s">
        <v>438</v>
      </c>
      <c r="C420" s="202"/>
      <c r="D420" s="202"/>
      <c r="E420" s="202"/>
      <c r="F420" s="202"/>
      <c r="G420" s="203" t="s">
        <v>242</v>
      </c>
      <c r="H420" s="203" t="s">
        <v>243</v>
      </c>
      <c r="I420" s="104"/>
    </row>
    <row r="421" customFormat="false" ht="15.5" hidden="false" customHeight="true" outlineLevel="0" collapsed="false">
      <c r="A421" s="78"/>
      <c r="B421" s="202"/>
      <c r="C421" s="202"/>
      <c r="D421" s="202"/>
      <c r="E421" s="202"/>
      <c r="F421" s="202"/>
      <c r="G421" s="204"/>
      <c r="H421" s="204"/>
      <c r="I421" s="104"/>
    </row>
    <row r="422" customFormat="false" ht="15.5" hidden="false" customHeight="true" outlineLevel="0" collapsed="false">
      <c r="A422" s="78"/>
      <c r="B422" s="202"/>
      <c r="C422" s="202"/>
      <c r="D422" s="202"/>
      <c r="E422" s="202"/>
      <c r="F422" s="202"/>
      <c r="G422" s="104"/>
      <c r="H422" s="104"/>
      <c r="I422" s="104"/>
    </row>
    <row r="423" customFormat="false" ht="15.5" hidden="false" customHeight="true" outlineLevel="0" collapsed="false">
      <c r="A423" s="78"/>
      <c r="C423" s="201"/>
      <c r="D423" s="201"/>
      <c r="E423" s="201"/>
      <c r="F423" s="201"/>
      <c r="G423" s="104"/>
      <c r="H423" s="104"/>
      <c r="I423" s="104"/>
    </row>
    <row r="424" customFormat="false" ht="15.5" hidden="false" customHeight="true" outlineLevel="0" collapsed="false">
      <c r="A424" s="78" t="s">
        <v>216</v>
      </c>
      <c r="B424" s="202" t="s">
        <v>439</v>
      </c>
      <c r="C424" s="202"/>
      <c r="D424" s="202"/>
      <c r="E424" s="202"/>
      <c r="F424" s="202"/>
      <c r="G424" s="100"/>
      <c r="H424" s="100"/>
      <c r="I424" s="104"/>
    </row>
    <row r="425" customFormat="false" ht="15.5" hidden="false" customHeight="true" outlineLevel="0" collapsed="false">
      <c r="A425" s="78"/>
      <c r="B425" s="245" t="s">
        <v>361</v>
      </c>
      <c r="C425" s="100"/>
      <c r="D425" s="100"/>
      <c r="E425" s="100"/>
      <c r="F425" s="100"/>
      <c r="G425" s="83"/>
      <c r="H425" s="83"/>
      <c r="I425" s="104"/>
    </row>
    <row r="426" customFormat="false" ht="15.5" hidden="false" customHeight="true" outlineLevel="0" collapsed="false">
      <c r="A426" s="78"/>
      <c r="B426" s="104"/>
      <c r="C426" s="100"/>
      <c r="D426" s="100"/>
      <c r="E426" s="100"/>
      <c r="F426" s="100"/>
      <c r="G426" s="83"/>
      <c r="H426" s="83"/>
      <c r="I426" s="104"/>
    </row>
    <row r="427" customFormat="false" ht="15.5" hidden="false" customHeight="true" outlineLevel="0" collapsed="false">
      <c r="A427" s="78"/>
      <c r="B427" s="104"/>
      <c r="C427" s="104"/>
      <c r="D427" s="104"/>
      <c r="E427" s="104"/>
      <c r="F427" s="104"/>
      <c r="G427" s="203" t="s">
        <v>242</v>
      </c>
      <c r="H427" s="203" t="s">
        <v>243</v>
      </c>
      <c r="I427" s="104"/>
    </row>
    <row r="428" customFormat="false" ht="15.5" hidden="false" customHeight="true" outlineLevel="0" collapsed="false">
      <c r="A428" s="78" t="s">
        <v>216</v>
      </c>
      <c r="B428" s="246" t="s">
        <v>440</v>
      </c>
      <c r="C428" s="246"/>
      <c r="D428" s="246"/>
      <c r="E428" s="246"/>
      <c r="F428" s="246"/>
      <c r="G428" s="204"/>
      <c r="H428" s="204"/>
      <c r="I428" s="104"/>
    </row>
    <row r="429" customFormat="false" ht="15.5" hidden="false" customHeight="true" outlineLevel="0" collapsed="false">
      <c r="A429" s="200" t="s">
        <v>441</v>
      </c>
      <c r="B429" s="200"/>
      <c r="C429" s="200"/>
      <c r="D429" s="104"/>
      <c r="E429" s="104"/>
      <c r="F429" s="104"/>
      <c r="G429" s="104"/>
      <c r="H429" s="104"/>
      <c r="I429" s="104"/>
    </row>
    <row r="430" customFormat="false" ht="15.5" hidden="false" customHeight="true" outlineLevel="0" collapsed="false">
      <c r="A430" s="78"/>
      <c r="B430" s="104"/>
      <c r="C430" s="104"/>
      <c r="D430" s="104"/>
      <c r="E430" s="104"/>
      <c r="F430" s="104"/>
      <c r="G430" s="104"/>
      <c r="H430" s="104"/>
      <c r="I430" s="104"/>
    </row>
    <row r="431" customFormat="false" ht="15.5" hidden="false" customHeight="true" outlineLevel="0" collapsed="false">
      <c r="A431" s="78" t="s">
        <v>240</v>
      </c>
      <c r="B431" s="202" t="s">
        <v>442</v>
      </c>
      <c r="C431" s="202"/>
      <c r="D431" s="202"/>
      <c r="E431" s="202"/>
      <c r="F431" s="202"/>
      <c r="G431" s="203" t="s">
        <v>242</v>
      </c>
      <c r="H431" s="203" t="s">
        <v>243</v>
      </c>
      <c r="I431" s="104"/>
    </row>
    <row r="432" customFormat="false" ht="15" hidden="false" customHeight="true" outlineLevel="0" collapsed="false">
      <c r="A432" s="78"/>
      <c r="B432" s="202"/>
      <c r="C432" s="202"/>
      <c r="D432" s="202"/>
      <c r="E432" s="202"/>
      <c r="F432" s="202"/>
      <c r="G432" s="171"/>
      <c r="H432" s="171"/>
      <c r="I432" s="104"/>
    </row>
    <row r="433" customFormat="false" ht="15" hidden="false" customHeight="true" outlineLevel="0" collapsed="false">
      <c r="A433" s="78"/>
      <c r="B433" s="202"/>
      <c r="C433" s="202"/>
      <c r="D433" s="202"/>
      <c r="E433" s="202"/>
      <c r="F433" s="202"/>
      <c r="G433" s="171"/>
      <c r="H433" s="171"/>
      <c r="I433" s="104"/>
    </row>
    <row r="434" customFormat="false" ht="15.5" hidden="false" customHeight="true" outlineLevel="0" collapsed="false">
      <c r="A434" s="78"/>
      <c r="B434" s="247" t="s">
        <v>443</v>
      </c>
      <c r="C434" s="201"/>
      <c r="D434" s="201"/>
      <c r="E434" s="201"/>
      <c r="F434" s="201"/>
      <c r="I434" s="104"/>
    </row>
    <row r="435" customFormat="false" ht="15.5" hidden="false" customHeight="true" outlineLevel="0" collapsed="false">
      <c r="A435" s="78"/>
      <c r="C435" s="201"/>
      <c r="D435" s="201"/>
      <c r="E435" s="201"/>
      <c r="F435" s="201"/>
      <c r="G435" s="104"/>
      <c r="H435" s="104"/>
      <c r="I435" s="104"/>
    </row>
    <row r="436" customFormat="false" ht="15.5" hidden="false" customHeight="true" outlineLevel="0" collapsed="false">
      <c r="A436" s="78" t="s">
        <v>240</v>
      </c>
      <c r="B436" s="202" t="s">
        <v>444</v>
      </c>
      <c r="C436" s="202"/>
      <c r="D436" s="202"/>
      <c r="E436" s="202"/>
      <c r="F436" s="202"/>
      <c r="G436" s="203" t="s">
        <v>242</v>
      </c>
      <c r="H436" s="203" t="s">
        <v>243</v>
      </c>
      <c r="I436" s="104"/>
    </row>
    <row r="437" customFormat="false" ht="15.5" hidden="false" customHeight="true" outlineLevel="0" collapsed="false">
      <c r="B437" s="202"/>
      <c r="C437" s="202"/>
      <c r="D437" s="202"/>
      <c r="E437" s="202"/>
      <c r="F437" s="202"/>
      <c r="G437" s="204"/>
      <c r="H437" s="204"/>
      <c r="I437" s="104"/>
    </row>
    <row r="438" customFormat="false" ht="15.5" hidden="false" customHeight="true" outlineLevel="0" collapsed="false">
      <c r="A438" s="78"/>
      <c r="B438" s="247" t="s">
        <v>445</v>
      </c>
      <c r="C438" s="201"/>
      <c r="D438" s="201"/>
      <c r="E438" s="201"/>
      <c r="F438" s="104"/>
      <c r="G438" s="104"/>
      <c r="H438" s="104"/>
      <c r="I438" s="104"/>
    </row>
    <row r="440" customFormat="false" ht="15.5" hidden="false" customHeight="true" outlineLevel="0" collapsed="false">
      <c r="A440" s="78" t="s">
        <v>240</v>
      </c>
      <c r="B440" s="221" t="s">
        <v>446</v>
      </c>
      <c r="C440" s="221"/>
      <c r="D440" s="221"/>
      <c r="E440" s="104"/>
      <c r="F440" s="104"/>
      <c r="G440" s="104"/>
      <c r="H440" s="104"/>
      <c r="I440" s="104"/>
    </row>
    <row r="441" customFormat="false" ht="15.5" hidden="false" customHeight="true" outlineLevel="0" collapsed="false">
      <c r="A441" s="78"/>
      <c r="B441" s="181" t="s">
        <v>447</v>
      </c>
      <c r="C441" s="181"/>
      <c r="D441" s="181"/>
      <c r="E441" s="181"/>
      <c r="F441" s="181" t="s">
        <v>448</v>
      </c>
      <c r="G441" s="104"/>
      <c r="H441" s="104"/>
      <c r="I441" s="104"/>
    </row>
    <row r="442" customFormat="false" ht="15.5" hidden="false" customHeight="true" outlineLevel="0" collapsed="false">
      <c r="A442" s="78"/>
      <c r="B442" s="232"/>
      <c r="C442" s="232"/>
      <c r="D442" s="232"/>
      <c r="E442" s="232"/>
      <c r="F442" s="248"/>
      <c r="G442" s="104"/>
      <c r="H442" s="104"/>
      <c r="I442" s="104"/>
    </row>
    <row r="443" customFormat="false" ht="15.5" hidden="false" customHeight="true" outlineLevel="0" collapsed="false">
      <c r="A443" s="78"/>
      <c r="B443" s="232"/>
      <c r="C443" s="232"/>
      <c r="D443" s="232"/>
      <c r="E443" s="232"/>
      <c r="F443" s="248"/>
      <c r="G443" s="104"/>
      <c r="H443" s="104"/>
      <c r="I443" s="104"/>
    </row>
    <row r="444" customFormat="false" ht="15.5" hidden="false" customHeight="true" outlineLevel="0" collapsed="false">
      <c r="A444" s="78"/>
      <c r="B444" s="232"/>
      <c r="C444" s="232"/>
      <c r="D444" s="232"/>
      <c r="E444" s="232"/>
      <c r="F444" s="248"/>
      <c r="G444" s="104"/>
      <c r="H444" s="104"/>
      <c r="I444" s="104"/>
    </row>
    <row r="445" customFormat="false" ht="15.5" hidden="false" customHeight="true" outlineLevel="0" collapsed="false">
      <c r="A445" s="78"/>
      <c r="B445" s="232"/>
      <c r="C445" s="232"/>
      <c r="D445" s="232"/>
      <c r="E445" s="232"/>
      <c r="F445" s="248"/>
      <c r="G445" s="104"/>
      <c r="H445" s="104"/>
      <c r="I445" s="104"/>
    </row>
    <row r="446" customFormat="false" ht="15.5" hidden="false" customHeight="true" outlineLevel="0" collapsed="false">
      <c r="A446" s="78"/>
      <c r="B446" s="232"/>
      <c r="C446" s="232"/>
      <c r="D446" s="232"/>
      <c r="E446" s="232"/>
      <c r="F446" s="248"/>
      <c r="G446" s="104"/>
      <c r="H446" s="104"/>
      <c r="I446" s="104"/>
    </row>
    <row r="447" customFormat="false" ht="15.5" hidden="false" customHeight="true" outlineLevel="0" collapsed="false">
      <c r="A447" s="78"/>
      <c r="B447" s="232"/>
      <c r="C447" s="232"/>
      <c r="D447" s="232"/>
      <c r="E447" s="232"/>
      <c r="F447" s="248"/>
      <c r="G447" s="104"/>
      <c r="H447" s="104"/>
      <c r="I447" s="104"/>
    </row>
    <row r="448" customFormat="false" ht="15.5" hidden="false" customHeight="true" outlineLevel="0" collapsed="false">
      <c r="A448" s="78"/>
      <c r="B448" s="104"/>
      <c r="C448" s="104"/>
      <c r="D448" s="104"/>
      <c r="E448" s="104"/>
      <c r="F448" s="104"/>
      <c r="G448" s="104"/>
      <c r="H448" s="104"/>
      <c r="I448" s="104"/>
    </row>
    <row r="449" customFormat="false" ht="15.5" hidden="false" customHeight="true" outlineLevel="0" collapsed="false">
      <c r="A449" s="78"/>
      <c r="B449" s="221" t="s">
        <v>449</v>
      </c>
      <c r="C449" s="221"/>
      <c r="D449" s="104"/>
      <c r="E449" s="104"/>
      <c r="F449" s="104"/>
      <c r="G449" s="104"/>
      <c r="H449" s="104"/>
      <c r="I449" s="104"/>
    </row>
    <row r="450" customFormat="false" ht="15.5" hidden="false" customHeight="true" outlineLevel="0" collapsed="false">
      <c r="A450" s="78" t="s">
        <v>450</v>
      </c>
      <c r="B450" s="202" t="s">
        <v>451</v>
      </c>
      <c r="C450" s="202"/>
      <c r="D450" s="202"/>
      <c r="E450" s="202"/>
      <c r="F450" s="100"/>
      <c r="G450" s="100"/>
      <c r="H450" s="104"/>
      <c r="I450" s="104"/>
    </row>
    <row r="451" customFormat="false" ht="15.5" hidden="false" customHeight="true" outlineLevel="0" collapsed="false">
      <c r="A451" s="78"/>
      <c r="B451" s="249"/>
      <c r="C451" s="249"/>
      <c r="D451" s="250"/>
      <c r="E451" s="251"/>
      <c r="F451" s="252"/>
      <c r="G451" s="104"/>
      <c r="H451" s="104"/>
      <c r="I451" s="104"/>
    </row>
    <row r="452" customFormat="false" ht="15.5" hidden="false" customHeight="true" outlineLevel="0" collapsed="false">
      <c r="A452" s="78"/>
      <c r="B452" s="253" t="s">
        <v>452</v>
      </c>
      <c r="C452" s="253"/>
      <c r="D452" s="253"/>
      <c r="E452" s="204"/>
      <c r="F452" s="104" t="s">
        <v>453</v>
      </c>
      <c r="G452" s="104"/>
      <c r="H452" s="104"/>
      <c r="I452" s="104"/>
    </row>
    <row r="453" customFormat="false" ht="15.5" hidden="false" customHeight="true" outlineLevel="0" collapsed="false">
      <c r="A453" s="78"/>
      <c r="B453" s="104"/>
      <c r="C453" s="104"/>
      <c r="D453" s="104"/>
      <c r="E453" s="204"/>
      <c r="F453" s="104" t="s">
        <v>454</v>
      </c>
      <c r="G453" s="104"/>
      <c r="H453" s="104"/>
      <c r="I453" s="104"/>
    </row>
    <row r="454" customFormat="false" ht="15.5" hidden="false" customHeight="true" outlineLevel="0" collapsed="false">
      <c r="A454" s="78"/>
      <c r="B454" s="104"/>
      <c r="C454" s="104"/>
      <c r="D454" s="104"/>
      <c r="E454" s="204"/>
      <c r="F454" s="104" t="s">
        <v>455</v>
      </c>
      <c r="G454" s="104"/>
      <c r="H454" s="104"/>
      <c r="I454" s="104"/>
    </row>
    <row r="455" customFormat="false" ht="15.5" hidden="false" customHeight="true" outlineLevel="0" collapsed="false">
      <c r="A455" s="78"/>
      <c r="B455" s="104"/>
      <c r="C455" s="104"/>
      <c r="D455" s="104"/>
      <c r="E455" s="104"/>
      <c r="F455" s="104"/>
      <c r="G455" s="104"/>
      <c r="H455" s="104"/>
      <c r="I455" s="104"/>
    </row>
    <row r="456" customFormat="false" ht="15.5" hidden="false" customHeight="true" outlineLevel="0" collapsed="false">
      <c r="B456" s="221" t="s">
        <v>95</v>
      </c>
      <c r="C456" s="221"/>
      <c r="D456" s="78"/>
      <c r="E456" s="78"/>
      <c r="F456" s="104"/>
      <c r="G456" s="104"/>
      <c r="H456" s="104"/>
      <c r="I456" s="104"/>
    </row>
    <row r="457" customFormat="false" ht="15.5" hidden="false" customHeight="true" outlineLevel="0" collapsed="false">
      <c r="A457" s="78" t="s">
        <v>240</v>
      </c>
      <c r="B457" s="202" t="s">
        <v>456</v>
      </c>
      <c r="C457" s="202"/>
      <c r="D457" s="202"/>
      <c r="E457" s="202"/>
      <c r="F457" s="254"/>
      <c r="G457" s="100"/>
      <c r="H457" s="100"/>
      <c r="I457" s="104"/>
    </row>
    <row r="458" customFormat="false" ht="15.5" hidden="false" customHeight="true" outlineLevel="0" collapsed="false">
      <c r="A458" s="78"/>
      <c r="B458" s="104"/>
      <c r="C458" s="104"/>
      <c r="D458" s="104"/>
      <c r="E458" s="104"/>
      <c r="F458" s="104"/>
      <c r="G458" s="104"/>
      <c r="H458" s="104"/>
      <c r="I458" s="104"/>
    </row>
    <row r="459" customFormat="false" ht="15.5" hidden="false" customHeight="true" outlineLevel="0" collapsed="false">
      <c r="A459" s="78"/>
      <c r="B459" s="255" t="s">
        <v>457</v>
      </c>
      <c r="C459" s="255"/>
      <c r="D459" s="255"/>
      <c r="E459" s="255"/>
      <c r="F459" s="255"/>
      <c r="G459" s="203" t="s">
        <v>242</v>
      </c>
      <c r="H459" s="203" t="s">
        <v>243</v>
      </c>
      <c r="I459" s="104"/>
    </row>
    <row r="460" customFormat="false" ht="15.5" hidden="false" customHeight="true" outlineLevel="0" collapsed="false">
      <c r="A460" s="78"/>
      <c r="B460" s="255"/>
      <c r="C460" s="255"/>
      <c r="D460" s="255"/>
      <c r="E460" s="255"/>
      <c r="F460" s="255"/>
      <c r="G460" s="204"/>
      <c r="H460" s="204"/>
      <c r="I460" s="104"/>
    </row>
    <row r="461" customFormat="false" ht="15.5" hidden="false" customHeight="true" outlineLevel="0" collapsed="false">
      <c r="A461" s="78"/>
      <c r="B461" s="202"/>
      <c r="C461" s="202"/>
      <c r="D461" s="202"/>
      <c r="E461" s="202"/>
      <c r="F461" s="202"/>
      <c r="G461" s="104"/>
      <c r="H461" s="104"/>
      <c r="I461" s="104"/>
    </row>
    <row r="462" customFormat="false" ht="15.5" hidden="false" customHeight="true" outlineLevel="0" collapsed="false">
      <c r="A462" s="78"/>
      <c r="B462" s="202" t="s">
        <v>458</v>
      </c>
      <c r="C462" s="202"/>
      <c r="D462" s="202"/>
      <c r="E462" s="202"/>
      <c r="F462" s="202"/>
      <c r="G462" s="203" t="s">
        <v>242</v>
      </c>
      <c r="H462" s="203" t="s">
        <v>243</v>
      </c>
      <c r="I462" s="104"/>
    </row>
    <row r="463" customFormat="false" ht="15.5" hidden="false" customHeight="true" outlineLevel="0" collapsed="false">
      <c r="A463" s="78"/>
      <c r="B463" s="202"/>
      <c r="C463" s="202"/>
      <c r="D463" s="202"/>
      <c r="E463" s="202"/>
      <c r="F463" s="202"/>
      <c r="G463" s="204"/>
      <c r="H463" s="204"/>
      <c r="I463" s="104"/>
    </row>
    <row r="464" customFormat="false" ht="15.5" hidden="false" customHeight="true" outlineLevel="0" collapsed="false">
      <c r="A464" s="78"/>
      <c r="B464" s="104"/>
      <c r="C464" s="104"/>
      <c r="D464" s="104"/>
      <c r="E464" s="104"/>
      <c r="F464" s="104"/>
      <c r="G464" s="104"/>
      <c r="H464" s="104"/>
      <c r="I464" s="104"/>
    </row>
    <row r="465" customFormat="false" ht="15.5" hidden="false" customHeight="true" outlineLevel="0" collapsed="false">
      <c r="A465" s="78" t="s">
        <v>450</v>
      </c>
      <c r="B465" s="202" t="s">
        <v>459</v>
      </c>
      <c r="C465" s="202"/>
      <c r="D465" s="202"/>
      <c r="E465" s="202"/>
      <c r="F465" s="100"/>
      <c r="G465" s="100"/>
      <c r="H465" s="104"/>
      <c r="I465" s="104"/>
    </row>
    <row r="466" customFormat="false" ht="15.5" hidden="false" customHeight="true" outlineLevel="0" collapsed="false">
      <c r="A466" s="78"/>
      <c r="B466" s="249"/>
      <c r="C466" s="249"/>
      <c r="D466" s="250"/>
      <c r="E466" s="251"/>
      <c r="F466" s="252"/>
      <c r="G466" s="104"/>
      <c r="H466" s="104"/>
      <c r="I466" s="104"/>
    </row>
    <row r="467" customFormat="false" ht="15.5" hidden="false" customHeight="true" outlineLevel="0" collapsed="false">
      <c r="A467" s="78"/>
      <c r="B467" s="253" t="s">
        <v>452</v>
      </c>
      <c r="C467" s="253"/>
      <c r="D467" s="253"/>
      <c r="E467" s="204"/>
      <c r="F467" s="104" t="s">
        <v>453</v>
      </c>
      <c r="G467" s="104"/>
      <c r="H467" s="104"/>
      <c r="I467" s="104"/>
    </row>
    <row r="468" customFormat="false" ht="15.5" hidden="false" customHeight="true" outlineLevel="0" collapsed="false">
      <c r="A468" s="78"/>
      <c r="B468" s="104"/>
      <c r="C468" s="104"/>
      <c r="D468" s="104"/>
      <c r="E468" s="204"/>
      <c r="F468" s="104" t="s">
        <v>454</v>
      </c>
      <c r="G468" s="104"/>
      <c r="H468" s="104"/>
      <c r="I468" s="104"/>
    </row>
    <row r="469" customFormat="false" ht="15.5" hidden="false" customHeight="true" outlineLevel="0" collapsed="false">
      <c r="A469" s="78"/>
      <c r="B469" s="104"/>
      <c r="C469" s="104"/>
      <c r="D469" s="104"/>
      <c r="E469" s="204"/>
      <c r="F469" s="104" t="s">
        <v>455</v>
      </c>
      <c r="G469" s="104"/>
      <c r="H469" s="104"/>
      <c r="I469" s="104"/>
    </row>
    <row r="470" customFormat="false" ht="15.5" hidden="false" customHeight="true" outlineLevel="0" collapsed="false">
      <c r="A470" s="78"/>
      <c r="B470" s="104"/>
      <c r="C470" s="104"/>
      <c r="D470" s="104"/>
      <c r="E470" s="104"/>
      <c r="F470" s="104"/>
      <c r="G470" s="104"/>
      <c r="H470" s="104"/>
      <c r="I470" s="104"/>
    </row>
    <row r="471" customFormat="false" ht="15.5" hidden="false" customHeight="true" outlineLevel="0" collapsed="false">
      <c r="A471" s="78"/>
      <c r="B471" s="221" t="s">
        <v>97</v>
      </c>
      <c r="C471" s="221"/>
      <c r="D471" s="104"/>
      <c r="E471" s="104"/>
      <c r="F471" s="104"/>
      <c r="G471" s="104"/>
      <c r="H471" s="104"/>
      <c r="I471" s="104"/>
    </row>
    <row r="472" customFormat="false" ht="15.5" hidden="false" customHeight="true" outlineLevel="0" collapsed="false">
      <c r="A472" s="78" t="s">
        <v>460</v>
      </c>
      <c r="B472" s="256" t="s">
        <v>461</v>
      </c>
      <c r="C472" s="256"/>
      <c r="D472" s="256"/>
      <c r="E472" s="256"/>
      <c r="F472" s="256"/>
      <c r="G472" s="100"/>
      <c r="H472" s="100"/>
      <c r="I472" s="104"/>
    </row>
    <row r="473" customFormat="false" ht="15.5" hidden="false" customHeight="true" outlineLevel="0" collapsed="false">
      <c r="A473" s="78"/>
      <c r="B473" s="202" t="s">
        <v>462</v>
      </c>
      <c r="C473" s="202"/>
      <c r="D473" s="202"/>
      <c r="E473" s="202"/>
      <c r="F473" s="202"/>
      <c r="G473" s="203" t="s">
        <v>242</v>
      </c>
      <c r="H473" s="203" t="s">
        <v>243</v>
      </c>
      <c r="I473" s="104"/>
    </row>
    <row r="474" customFormat="false" ht="15.5" hidden="false" customHeight="true" outlineLevel="0" collapsed="false">
      <c r="A474" s="78"/>
      <c r="B474" s="202"/>
      <c r="C474" s="202"/>
      <c r="D474" s="202"/>
      <c r="E474" s="202"/>
      <c r="F474" s="202"/>
      <c r="G474" s="204"/>
      <c r="H474" s="204"/>
      <c r="I474" s="104"/>
    </row>
    <row r="475" customFormat="false" ht="15.5" hidden="false" customHeight="true" outlineLevel="0" collapsed="false">
      <c r="A475" s="78"/>
      <c r="B475" s="202"/>
      <c r="C475" s="202"/>
      <c r="D475" s="202"/>
      <c r="E475" s="202"/>
      <c r="F475" s="202"/>
      <c r="G475" s="202"/>
      <c r="H475" s="202"/>
      <c r="I475" s="104"/>
    </row>
    <row r="476" customFormat="false" ht="15.5" hidden="false" customHeight="true" outlineLevel="0" collapsed="false">
      <c r="A476" s="78" t="s">
        <v>460</v>
      </c>
      <c r="B476" s="202" t="s">
        <v>463</v>
      </c>
      <c r="C476" s="202"/>
      <c r="D476" s="202"/>
      <c r="E476" s="202"/>
      <c r="F476" s="202"/>
      <c r="G476" s="203" t="s">
        <v>242</v>
      </c>
      <c r="H476" s="203" t="s">
        <v>243</v>
      </c>
      <c r="I476" s="104"/>
    </row>
    <row r="477" customFormat="false" ht="15.5" hidden="false" customHeight="true" outlineLevel="0" collapsed="false">
      <c r="A477" s="78"/>
      <c r="B477" s="202"/>
      <c r="C477" s="202"/>
      <c r="D477" s="202"/>
      <c r="E477" s="202"/>
      <c r="F477" s="202"/>
      <c r="G477" s="204"/>
      <c r="H477" s="204"/>
      <c r="I477" s="104"/>
    </row>
    <row r="478" customFormat="false" ht="15.5" hidden="false" customHeight="true" outlineLevel="0" collapsed="false">
      <c r="A478" s="78" t="s">
        <v>240</v>
      </c>
      <c r="B478" s="202" t="s">
        <v>464</v>
      </c>
      <c r="C478" s="202"/>
      <c r="D478" s="202"/>
      <c r="E478" s="202"/>
      <c r="F478" s="202"/>
      <c r="G478" s="100"/>
      <c r="H478" s="100"/>
      <c r="I478" s="104"/>
    </row>
    <row r="479" customFormat="false" ht="15.5" hidden="false" customHeight="true" outlineLevel="0" collapsed="false">
      <c r="A479" s="78"/>
      <c r="B479" s="257"/>
      <c r="C479" s="257"/>
      <c r="D479" s="257"/>
      <c r="E479" s="257"/>
      <c r="F479" s="257"/>
      <c r="G479" s="203" t="s">
        <v>242</v>
      </c>
      <c r="H479" s="203" t="s">
        <v>243</v>
      </c>
      <c r="I479" s="104"/>
    </row>
    <row r="480" customFormat="false" ht="15.5" hidden="false" customHeight="true" outlineLevel="0" collapsed="false">
      <c r="A480" s="78"/>
      <c r="B480" s="202" t="s">
        <v>465</v>
      </c>
      <c r="C480" s="202"/>
      <c r="D480" s="202"/>
      <c r="E480" s="202"/>
      <c r="F480" s="202"/>
      <c r="G480" s="204"/>
      <c r="H480" s="204"/>
      <c r="I480" s="104"/>
    </row>
    <row r="481" customFormat="false" ht="15.5" hidden="false" customHeight="true" outlineLevel="0" collapsed="false">
      <c r="A481" s="78"/>
      <c r="B481" s="104"/>
      <c r="C481" s="104"/>
      <c r="D481" s="104"/>
      <c r="E481" s="104"/>
      <c r="F481" s="104"/>
      <c r="G481" s="104"/>
      <c r="H481" s="104"/>
      <c r="I481" s="104"/>
    </row>
    <row r="482" customFormat="false" ht="15.5" hidden="false" customHeight="true" outlineLevel="0" collapsed="false">
      <c r="A482" s="78" t="s">
        <v>450</v>
      </c>
      <c r="B482" s="202" t="s">
        <v>466</v>
      </c>
      <c r="C482" s="202"/>
      <c r="D482" s="202"/>
      <c r="E482" s="202"/>
      <c r="F482" s="202"/>
      <c r="G482" s="101"/>
      <c r="H482" s="78"/>
      <c r="I482" s="104"/>
    </row>
    <row r="483" customFormat="false" ht="15.5" hidden="false" customHeight="true" outlineLevel="0" collapsed="false">
      <c r="A483" s="78"/>
      <c r="B483" s="202"/>
      <c r="C483" s="202"/>
      <c r="D483" s="202"/>
      <c r="E483" s="202"/>
      <c r="F483" s="202"/>
      <c r="G483" s="100"/>
      <c r="H483" s="100"/>
      <c r="I483" s="104"/>
    </row>
    <row r="484" customFormat="false" ht="15.5" hidden="false" customHeight="true" outlineLevel="0" collapsed="false">
      <c r="A484" s="78"/>
      <c r="B484" s="202" t="s">
        <v>467</v>
      </c>
      <c r="C484" s="202"/>
      <c r="D484" s="202"/>
      <c r="E484" s="202"/>
      <c r="F484" s="202"/>
      <c r="G484" s="203" t="s">
        <v>242</v>
      </c>
      <c r="H484" s="203" t="s">
        <v>243</v>
      </c>
      <c r="I484" s="104"/>
    </row>
    <row r="485" customFormat="false" ht="15.5" hidden="false" customHeight="true" outlineLevel="0" collapsed="false">
      <c r="A485" s="78"/>
      <c r="B485" s="202"/>
      <c r="C485" s="202"/>
      <c r="D485" s="202"/>
      <c r="E485" s="202"/>
      <c r="F485" s="202"/>
      <c r="G485" s="204"/>
      <c r="H485" s="204"/>
      <c r="I485" s="104"/>
    </row>
    <row r="486" customFormat="false" ht="15.5" hidden="false" customHeight="true" outlineLevel="0" collapsed="false">
      <c r="A486" s="78"/>
      <c r="B486" s="202" t="s">
        <v>468</v>
      </c>
      <c r="C486" s="202"/>
      <c r="D486" s="202"/>
      <c r="E486" s="202"/>
      <c r="F486" s="202"/>
      <c r="I486" s="104"/>
    </row>
    <row r="487" customFormat="false" ht="15.5" hidden="false" customHeight="true" outlineLevel="0" collapsed="false">
      <c r="A487" s="78"/>
      <c r="B487" s="202"/>
      <c r="C487" s="202"/>
      <c r="D487" s="202"/>
      <c r="E487" s="202"/>
      <c r="F487" s="202"/>
      <c r="G487" s="204"/>
      <c r="H487" s="204"/>
      <c r="I487" s="104"/>
    </row>
    <row r="488" customFormat="false" ht="15.5" hidden="false" customHeight="true" outlineLevel="0" collapsed="false">
      <c r="A488" s="78"/>
      <c r="B488" s="202"/>
      <c r="C488" s="202"/>
      <c r="D488" s="202"/>
      <c r="E488" s="202"/>
      <c r="F488" s="202"/>
      <c r="I488" s="104"/>
    </row>
    <row r="489" customFormat="false" ht="15.5" hidden="false" customHeight="true" outlineLevel="0" collapsed="false">
      <c r="A489" s="78" t="s">
        <v>469</v>
      </c>
      <c r="B489" s="202" t="s">
        <v>470</v>
      </c>
      <c r="C489" s="202"/>
      <c r="D489" s="202"/>
      <c r="E489" s="202"/>
      <c r="F489" s="202"/>
      <c r="G489" s="203" t="s">
        <v>242</v>
      </c>
      <c r="H489" s="203" t="s">
        <v>243</v>
      </c>
      <c r="I489" s="104"/>
    </row>
    <row r="490" customFormat="false" ht="15.5" hidden="false" customHeight="true" outlineLevel="0" collapsed="false">
      <c r="A490" s="78"/>
      <c r="B490" s="202"/>
      <c r="C490" s="202"/>
      <c r="D490" s="202"/>
      <c r="E490" s="202"/>
      <c r="F490" s="202"/>
      <c r="G490" s="204"/>
      <c r="H490" s="204"/>
      <c r="I490" s="104"/>
    </row>
    <row r="491" customFormat="false" ht="15.5" hidden="false" customHeight="true" outlineLevel="0" collapsed="false">
      <c r="I491" s="104"/>
    </row>
    <row r="492" customFormat="false" ht="15.5" hidden="false" customHeight="true" outlineLevel="0" collapsed="false">
      <c r="A492" s="200" t="s">
        <v>471</v>
      </c>
      <c r="B492" s="200"/>
      <c r="C492" s="200"/>
      <c r="D492" s="78"/>
      <c r="E492" s="78"/>
      <c r="F492" s="78"/>
      <c r="G492" s="78"/>
      <c r="H492" s="78"/>
      <c r="I492" s="104"/>
    </row>
    <row r="493" customFormat="false" ht="15.5" hidden="false" customHeight="true" outlineLevel="0" collapsed="false">
      <c r="A493" s="78" t="s">
        <v>472</v>
      </c>
      <c r="B493" s="202" t="s">
        <v>473</v>
      </c>
      <c r="C493" s="202"/>
      <c r="D493" s="202"/>
      <c r="E493" s="202"/>
      <c r="F493" s="202"/>
      <c r="G493" s="104"/>
      <c r="H493" s="104"/>
      <c r="I493" s="104"/>
    </row>
    <row r="494" customFormat="false" ht="15.5" hidden="false" customHeight="true" outlineLevel="0" collapsed="false">
      <c r="A494" s="78"/>
      <c r="B494" s="202"/>
      <c r="C494" s="202"/>
      <c r="D494" s="202"/>
      <c r="E494" s="202"/>
      <c r="F494" s="202"/>
      <c r="G494" s="100"/>
      <c r="H494" s="100"/>
      <c r="I494" s="104"/>
    </row>
    <row r="495" customFormat="false" ht="15.5" hidden="false" customHeight="true" outlineLevel="0" collapsed="false">
      <c r="A495" s="78"/>
      <c r="B495" s="104"/>
      <c r="C495" s="78"/>
      <c r="D495" s="78"/>
      <c r="E495" s="78"/>
      <c r="F495" s="78"/>
      <c r="G495" s="78"/>
      <c r="H495" s="78"/>
      <c r="I495" s="104"/>
    </row>
    <row r="496" customFormat="false" ht="15.5" hidden="false" customHeight="true" outlineLevel="0" collapsed="false">
      <c r="A496" s="78" t="s">
        <v>216</v>
      </c>
      <c r="B496" s="202" t="s">
        <v>474</v>
      </c>
      <c r="C496" s="202"/>
      <c r="D496" s="202"/>
      <c r="E496" s="202"/>
      <c r="F496" s="202"/>
      <c r="G496" s="203" t="s">
        <v>242</v>
      </c>
      <c r="H496" s="203" t="s">
        <v>243</v>
      </c>
      <c r="I496" s="104"/>
    </row>
    <row r="497" customFormat="false" ht="15.5" hidden="false" customHeight="true" outlineLevel="0" collapsed="false">
      <c r="A497" s="78"/>
      <c r="B497" s="202"/>
      <c r="C497" s="202"/>
      <c r="D497" s="202"/>
      <c r="E497" s="202"/>
      <c r="F497" s="202"/>
      <c r="G497" s="204"/>
      <c r="H497" s="204"/>
      <c r="I497" s="104"/>
    </row>
    <row r="498" customFormat="false" ht="15.5" hidden="false" customHeight="true" outlineLevel="0" collapsed="false">
      <c r="A498" s="78"/>
      <c r="B498" s="258" t="s">
        <v>475</v>
      </c>
      <c r="C498" s="100"/>
      <c r="D498" s="100"/>
      <c r="E498" s="100"/>
      <c r="F498" s="100"/>
      <c r="G498" s="100"/>
      <c r="H498" s="100"/>
      <c r="I498" s="104"/>
    </row>
    <row r="499" customFormat="false" ht="15.5" hidden="false" customHeight="true" outlineLevel="0" collapsed="false">
      <c r="A499" s="78"/>
      <c r="B499" s="104"/>
      <c r="C499" s="100"/>
      <c r="D499" s="100"/>
      <c r="E499" s="100"/>
      <c r="F499" s="100"/>
      <c r="G499" s="100"/>
      <c r="H499" s="100"/>
      <c r="I499" s="104"/>
    </row>
    <row r="500" customFormat="false" ht="15.5" hidden="false" customHeight="true" outlineLevel="0" collapsed="false">
      <c r="A500" s="78"/>
      <c r="B500" s="104"/>
      <c r="C500" s="104"/>
      <c r="D500" s="104"/>
      <c r="E500" s="104"/>
      <c r="F500" s="104"/>
      <c r="G500" s="104"/>
      <c r="H500" s="104"/>
      <c r="I500" s="104"/>
    </row>
    <row r="501" customFormat="false" ht="15.5" hidden="false" customHeight="true" outlineLevel="0" collapsed="false">
      <c r="A501" s="78" t="s">
        <v>246</v>
      </c>
      <c r="B501" s="202" t="s">
        <v>476</v>
      </c>
      <c r="C501" s="202"/>
      <c r="D501" s="202"/>
      <c r="E501" s="202"/>
      <c r="F501" s="202"/>
      <c r="G501" s="203" t="s">
        <v>242</v>
      </c>
      <c r="H501" s="203" t="s">
        <v>243</v>
      </c>
      <c r="I501" s="104"/>
    </row>
    <row r="502" customFormat="false" ht="15.5" hidden="false" customHeight="true" outlineLevel="0" collapsed="false">
      <c r="A502" s="78"/>
      <c r="B502" s="202"/>
      <c r="C502" s="202"/>
      <c r="D502" s="202"/>
      <c r="E502" s="202"/>
      <c r="F502" s="202"/>
      <c r="G502" s="204"/>
      <c r="H502" s="204"/>
      <c r="I502" s="104"/>
    </row>
    <row r="503" customFormat="false" ht="15.5" hidden="false" customHeight="true" outlineLevel="0" collapsed="false">
      <c r="A503" s="78"/>
      <c r="B503" s="104"/>
      <c r="C503" s="104"/>
      <c r="D503" s="104"/>
      <c r="E503" s="104"/>
      <c r="F503" s="104"/>
      <c r="G503" s="104"/>
      <c r="H503" s="104"/>
      <c r="I503" s="104"/>
    </row>
    <row r="504" customFormat="false" ht="15.5" hidden="false" customHeight="true" outlineLevel="0" collapsed="false">
      <c r="A504" s="200" t="s">
        <v>477</v>
      </c>
      <c r="B504" s="200"/>
      <c r="C504" s="200"/>
      <c r="D504" s="104"/>
      <c r="E504" s="104"/>
      <c r="F504" s="104"/>
      <c r="G504" s="104"/>
      <c r="H504" s="104"/>
      <c r="I504" s="104"/>
    </row>
    <row r="505" customFormat="false" ht="15.5" hidden="false" customHeight="true" outlineLevel="0" collapsed="false">
      <c r="A505" s="78" t="s">
        <v>256</v>
      </c>
      <c r="B505" s="253" t="s">
        <v>478</v>
      </c>
      <c r="C505" s="253"/>
      <c r="D505" s="253"/>
      <c r="E505" s="253"/>
      <c r="F505" s="204"/>
      <c r="G505" s="104" t="s">
        <v>479</v>
      </c>
      <c r="H505" s="104"/>
      <c r="I505" s="104"/>
    </row>
    <row r="506" customFormat="false" ht="15.5" hidden="false" customHeight="true" outlineLevel="0" collapsed="false">
      <c r="A506" s="78"/>
      <c r="B506" s="253"/>
      <c r="C506" s="253"/>
      <c r="D506" s="253"/>
      <c r="E506" s="253"/>
      <c r="F506" s="204"/>
      <c r="G506" s="104" t="s">
        <v>480</v>
      </c>
      <c r="H506" s="104"/>
      <c r="I506" s="104"/>
    </row>
    <row r="507" customFormat="false" ht="15.5" hidden="false" customHeight="true" outlineLevel="0" collapsed="false">
      <c r="A507" s="78"/>
      <c r="B507" s="104"/>
      <c r="C507" s="104"/>
      <c r="D507" s="104"/>
      <c r="E507" s="104"/>
      <c r="F507" s="204"/>
      <c r="G507" s="104" t="s">
        <v>481</v>
      </c>
      <c r="H507" s="104"/>
      <c r="I507" s="104"/>
    </row>
    <row r="508" customFormat="false" ht="15.5" hidden="false" customHeight="true" outlineLevel="0" collapsed="false">
      <c r="A508" s="78"/>
      <c r="B508" s="104"/>
      <c r="C508" s="104"/>
      <c r="D508" s="104"/>
      <c r="E508" s="104"/>
      <c r="F508" s="104"/>
      <c r="G508" s="104"/>
      <c r="H508" s="104"/>
      <c r="I508" s="104"/>
    </row>
    <row r="509" customFormat="false" ht="15.5" hidden="false" customHeight="true" outlineLevel="0" collapsed="false">
      <c r="A509" s="78"/>
      <c r="B509" s="104"/>
      <c r="C509" s="104"/>
      <c r="D509" s="104"/>
      <c r="E509" s="104"/>
      <c r="F509" s="104"/>
      <c r="G509" s="203" t="s">
        <v>242</v>
      </c>
      <c r="H509" s="203" t="s">
        <v>243</v>
      </c>
      <c r="I509" s="104"/>
    </row>
    <row r="510" customFormat="false" ht="15.5" hidden="false" customHeight="true" outlineLevel="0" collapsed="false">
      <c r="A510" s="78" t="s">
        <v>482</v>
      </c>
      <c r="B510" s="207" t="s">
        <v>483</v>
      </c>
      <c r="C510" s="207"/>
      <c r="D510" s="207"/>
      <c r="E510" s="207"/>
      <c r="F510" s="207"/>
      <c r="G510" s="204"/>
      <c r="H510" s="204"/>
      <c r="I510" s="104"/>
    </row>
    <row r="511" customFormat="false" ht="15.5" hidden="false" customHeight="true" outlineLevel="0" collapsed="false">
      <c r="A511" s="78"/>
      <c r="B511" s="104"/>
      <c r="C511" s="104"/>
      <c r="D511" s="104"/>
      <c r="E511" s="104"/>
      <c r="F511" s="104"/>
      <c r="G511" s="104"/>
      <c r="H511" s="104"/>
      <c r="I511" s="104"/>
    </row>
    <row r="512" customFormat="false" ht="15.5" hidden="false" customHeight="true" outlineLevel="0" collapsed="false">
      <c r="A512" s="78" t="s">
        <v>249</v>
      </c>
      <c r="B512" s="202" t="s">
        <v>484</v>
      </c>
      <c r="C512" s="202"/>
      <c r="D512" s="202"/>
      <c r="E512" s="202"/>
      <c r="F512" s="202"/>
      <c r="G512" s="203" t="s">
        <v>242</v>
      </c>
      <c r="H512" s="203" t="s">
        <v>243</v>
      </c>
      <c r="I512" s="104"/>
    </row>
    <row r="513" customFormat="false" ht="15.5" hidden="false" customHeight="true" outlineLevel="0" collapsed="false">
      <c r="A513" s="78"/>
      <c r="B513" s="202"/>
      <c r="C513" s="202"/>
      <c r="D513" s="202"/>
      <c r="E513" s="202"/>
      <c r="F513" s="202"/>
      <c r="G513" s="204"/>
      <c r="H513" s="204"/>
      <c r="I513" s="104"/>
    </row>
    <row r="514" customFormat="false" ht="15.5" hidden="false" customHeight="true" outlineLevel="0" collapsed="false">
      <c r="A514" s="78"/>
      <c r="I514" s="104"/>
    </row>
    <row r="515" customFormat="false" ht="15.5" hidden="false" customHeight="true" outlineLevel="0" collapsed="false">
      <c r="A515" s="78" t="s">
        <v>249</v>
      </c>
      <c r="B515" s="202" t="s">
        <v>485</v>
      </c>
      <c r="C515" s="202"/>
      <c r="D515" s="202"/>
      <c r="E515" s="202"/>
      <c r="F515" s="202"/>
      <c r="G515" s="203"/>
      <c r="H515" s="203"/>
      <c r="I515" s="104"/>
    </row>
    <row r="516" customFormat="false" ht="15.5" hidden="false" customHeight="true" outlineLevel="0" collapsed="false">
      <c r="B516" s="202"/>
      <c r="C516" s="202"/>
      <c r="D516" s="202"/>
      <c r="E516" s="202"/>
      <c r="F516" s="202"/>
      <c r="G516" s="203" t="s">
        <v>242</v>
      </c>
      <c r="H516" s="203" t="s">
        <v>243</v>
      </c>
      <c r="I516" s="104"/>
    </row>
    <row r="517" customFormat="false" ht="15.5" hidden="false" customHeight="true" outlineLevel="0" collapsed="false">
      <c r="A517" s="78"/>
      <c r="B517" s="259" t="s">
        <v>486</v>
      </c>
      <c r="C517" s="259"/>
      <c r="D517" s="259"/>
      <c r="E517" s="259"/>
      <c r="F517" s="259"/>
      <c r="G517" s="204"/>
      <c r="H517" s="204"/>
      <c r="I517" s="104"/>
    </row>
    <row r="518" customFormat="false" ht="15.5" hidden="false" customHeight="true" outlineLevel="0" collapsed="false">
      <c r="B518" s="259" t="s">
        <v>487</v>
      </c>
      <c r="C518" s="259"/>
      <c r="D518" s="259"/>
      <c r="E518" s="259"/>
      <c r="F518" s="259"/>
      <c r="G518" s="204"/>
      <c r="H518" s="204"/>
      <c r="I518" s="104"/>
    </row>
    <row r="519" customFormat="false" ht="15.5" hidden="false" customHeight="true" outlineLevel="0" collapsed="false">
      <c r="B519" s="259" t="s">
        <v>488</v>
      </c>
      <c r="C519" s="259"/>
      <c r="D519" s="259"/>
      <c r="E519" s="259"/>
      <c r="F519" s="259"/>
      <c r="G519" s="204"/>
      <c r="H519" s="204"/>
      <c r="I519" s="104"/>
    </row>
    <row r="520" customFormat="false" ht="15.5" hidden="false" customHeight="true" outlineLevel="0" collapsed="false">
      <c r="A520" s="78"/>
      <c r="B520" s="259" t="s">
        <v>489</v>
      </c>
      <c r="C520" s="259"/>
      <c r="D520" s="259"/>
      <c r="E520" s="259"/>
      <c r="F520" s="259"/>
      <c r="G520" s="204"/>
      <c r="H520" s="204"/>
      <c r="I520" s="104"/>
    </row>
    <row r="521" customFormat="false" ht="15.5" hidden="false" customHeight="true" outlineLevel="0" collapsed="false">
      <c r="A521" s="78"/>
      <c r="B521" s="205"/>
      <c r="C521" s="205"/>
      <c r="D521" s="205"/>
      <c r="E521" s="205"/>
      <c r="F521" s="205"/>
      <c r="I521" s="104"/>
    </row>
    <row r="522" customFormat="false" ht="15.5" hidden="false" customHeight="true" outlineLevel="0" collapsed="false">
      <c r="A522" s="78" t="s">
        <v>260</v>
      </c>
      <c r="B522" s="205" t="s">
        <v>490</v>
      </c>
      <c r="C522" s="205"/>
      <c r="D522" s="205"/>
      <c r="E522" s="205"/>
      <c r="F522" s="205"/>
      <c r="I522" s="104"/>
    </row>
    <row r="523" customFormat="false" ht="15.5" hidden="false" customHeight="true" outlineLevel="0" collapsed="false">
      <c r="A523" s="78"/>
      <c r="B523" s="205"/>
      <c r="C523" s="205"/>
      <c r="D523" s="205"/>
      <c r="E523" s="205"/>
      <c r="F523" s="205"/>
      <c r="G523" s="260"/>
      <c r="H523" s="260"/>
      <c r="I523" s="104"/>
    </row>
    <row r="524" customFormat="false" ht="15.5" hidden="false" customHeight="true" outlineLevel="0" collapsed="false">
      <c r="A524" s="78"/>
      <c r="B524" s="205"/>
      <c r="C524" s="205"/>
      <c r="D524" s="205"/>
      <c r="E524" s="205"/>
      <c r="F524" s="205"/>
      <c r="G524" s="205"/>
      <c r="H524" s="205"/>
      <c r="I524" s="104"/>
    </row>
    <row r="525" customFormat="false" ht="15.5" hidden="false" customHeight="true" outlineLevel="0" collapsed="false">
      <c r="A525" s="78"/>
      <c r="B525" s="205"/>
      <c r="C525" s="205"/>
      <c r="D525" s="205"/>
      <c r="E525" s="205"/>
      <c r="F525" s="205"/>
      <c r="G525" s="205"/>
      <c r="H525" s="205"/>
      <c r="I525" s="104"/>
    </row>
    <row r="526" customFormat="false" ht="15.5" hidden="false" customHeight="true" outlineLevel="0" collapsed="false">
      <c r="A526" s="78"/>
      <c r="B526" s="205"/>
      <c r="C526" s="205"/>
      <c r="D526" s="205"/>
      <c r="E526" s="205"/>
      <c r="F526" s="205"/>
      <c r="G526" s="205"/>
      <c r="H526" s="205"/>
      <c r="I526" s="104"/>
    </row>
    <row r="527" customFormat="false" ht="15.5" hidden="false" customHeight="true" outlineLevel="0" collapsed="false">
      <c r="A527" s="78"/>
      <c r="B527" s="221" t="s">
        <v>491</v>
      </c>
      <c r="C527" s="221"/>
      <c r="D527" s="221"/>
      <c r="E527" s="202"/>
      <c r="F527" s="202"/>
      <c r="G527" s="104"/>
      <c r="H527" s="104"/>
      <c r="I527" s="104"/>
    </row>
    <row r="528" customFormat="false" ht="15.5" hidden="false" customHeight="true" outlineLevel="0" collapsed="false">
      <c r="A528" s="78"/>
      <c r="B528" s="104"/>
      <c r="C528" s="104"/>
      <c r="D528" s="104"/>
      <c r="E528" s="104"/>
      <c r="F528" s="104"/>
      <c r="G528" s="104"/>
      <c r="H528" s="104"/>
      <c r="I528" s="104"/>
    </row>
    <row r="529" customFormat="false" ht="15.5" hidden="false" customHeight="true" outlineLevel="0" collapsed="false">
      <c r="A529" s="261" t="s">
        <v>492</v>
      </c>
      <c r="B529" s="261"/>
      <c r="C529" s="262" t="s">
        <v>493</v>
      </c>
      <c r="D529" s="262"/>
      <c r="E529" s="263" t="s">
        <v>494</v>
      </c>
      <c r="F529" s="262" t="s">
        <v>495</v>
      </c>
      <c r="G529" s="264" t="s">
        <v>496</v>
      </c>
      <c r="H529" s="262" t="s">
        <v>497</v>
      </c>
      <c r="I529" s="264" t="s">
        <v>498</v>
      </c>
    </row>
    <row r="530" customFormat="false" ht="35.5" hidden="false" customHeight="true" outlineLevel="0" collapsed="false">
      <c r="A530" s="261"/>
      <c r="B530" s="261"/>
      <c r="C530" s="262"/>
      <c r="D530" s="262"/>
      <c r="E530" s="265" t="s">
        <v>499</v>
      </c>
      <c r="F530" s="262"/>
      <c r="G530" s="264"/>
      <c r="H530" s="262"/>
      <c r="I530" s="264"/>
    </row>
    <row r="531" customFormat="false" ht="15.5" hidden="false" customHeight="true" outlineLevel="0" collapsed="false">
      <c r="A531" s="266"/>
      <c r="B531" s="266"/>
      <c r="C531" s="267"/>
      <c r="D531" s="267"/>
      <c r="E531" s="268"/>
      <c r="F531" s="269"/>
      <c r="G531" s="270"/>
      <c r="H531" s="269"/>
      <c r="I531" s="270"/>
    </row>
    <row r="532" customFormat="false" ht="15.5" hidden="false" customHeight="true" outlineLevel="0" collapsed="false">
      <c r="A532" s="266"/>
      <c r="B532" s="266"/>
      <c r="C532" s="267"/>
      <c r="D532" s="267"/>
      <c r="E532" s="268"/>
      <c r="F532" s="271"/>
      <c r="G532" s="268"/>
      <c r="H532" s="271"/>
      <c r="I532" s="268"/>
    </row>
    <row r="533" customFormat="false" ht="15.5" hidden="false" customHeight="true" outlineLevel="0" collapsed="false">
      <c r="A533" s="266"/>
      <c r="B533" s="266"/>
      <c r="C533" s="267"/>
      <c r="D533" s="267"/>
      <c r="E533" s="268"/>
      <c r="F533" s="271"/>
      <c r="G533" s="268"/>
      <c r="H533" s="271"/>
      <c r="I533" s="268"/>
    </row>
    <row r="534" customFormat="false" ht="15.5" hidden="false" customHeight="true" outlineLevel="0" collapsed="false">
      <c r="A534" s="266"/>
      <c r="B534" s="266"/>
      <c r="C534" s="267"/>
      <c r="D534" s="267"/>
      <c r="E534" s="268"/>
      <c r="F534" s="271"/>
      <c r="G534" s="268"/>
      <c r="H534" s="271"/>
      <c r="I534" s="268"/>
    </row>
    <row r="535" customFormat="false" ht="15.5" hidden="false" customHeight="true" outlineLevel="0" collapsed="false">
      <c r="A535" s="266"/>
      <c r="B535" s="266"/>
      <c r="C535" s="267"/>
      <c r="D535" s="267"/>
      <c r="E535" s="268"/>
      <c r="F535" s="271"/>
      <c r="G535" s="268"/>
      <c r="H535" s="271"/>
      <c r="I535" s="268"/>
    </row>
    <row r="536" customFormat="false" ht="15.5" hidden="false" customHeight="true" outlineLevel="0" collapsed="false">
      <c r="A536" s="266"/>
      <c r="B536" s="266"/>
      <c r="C536" s="267"/>
      <c r="D536" s="267"/>
      <c r="E536" s="268"/>
      <c r="F536" s="271"/>
      <c r="G536" s="268"/>
      <c r="H536" s="271"/>
      <c r="I536" s="268"/>
    </row>
    <row r="537" customFormat="false" ht="15.5" hidden="false" customHeight="true" outlineLevel="0" collapsed="false">
      <c r="A537" s="266"/>
      <c r="B537" s="266"/>
      <c r="C537" s="267"/>
      <c r="D537" s="267"/>
      <c r="E537" s="268"/>
      <c r="F537" s="271"/>
      <c r="G537" s="268"/>
      <c r="H537" s="271"/>
      <c r="I537" s="268"/>
    </row>
    <row r="538" customFormat="false" ht="15.5" hidden="false" customHeight="true" outlineLevel="0" collapsed="false">
      <c r="A538" s="266"/>
      <c r="B538" s="266"/>
      <c r="C538" s="267"/>
      <c r="D538" s="267"/>
      <c r="E538" s="268"/>
      <c r="F538" s="271"/>
      <c r="G538" s="268"/>
      <c r="H538" s="271"/>
      <c r="I538" s="268"/>
    </row>
    <row r="539" customFormat="false" ht="15.5" hidden="false" customHeight="true" outlineLevel="0" collapsed="false">
      <c r="A539" s="266"/>
      <c r="B539" s="266"/>
      <c r="C539" s="267"/>
      <c r="D539" s="267"/>
      <c r="E539" s="268"/>
      <c r="F539" s="271"/>
      <c r="G539" s="268"/>
      <c r="H539" s="271"/>
      <c r="I539" s="268"/>
    </row>
    <row r="540" customFormat="false" ht="15.5" hidden="false" customHeight="true" outlineLevel="0" collapsed="false">
      <c r="A540" s="272"/>
      <c r="B540" s="273"/>
      <c r="C540" s="272"/>
      <c r="D540" s="274"/>
      <c r="E540" s="268"/>
      <c r="F540" s="271"/>
      <c r="G540" s="268"/>
      <c r="H540" s="271"/>
      <c r="I540" s="268"/>
    </row>
    <row r="541" customFormat="false" ht="15.5" hidden="false" customHeight="true" outlineLevel="0" collapsed="false">
      <c r="A541" s="272"/>
      <c r="B541" s="273"/>
      <c r="C541" s="272"/>
      <c r="D541" s="274"/>
      <c r="E541" s="268"/>
      <c r="F541" s="271"/>
      <c r="G541" s="268"/>
      <c r="H541" s="271"/>
      <c r="I541" s="268"/>
    </row>
    <row r="542" customFormat="false" ht="15.5" hidden="false" customHeight="true" outlineLevel="0" collapsed="false">
      <c r="A542" s="272"/>
      <c r="B542" s="273"/>
      <c r="C542" s="272"/>
      <c r="D542" s="274"/>
      <c r="E542" s="268"/>
      <c r="F542" s="271"/>
      <c r="G542" s="268"/>
      <c r="H542" s="271"/>
      <c r="I542" s="268"/>
    </row>
    <row r="543" customFormat="false" ht="15.5" hidden="false" customHeight="true" outlineLevel="0" collapsed="false">
      <c r="A543" s="272"/>
      <c r="B543" s="273"/>
      <c r="C543" s="272"/>
      <c r="D543" s="274"/>
      <c r="E543" s="268"/>
      <c r="F543" s="271"/>
      <c r="G543" s="268"/>
      <c r="H543" s="271"/>
      <c r="I543" s="268"/>
    </row>
    <row r="544" customFormat="false" ht="15.5" hidden="false" customHeight="true" outlineLevel="0" collapsed="false">
      <c r="A544" s="272"/>
      <c r="B544" s="273"/>
      <c r="C544" s="272"/>
      <c r="D544" s="274"/>
      <c r="E544" s="268"/>
      <c r="F544" s="271"/>
      <c r="G544" s="268"/>
      <c r="H544" s="271"/>
      <c r="I544" s="268"/>
    </row>
    <row r="545" customFormat="false" ht="15.5" hidden="false" customHeight="true" outlineLevel="0" collapsed="false">
      <c r="A545" s="272"/>
      <c r="B545" s="273"/>
      <c r="C545" s="272"/>
      <c r="D545" s="274"/>
      <c r="E545" s="268"/>
      <c r="F545" s="271"/>
      <c r="G545" s="268"/>
      <c r="H545" s="271"/>
      <c r="I545" s="268"/>
    </row>
    <row r="546" customFormat="false" ht="15.5" hidden="false" customHeight="true" outlineLevel="0" collapsed="false">
      <c r="A546" s="272"/>
      <c r="B546" s="273"/>
      <c r="C546" s="272"/>
      <c r="D546" s="274"/>
      <c r="E546" s="268"/>
      <c r="F546" s="271"/>
      <c r="G546" s="268"/>
      <c r="H546" s="271"/>
      <c r="I546" s="268"/>
    </row>
    <row r="547" customFormat="false" ht="15.5" hidden="false" customHeight="true" outlineLevel="0" collapsed="false">
      <c r="A547" s="272"/>
      <c r="B547" s="273"/>
      <c r="C547" s="272"/>
      <c r="D547" s="274"/>
      <c r="E547" s="268"/>
      <c r="F547" s="271"/>
      <c r="G547" s="268"/>
      <c r="H547" s="271"/>
      <c r="I547" s="268"/>
    </row>
    <row r="548" customFormat="false" ht="15.5" hidden="false" customHeight="true" outlineLevel="0" collapsed="false">
      <c r="A548" s="272"/>
      <c r="B548" s="273"/>
      <c r="C548" s="272"/>
      <c r="D548" s="274"/>
      <c r="E548" s="268"/>
      <c r="F548" s="271"/>
      <c r="G548" s="268"/>
      <c r="H548" s="271"/>
      <c r="I548" s="268"/>
    </row>
    <row r="549" customFormat="false" ht="15.5" hidden="false" customHeight="true" outlineLevel="0" collapsed="false">
      <c r="A549" s="272"/>
      <c r="B549" s="273"/>
      <c r="C549" s="272"/>
      <c r="D549" s="274"/>
      <c r="E549" s="268"/>
      <c r="F549" s="271"/>
      <c r="G549" s="268"/>
      <c r="H549" s="271"/>
      <c r="I549" s="268"/>
    </row>
    <row r="550" customFormat="false" ht="15.5" hidden="false" customHeight="true" outlineLevel="0" collapsed="false">
      <c r="A550" s="272"/>
      <c r="B550" s="273"/>
      <c r="C550" s="272"/>
      <c r="D550" s="274"/>
      <c r="E550" s="268"/>
      <c r="F550" s="271"/>
      <c r="G550" s="268"/>
      <c r="H550" s="271"/>
      <c r="I550" s="268"/>
    </row>
    <row r="551" customFormat="false" ht="15.5" hidden="false" customHeight="true" outlineLevel="0" collapsed="false">
      <c r="A551" s="272"/>
      <c r="B551" s="273"/>
      <c r="C551" s="272"/>
      <c r="D551" s="274"/>
      <c r="E551" s="268"/>
      <c r="F551" s="271"/>
      <c r="G551" s="268"/>
      <c r="H551" s="271"/>
      <c r="I551" s="268"/>
    </row>
    <row r="552" customFormat="false" ht="15.5" hidden="false" customHeight="true" outlineLevel="0" collapsed="false">
      <c r="A552" s="272"/>
      <c r="B552" s="273"/>
      <c r="C552" s="272"/>
      <c r="D552" s="274"/>
      <c r="E552" s="268"/>
      <c r="F552" s="271"/>
      <c r="G552" s="268"/>
      <c r="H552" s="271"/>
      <c r="I552" s="268"/>
    </row>
    <row r="553" customFormat="false" ht="15.5" hidden="false" customHeight="true" outlineLevel="0" collapsed="false">
      <c r="A553" s="272"/>
      <c r="B553" s="273"/>
      <c r="C553" s="272"/>
      <c r="D553" s="274"/>
      <c r="E553" s="268"/>
      <c r="F553" s="271"/>
      <c r="G553" s="268"/>
      <c r="H553" s="271"/>
      <c r="I553" s="268"/>
    </row>
    <row r="554" customFormat="false" ht="15.5" hidden="false" customHeight="true" outlineLevel="0" collapsed="false">
      <c r="A554" s="272"/>
      <c r="B554" s="273"/>
      <c r="C554" s="272"/>
      <c r="D554" s="274"/>
      <c r="E554" s="268"/>
      <c r="F554" s="271"/>
      <c r="G554" s="268"/>
      <c r="H554" s="271"/>
      <c r="I554" s="268"/>
    </row>
    <row r="555" customFormat="false" ht="15.5" hidden="false" customHeight="true" outlineLevel="0" collapsed="false">
      <c r="A555" s="272"/>
      <c r="B555" s="273"/>
      <c r="C555" s="272"/>
      <c r="D555" s="274"/>
      <c r="E555" s="268"/>
      <c r="F555" s="271"/>
      <c r="G555" s="268"/>
      <c r="H555" s="271"/>
      <c r="I555" s="268"/>
    </row>
    <row r="556" customFormat="false" ht="15.5" hidden="false" customHeight="true" outlineLevel="0" collapsed="false">
      <c r="A556" s="272"/>
      <c r="B556" s="273"/>
      <c r="C556" s="272"/>
      <c r="D556" s="274"/>
      <c r="E556" s="268"/>
      <c r="F556" s="271"/>
      <c r="G556" s="268"/>
      <c r="H556" s="271"/>
      <c r="I556" s="268"/>
    </row>
    <row r="557" customFormat="false" ht="15.5" hidden="false" customHeight="true" outlineLevel="0" collapsed="false">
      <c r="A557" s="272"/>
      <c r="B557" s="273"/>
      <c r="C557" s="272"/>
      <c r="D557" s="274"/>
      <c r="E557" s="268"/>
      <c r="F557" s="271"/>
      <c r="G557" s="268"/>
      <c r="H557" s="271"/>
      <c r="I557" s="268"/>
    </row>
    <row r="558" customFormat="false" ht="15.5" hidden="false" customHeight="true" outlineLevel="0" collapsed="false">
      <c r="A558" s="272"/>
      <c r="B558" s="273"/>
      <c r="C558" s="272"/>
      <c r="D558" s="274"/>
      <c r="E558" s="268"/>
      <c r="F558" s="271"/>
      <c r="G558" s="268"/>
      <c r="H558" s="271"/>
      <c r="I558" s="268"/>
    </row>
    <row r="559" customFormat="false" ht="15.5" hidden="false" customHeight="true" outlineLevel="0" collapsed="false">
      <c r="A559" s="272"/>
      <c r="B559" s="273"/>
      <c r="C559" s="272"/>
      <c r="D559" s="274"/>
      <c r="E559" s="268"/>
      <c r="F559" s="271"/>
      <c r="G559" s="268"/>
      <c r="H559" s="271"/>
      <c r="I559" s="268"/>
    </row>
    <row r="560" customFormat="false" ht="15.5" hidden="false" customHeight="true" outlineLevel="0" collapsed="false">
      <c r="A560" s="272"/>
      <c r="B560" s="273"/>
      <c r="C560" s="272"/>
      <c r="D560" s="274"/>
      <c r="E560" s="268"/>
      <c r="F560" s="271"/>
      <c r="G560" s="268"/>
      <c r="H560" s="271"/>
      <c r="I560" s="268"/>
    </row>
    <row r="561" customFormat="false" ht="15.5" hidden="false" customHeight="true" outlineLevel="0" collapsed="false">
      <c r="A561" s="272"/>
      <c r="B561" s="273"/>
      <c r="C561" s="272"/>
      <c r="D561" s="274"/>
      <c r="E561" s="268"/>
      <c r="F561" s="271"/>
      <c r="G561" s="268"/>
      <c r="H561" s="271"/>
      <c r="I561" s="268"/>
    </row>
    <row r="562" customFormat="false" ht="15.5" hidden="false" customHeight="true" outlineLevel="0" collapsed="false">
      <c r="A562" s="272"/>
      <c r="B562" s="273"/>
      <c r="C562" s="272"/>
      <c r="D562" s="274"/>
      <c r="E562" s="268"/>
      <c r="F562" s="271"/>
      <c r="G562" s="268"/>
      <c r="H562" s="271"/>
      <c r="I562" s="268"/>
    </row>
    <row r="563" customFormat="false" ht="15.5" hidden="false" customHeight="true" outlineLevel="0" collapsed="false">
      <c r="A563" s="272"/>
      <c r="B563" s="273"/>
      <c r="C563" s="272"/>
      <c r="D563" s="274"/>
      <c r="E563" s="268"/>
      <c r="F563" s="271"/>
      <c r="G563" s="268"/>
      <c r="H563" s="271"/>
      <c r="I563" s="268"/>
    </row>
    <row r="564" customFormat="false" ht="15.5" hidden="false" customHeight="true" outlineLevel="0" collapsed="false">
      <c r="A564" s="272"/>
      <c r="B564" s="273"/>
      <c r="C564" s="272"/>
      <c r="D564" s="274"/>
      <c r="E564" s="268"/>
      <c r="F564" s="271"/>
      <c r="G564" s="268"/>
      <c r="H564" s="271"/>
      <c r="I564" s="268"/>
    </row>
    <row r="565" customFormat="false" ht="15.5" hidden="false" customHeight="true" outlineLevel="0" collapsed="false">
      <c r="A565" s="272"/>
      <c r="B565" s="273"/>
      <c r="C565" s="272"/>
      <c r="D565" s="274"/>
      <c r="E565" s="268"/>
      <c r="F565" s="271"/>
      <c r="G565" s="268"/>
      <c r="H565" s="271"/>
      <c r="I565" s="268"/>
    </row>
    <row r="566" customFormat="false" ht="15.5" hidden="false" customHeight="true" outlineLevel="0" collapsed="false">
      <c r="A566" s="272"/>
      <c r="B566" s="273"/>
      <c r="C566" s="272"/>
      <c r="D566" s="274"/>
      <c r="E566" s="268"/>
      <c r="F566" s="271"/>
      <c r="G566" s="268"/>
      <c r="H566" s="271"/>
      <c r="I566" s="268"/>
    </row>
    <row r="567" customFormat="false" ht="15.5" hidden="false" customHeight="true" outlineLevel="0" collapsed="false">
      <c r="A567" s="272"/>
      <c r="B567" s="273"/>
      <c r="C567" s="272"/>
      <c r="D567" s="274"/>
      <c r="E567" s="268"/>
      <c r="F567" s="271"/>
      <c r="G567" s="268"/>
      <c r="H567" s="271"/>
      <c r="I567" s="268"/>
    </row>
    <row r="568" customFormat="false" ht="15.5" hidden="false" customHeight="true" outlineLevel="0" collapsed="false">
      <c r="A568" s="272"/>
      <c r="B568" s="273"/>
      <c r="C568" s="272"/>
      <c r="D568" s="274"/>
      <c r="E568" s="268"/>
      <c r="F568" s="271"/>
      <c r="G568" s="268"/>
      <c r="H568" s="271"/>
      <c r="I568" s="268"/>
    </row>
    <row r="569" customFormat="false" ht="15.5" hidden="false" customHeight="true" outlineLevel="0" collapsed="false">
      <c r="A569" s="272"/>
      <c r="B569" s="273"/>
      <c r="C569" s="272"/>
      <c r="D569" s="274"/>
      <c r="E569" s="268"/>
      <c r="F569" s="271"/>
      <c r="G569" s="268"/>
      <c r="H569" s="271"/>
      <c r="I569" s="268"/>
    </row>
    <row r="570" customFormat="false" ht="15.5" hidden="false" customHeight="true" outlineLevel="0" collapsed="false">
      <c r="A570" s="272"/>
      <c r="B570" s="273"/>
      <c r="C570" s="272"/>
      <c r="D570" s="274"/>
      <c r="E570" s="268"/>
      <c r="F570" s="271"/>
      <c r="G570" s="268"/>
      <c r="H570" s="271"/>
      <c r="I570" s="268"/>
    </row>
    <row r="571" customFormat="false" ht="15.5" hidden="false" customHeight="true" outlineLevel="0" collapsed="false">
      <c r="A571" s="272"/>
      <c r="B571" s="273"/>
      <c r="C571" s="272"/>
      <c r="D571" s="274"/>
      <c r="E571" s="268"/>
      <c r="F571" s="271"/>
      <c r="G571" s="268"/>
      <c r="H571" s="271"/>
      <c r="I571" s="268"/>
    </row>
    <row r="572" customFormat="false" ht="15.5" hidden="false" customHeight="true" outlineLevel="0" collapsed="false">
      <c r="A572" s="272"/>
      <c r="B572" s="273"/>
      <c r="C572" s="272"/>
      <c r="D572" s="274"/>
      <c r="E572" s="268"/>
      <c r="F572" s="271"/>
      <c r="G572" s="268"/>
      <c r="H572" s="271"/>
      <c r="I572" s="268"/>
    </row>
    <row r="573" customFormat="false" ht="15.5" hidden="false" customHeight="true" outlineLevel="0" collapsed="false">
      <c r="A573" s="272"/>
      <c r="B573" s="273"/>
      <c r="C573" s="272"/>
      <c r="D573" s="274"/>
      <c r="E573" s="268"/>
      <c r="F573" s="271"/>
      <c r="G573" s="268"/>
      <c r="H573" s="271"/>
      <c r="I573" s="268"/>
    </row>
    <row r="574" customFormat="false" ht="15.5" hidden="false" customHeight="true" outlineLevel="0" collapsed="false">
      <c r="A574" s="275" t="s">
        <v>500</v>
      </c>
      <c r="B574" s="275"/>
      <c r="C574" s="275"/>
      <c r="D574" s="275"/>
      <c r="E574" s="275"/>
      <c r="F574" s="275"/>
      <c r="G574" s="275"/>
      <c r="H574" s="275"/>
      <c r="I574" s="275"/>
    </row>
    <row r="575" customFormat="false" ht="15.5" hidden="false" customHeight="true" outlineLevel="0" collapsed="false">
      <c r="A575" s="78"/>
      <c r="B575" s="104"/>
      <c r="C575" s="104"/>
      <c r="D575" s="104"/>
      <c r="E575" s="104"/>
      <c r="F575" s="104"/>
      <c r="G575" s="104"/>
      <c r="H575" s="104"/>
      <c r="I575" s="104"/>
    </row>
    <row r="576" customFormat="false" ht="15.5" hidden="false" customHeight="true" outlineLevel="0" collapsed="false">
      <c r="A576" s="200" t="s">
        <v>501</v>
      </c>
      <c r="B576" s="200"/>
      <c r="C576" s="200"/>
      <c r="D576" s="104"/>
      <c r="E576" s="104"/>
      <c r="F576" s="104"/>
      <c r="G576" s="104"/>
      <c r="H576" s="104"/>
      <c r="I576" s="104"/>
    </row>
    <row r="577" customFormat="false" ht="15.5" hidden="false" customHeight="true" outlineLevel="0" collapsed="false">
      <c r="A577" s="78"/>
      <c r="B577" s="104"/>
      <c r="C577" s="104"/>
      <c r="D577" s="104"/>
      <c r="E577" s="104"/>
      <c r="F577" s="104"/>
      <c r="G577" s="104"/>
      <c r="H577" s="104"/>
      <c r="I577" s="104"/>
    </row>
    <row r="578" customFormat="false" ht="15.5" hidden="false" customHeight="true" outlineLevel="0" collapsed="false">
      <c r="A578" s="78"/>
      <c r="B578" s="221" t="s">
        <v>502</v>
      </c>
      <c r="C578" s="221"/>
      <c r="D578" s="221"/>
      <c r="E578" s="104"/>
      <c r="F578" s="104"/>
      <c r="G578" s="104"/>
      <c r="H578" s="104"/>
      <c r="I578" s="104"/>
    </row>
    <row r="579" customFormat="false" ht="15.5" hidden="false" customHeight="true" outlineLevel="0" collapsed="false">
      <c r="A579" s="78" t="s">
        <v>503</v>
      </c>
      <c r="B579" s="202" t="s">
        <v>504</v>
      </c>
      <c r="C579" s="202"/>
      <c r="D579" s="202"/>
      <c r="E579" s="202"/>
      <c r="F579" s="202"/>
      <c r="G579" s="260"/>
      <c r="H579" s="260"/>
      <c r="I579" s="104"/>
    </row>
    <row r="580" customFormat="false" ht="15.5" hidden="false" customHeight="true" outlineLevel="0" collapsed="false">
      <c r="A580" s="78"/>
      <c r="B580" s="201"/>
      <c r="C580" s="201"/>
      <c r="D580" s="201"/>
      <c r="E580" s="201"/>
      <c r="F580" s="201"/>
      <c r="G580" s="104"/>
      <c r="H580" s="104"/>
      <c r="I580" s="104"/>
    </row>
    <row r="581" customFormat="false" ht="15.5" hidden="false" customHeight="true" outlineLevel="0" collapsed="false">
      <c r="A581" s="78"/>
      <c r="B581" s="202" t="s">
        <v>505</v>
      </c>
      <c r="C581" s="202"/>
      <c r="D581" s="202"/>
      <c r="E581" s="202"/>
      <c r="F581" s="202"/>
      <c r="G581" s="104"/>
      <c r="H581" s="104"/>
      <c r="I581" s="104"/>
    </row>
    <row r="582" customFormat="false" ht="15.5" hidden="false" customHeight="true" outlineLevel="0" collapsed="false">
      <c r="A582" s="78"/>
      <c r="B582" s="202"/>
      <c r="C582" s="202"/>
      <c r="D582" s="202"/>
      <c r="E582" s="202"/>
      <c r="F582" s="202"/>
      <c r="G582" s="260"/>
      <c r="H582" s="260"/>
      <c r="I582" s="104"/>
    </row>
    <row r="583" customFormat="false" ht="15.5" hidden="false" customHeight="true" outlineLevel="0" collapsed="false">
      <c r="A583" s="78"/>
      <c r="B583" s="104"/>
      <c r="C583" s="104"/>
      <c r="D583" s="104"/>
      <c r="E583" s="104"/>
      <c r="F583" s="104"/>
      <c r="G583" s="104"/>
      <c r="H583" s="104"/>
      <c r="I583" s="104"/>
    </row>
    <row r="584" customFormat="false" ht="15.5" hidden="false" customHeight="true" outlineLevel="0" collapsed="false">
      <c r="A584" s="78"/>
      <c r="B584" s="202" t="s">
        <v>506</v>
      </c>
      <c r="C584" s="202"/>
      <c r="D584" s="202"/>
      <c r="E584" s="202"/>
      <c r="F584" s="202"/>
      <c r="G584" s="104"/>
      <c r="H584" s="104"/>
      <c r="I584" s="104"/>
    </row>
    <row r="585" customFormat="false" ht="15.5" hidden="false" customHeight="true" outlineLevel="0" collapsed="false">
      <c r="A585" s="78"/>
      <c r="B585" s="202"/>
      <c r="C585" s="202"/>
      <c r="D585" s="202"/>
      <c r="E585" s="202"/>
      <c r="F585" s="202"/>
      <c r="G585" s="260"/>
      <c r="H585" s="260"/>
      <c r="I585" s="104"/>
    </row>
    <row r="586" customFormat="false" ht="15.5" hidden="false" customHeight="true" outlineLevel="0" collapsed="false">
      <c r="A586" s="78"/>
      <c r="B586" s="104"/>
      <c r="C586" s="104"/>
      <c r="D586" s="104"/>
      <c r="E586" s="104"/>
      <c r="F586" s="104"/>
      <c r="G586" s="104"/>
      <c r="H586" s="104"/>
      <c r="I586" s="104"/>
    </row>
    <row r="587" customFormat="false" ht="15.5" hidden="false" customHeight="true" outlineLevel="0" collapsed="false">
      <c r="A587" s="78"/>
      <c r="B587" s="221" t="s">
        <v>507</v>
      </c>
      <c r="C587" s="221"/>
      <c r="D587" s="221"/>
      <c r="E587" s="104"/>
      <c r="F587" s="104"/>
      <c r="G587" s="104"/>
      <c r="H587" s="104"/>
      <c r="I587" s="104"/>
    </row>
    <row r="588" customFormat="false" ht="15.5" hidden="false" customHeight="true" outlineLevel="0" collapsed="false">
      <c r="A588" s="78" t="s">
        <v>508</v>
      </c>
      <c r="B588" s="202" t="s">
        <v>509</v>
      </c>
      <c r="C588" s="202"/>
      <c r="D588" s="202"/>
      <c r="E588" s="202"/>
      <c r="F588" s="202"/>
      <c r="G588" s="104"/>
      <c r="H588" s="104"/>
      <c r="I588" s="104"/>
    </row>
    <row r="589" customFormat="false" ht="15.5" hidden="false" customHeight="true" outlineLevel="0" collapsed="false">
      <c r="A589" s="78"/>
      <c r="B589" s="202"/>
      <c r="C589" s="202"/>
      <c r="D589" s="202"/>
      <c r="E589" s="202"/>
      <c r="F589" s="202"/>
      <c r="G589" s="260"/>
      <c r="H589" s="260"/>
      <c r="I589" s="104"/>
    </row>
    <row r="590" customFormat="false" ht="15.5" hidden="false" customHeight="true" outlineLevel="0" collapsed="false">
      <c r="A590" s="78"/>
      <c r="B590" s="276" t="s">
        <v>510</v>
      </c>
      <c r="C590" s="260"/>
      <c r="D590" s="260"/>
      <c r="E590" s="260"/>
      <c r="F590" s="260"/>
      <c r="G590" s="260"/>
      <c r="H590" s="260"/>
      <c r="I590" s="104"/>
    </row>
    <row r="591" customFormat="false" ht="15.5" hidden="false" customHeight="true" outlineLevel="0" collapsed="false">
      <c r="A591" s="78"/>
      <c r="B591" s="104"/>
      <c r="C591" s="260"/>
      <c r="D591" s="260"/>
      <c r="E591" s="260"/>
      <c r="F591" s="260"/>
      <c r="G591" s="260"/>
      <c r="H591" s="260"/>
      <c r="I591" s="104"/>
    </row>
    <row r="592" customFormat="false" ht="15.5" hidden="false" customHeight="true" outlineLevel="0" collapsed="false">
      <c r="A592" s="78"/>
      <c r="B592" s="104"/>
      <c r="C592" s="104"/>
      <c r="D592" s="104"/>
      <c r="E592" s="104"/>
      <c r="F592" s="104"/>
      <c r="G592" s="203" t="s">
        <v>242</v>
      </c>
      <c r="H592" s="203" t="s">
        <v>243</v>
      </c>
      <c r="I592" s="104"/>
    </row>
    <row r="593" customFormat="false" ht="15.5" hidden="false" customHeight="true" outlineLevel="0" collapsed="false">
      <c r="A593" s="78"/>
      <c r="B593" s="246" t="s">
        <v>511</v>
      </c>
      <c r="C593" s="246"/>
      <c r="D593" s="246"/>
      <c r="E593" s="246"/>
      <c r="F593" s="246"/>
      <c r="G593" s="204"/>
      <c r="H593" s="204"/>
      <c r="I593" s="104"/>
    </row>
    <row r="594" customFormat="false" ht="15.5" hidden="false" customHeight="true" outlineLevel="0" collapsed="false">
      <c r="A594" s="78"/>
      <c r="B594" s="103"/>
      <c r="C594" s="91"/>
      <c r="D594" s="91"/>
      <c r="E594" s="104"/>
      <c r="F594" s="104"/>
      <c r="G594" s="203" t="s">
        <v>242</v>
      </c>
      <c r="H594" s="203" t="s">
        <v>243</v>
      </c>
      <c r="I594" s="104"/>
    </row>
    <row r="595" customFormat="false" ht="15.5" hidden="false" customHeight="true" outlineLevel="0" collapsed="false">
      <c r="A595" s="78"/>
      <c r="B595" s="83" t="s">
        <v>512</v>
      </c>
      <c r="C595" s="277"/>
      <c r="D595" s="277"/>
      <c r="E595" s="104"/>
      <c r="F595" s="104"/>
      <c r="G595" s="204"/>
      <c r="H595" s="204"/>
      <c r="I595" s="104"/>
    </row>
    <row r="596" customFormat="false" ht="15.5" hidden="false" customHeight="true" outlineLevel="0" collapsed="false">
      <c r="A596" s="78"/>
      <c r="B596" s="278" t="s">
        <v>513</v>
      </c>
      <c r="C596" s="278"/>
      <c r="D596" s="278"/>
      <c r="E596" s="278"/>
      <c r="F596" s="278"/>
      <c r="G596" s="278"/>
      <c r="H596" s="278"/>
      <c r="I596" s="104"/>
    </row>
    <row r="597" customFormat="false" ht="15.5" hidden="false" customHeight="true" outlineLevel="0" collapsed="false">
      <c r="A597" s="78"/>
      <c r="B597" s="104"/>
      <c r="C597" s="104"/>
      <c r="D597" s="104"/>
      <c r="E597" s="104"/>
      <c r="F597" s="104"/>
      <c r="G597" s="104"/>
      <c r="H597" s="104"/>
      <c r="I597" s="104"/>
    </row>
    <row r="598" customFormat="false" ht="15.5" hidden="false" customHeight="true" outlineLevel="0" collapsed="false">
      <c r="A598" s="78"/>
      <c r="B598" s="221" t="s">
        <v>514</v>
      </c>
      <c r="C598" s="221"/>
      <c r="D598" s="221"/>
      <c r="E598" s="279"/>
      <c r="F598" s="277"/>
      <c r="G598" s="104"/>
      <c r="H598" s="104"/>
      <c r="I598" s="104"/>
    </row>
    <row r="599" customFormat="false" ht="15.5" hidden="false" customHeight="true" outlineLevel="0" collapsed="false">
      <c r="A599" s="78" t="s">
        <v>508</v>
      </c>
      <c r="B599" s="207" t="s">
        <v>515</v>
      </c>
      <c r="C599" s="207"/>
      <c r="D599" s="207"/>
      <c r="E599" s="207"/>
      <c r="F599" s="207"/>
      <c r="G599" s="260"/>
      <c r="H599" s="260"/>
      <c r="I599" s="104"/>
    </row>
    <row r="600" customFormat="false" ht="15.5" hidden="false" customHeight="true" outlineLevel="0" collapsed="false">
      <c r="A600" s="78"/>
      <c r="B600" s="104"/>
      <c r="C600" s="104"/>
      <c r="D600" s="104"/>
      <c r="E600" s="104"/>
      <c r="F600" s="104"/>
      <c r="G600" s="104"/>
      <c r="H600" s="104"/>
      <c r="I600" s="104"/>
    </row>
    <row r="601" customFormat="false" ht="15.5" hidden="false" customHeight="true" outlineLevel="0" collapsed="false">
      <c r="A601" s="78"/>
      <c r="B601" s="98" t="s">
        <v>516</v>
      </c>
      <c r="C601" s="98"/>
      <c r="D601" s="98"/>
      <c r="E601" s="98"/>
      <c r="F601" s="98"/>
      <c r="G601" s="260"/>
      <c r="H601" s="260"/>
      <c r="I601" s="104"/>
    </row>
    <row r="602" customFormat="false" ht="15.5" hidden="false" customHeight="true" outlineLevel="0" collapsed="false">
      <c r="A602" s="78"/>
      <c r="B602" s="104"/>
      <c r="C602" s="104"/>
      <c r="D602" s="104"/>
      <c r="E602" s="104"/>
      <c r="F602" s="104"/>
      <c r="G602" s="104"/>
      <c r="H602" s="104"/>
      <c r="I602" s="104"/>
    </row>
    <row r="603" customFormat="false" ht="15.5" hidden="false" customHeight="true" outlineLevel="0" collapsed="false">
      <c r="A603" s="78"/>
      <c r="B603" s="207" t="s">
        <v>517</v>
      </c>
      <c r="C603" s="207"/>
      <c r="D603" s="207"/>
      <c r="E603" s="207"/>
      <c r="F603" s="207"/>
      <c r="G603" s="260"/>
      <c r="H603" s="260"/>
      <c r="I603" s="104"/>
    </row>
    <row r="604" customFormat="false" ht="15.5" hidden="false" customHeight="true" outlineLevel="0" collapsed="false">
      <c r="A604" s="78"/>
      <c r="B604" s="207"/>
      <c r="C604" s="207"/>
      <c r="D604" s="207"/>
      <c r="E604" s="207"/>
      <c r="F604" s="207"/>
      <c r="G604" s="207"/>
      <c r="H604" s="207"/>
      <c r="I604" s="207"/>
    </row>
    <row r="605" customFormat="false" ht="15.5" hidden="false" customHeight="true" outlineLevel="0" collapsed="false">
      <c r="A605" s="78"/>
      <c r="B605" s="207"/>
      <c r="C605" s="207"/>
      <c r="D605" s="207"/>
      <c r="E605" s="207"/>
      <c r="F605" s="207"/>
      <c r="G605" s="203" t="s">
        <v>242</v>
      </c>
      <c r="H605" s="203" t="s">
        <v>243</v>
      </c>
      <c r="I605" s="104"/>
    </row>
    <row r="606" customFormat="false" ht="15.5" hidden="false" customHeight="true" outlineLevel="0" collapsed="false">
      <c r="A606" s="78"/>
      <c r="B606" s="207" t="s">
        <v>518</v>
      </c>
      <c r="C606" s="207"/>
      <c r="D606" s="207"/>
      <c r="E606" s="207"/>
      <c r="F606" s="207"/>
      <c r="G606" s="204"/>
      <c r="H606" s="204"/>
      <c r="I606" s="104"/>
    </row>
    <row r="607" customFormat="false" ht="15.5" hidden="false" customHeight="true" outlineLevel="0" collapsed="false">
      <c r="A607" s="78"/>
      <c r="B607" s="104"/>
      <c r="C607" s="104"/>
      <c r="D607" s="104"/>
      <c r="E607" s="104"/>
      <c r="F607" s="104"/>
      <c r="G607" s="104"/>
      <c r="H607" s="104"/>
      <c r="I607" s="104"/>
    </row>
    <row r="608" customFormat="false" ht="15.5" hidden="false" customHeight="true" outlineLevel="0" collapsed="false">
      <c r="A608" s="78"/>
      <c r="B608" s="221" t="s">
        <v>519</v>
      </c>
      <c r="C608" s="221"/>
      <c r="D608" s="221"/>
      <c r="E608" s="104"/>
      <c r="F608" s="104"/>
      <c r="G608" s="203" t="s">
        <v>242</v>
      </c>
      <c r="H608" s="203" t="s">
        <v>243</v>
      </c>
      <c r="I608" s="104"/>
    </row>
    <row r="609" customFormat="false" ht="15.5" hidden="false" customHeight="true" outlineLevel="0" collapsed="false">
      <c r="A609" s="78" t="s">
        <v>508</v>
      </c>
      <c r="B609" s="98" t="s">
        <v>520</v>
      </c>
      <c r="C609" s="104"/>
      <c r="D609" s="104"/>
      <c r="E609" s="104"/>
      <c r="F609" s="104"/>
      <c r="G609" s="204"/>
      <c r="H609" s="204"/>
      <c r="I609" s="104"/>
    </row>
    <row r="610" customFormat="false" ht="15.5" hidden="false" customHeight="true" outlineLevel="0" collapsed="false">
      <c r="A610" s="78"/>
      <c r="B610" s="276" t="s">
        <v>510</v>
      </c>
      <c r="C610" s="260"/>
      <c r="D610" s="260"/>
      <c r="E610" s="260"/>
      <c r="F610" s="260"/>
      <c r="G610" s="260"/>
      <c r="H610" s="260"/>
      <c r="I610" s="104"/>
    </row>
    <row r="611" customFormat="false" ht="15.5" hidden="false" customHeight="true" outlineLevel="0" collapsed="false">
      <c r="A611" s="78"/>
      <c r="B611" s="104"/>
      <c r="C611" s="260"/>
      <c r="D611" s="260"/>
      <c r="E611" s="260"/>
      <c r="F611" s="260"/>
      <c r="G611" s="260"/>
      <c r="H611" s="260"/>
      <c r="I611" s="104"/>
    </row>
    <row r="612" customFormat="false" ht="15.5" hidden="false" customHeight="true" outlineLevel="0" collapsed="false">
      <c r="A612" s="78"/>
      <c r="B612" s="104"/>
      <c r="C612" s="104"/>
      <c r="D612" s="104"/>
      <c r="E612" s="104"/>
      <c r="F612" s="104"/>
      <c r="G612" s="104"/>
      <c r="H612" s="104"/>
      <c r="I612" s="104"/>
    </row>
    <row r="613" customFormat="false" ht="15.5" hidden="false" customHeight="true" outlineLevel="0" collapsed="false">
      <c r="A613" s="78"/>
      <c r="B613" s="104"/>
      <c r="C613" s="104"/>
      <c r="D613" s="104"/>
      <c r="E613" s="104"/>
      <c r="F613" s="104"/>
      <c r="G613" s="104"/>
      <c r="H613" s="104"/>
      <c r="I613" s="104"/>
    </row>
    <row r="614" customFormat="false" ht="15.5" hidden="false" customHeight="true" outlineLevel="0" collapsed="false">
      <c r="A614" s="78"/>
      <c r="B614" s="104"/>
      <c r="C614" s="104"/>
      <c r="D614" s="104"/>
      <c r="E614" s="104"/>
      <c r="F614" s="104"/>
      <c r="G614" s="104"/>
      <c r="H614" s="104"/>
      <c r="I614" s="104"/>
    </row>
    <row r="615" customFormat="false" ht="15.5" hidden="false" customHeight="true" outlineLevel="0" collapsed="false">
      <c r="A615" s="78"/>
      <c r="B615" s="104"/>
      <c r="C615" s="104"/>
      <c r="D615" s="104"/>
      <c r="E615" s="104"/>
      <c r="F615" s="104"/>
      <c r="G615" s="104"/>
      <c r="H615" s="104"/>
      <c r="I615" s="104"/>
    </row>
    <row r="616" customFormat="false" ht="15.5" hidden="false" customHeight="true" outlineLevel="0" collapsed="false">
      <c r="A616" s="200" t="s">
        <v>521</v>
      </c>
      <c r="B616" s="200"/>
      <c r="C616" s="200"/>
      <c r="D616" s="104"/>
      <c r="E616" s="104"/>
      <c r="F616" s="104"/>
      <c r="G616" s="104"/>
      <c r="H616" s="104"/>
      <c r="I616" s="104"/>
    </row>
    <row r="617" customFormat="false" ht="15.5" hidden="false" customHeight="true" outlineLevel="0" collapsed="false">
      <c r="A617" s="78"/>
      <c r="B617" s="104"/>
      <c r="C617" s="104"/>
      <c r="D617" s="104"/>
      <c r="E617" s="104"/>
      <c r="F617" s="104"/>
      <c r="G617" s="104"/>
      <c r="H617" s="104"/>
      <c r="I617" s="104"/>
    </row>
    <row r="618" customFormat="false" ht="15.5" hidden="false" customHeight="true" outlineLevel="0" collapsed="false">
      <c r="A618" s="78" t="s">
        <v>482</v>
      </c>
      <c r="B618" s="202" t="s">
        <v>522</v>
      </c>
      <c r="C618" s="202"/>
      <c r="D618" s="202"/>
      <c r="E618" s="202"/>
      <c r="F618" s="202" t="s">
        <v>523</v>
      </c>
      <c r="G618" s="104"/>
      <c r="H618" s="104"/>
      <c r="I618" s="104"/>
    </row>
    <row r="619" customFormat="false" ht="15.5" hidden="false" customHeight="true" outlineLevel="0" collapsed="false">
      <c r="A619" s="78"/>
      <c r="B619" s="202"/>
      <c r="C619" s="202"/>
      <c r="D619" s="202"/>
      <c r="E619" s="202"/>
      <c r="F619" s="202"/>
      <c r="G619" s="260"/>
      <c r="H619" s="260"/>
      <c r="I619" s="104"/>
    </row>
    <row r="620" customFormat="false" ht="15.5" hidden="false" customHeight="true" outlineLevel="0" collapsed="false">
      <c r="A620" s="78"/>
      <c r="B620" s="280" t="s">
        <v>524</v>
      </c>
      <c r="C620" s="280"/>
      <c r="D620" s="280"/>
      <c r="E620" s="280"/>
      <c r="F620" s="280"/>
      <c r="G620" s="280"/>
      <c r="H620" s="280"/>
      <c r="I620" s="104"/>
    </row>
    <row r="621" customFormat="false" ht="15.5" hidden="false" customHeight="true" outlineLevel="0" collapsed="false">
      <c r="A621" s="78"/>
      <c r="B621" s="280"/>
      <c r="C621" s="280"/>
      <c r="D621" s="280"/>
      <c r="E621" s="280"/>
      <c r="F621" s="280"/>
      <c r="G621" s="280"/>
      <c r="H621" s="280"/>
      <c r="I621" s="104"/>
    </row>
    <row r="622" customFormat="false" ht="15.5" hidden="false" customHeight="true" outlineLevel="0" collapsed="false">
      <c r="A622" s="78"/>
      <c r="I622" s="104"/>
    </row>
    <row r="623" customFormat="false" ht="15.5" hidden="false" customHeight="true" outlineLevel="0" collapsed="false">
      <c r="A623" s="78" t="s">
        <v>482</v>
      </c>
      <c r="B623" s="202" t="s">
        <v>525</v>
      </c>
      <c r="C623" s="202"/>
      <c r="D623" s="202"/>
      <c r="E623" s="202"/>
      <c r="F623" s="202"/>
      <c r="G623" s="104"/>
      <c r="H623" s="104"/>
      <c r="I623" s="104"/>
    </row>
    <row r="624" customFormat="false" ht="15" hidden="false" customHeight="true" outlineLevel="0" collapsed="false">
      <c r="A624" s="78"/>
      <c r="B624" s="202"/>
      <c r="C624" s="202"/>
      <c r="D624" s="202"/>
      <c r="E624" s="202"/>
      <c r="F624" s="202"/>
      <c r="G624" s="260"/>
      <c r="H624" s="260"/>
      <c r="I624" s="104"/>
    </row>
    <row r="625" customFormat="false" ht="15.5" hidden="false" customHeight="true" outlineLevel="0" collapsed="false">
      <c r="A625" s="78"/>
      <c r="B625" s="206" t="s">
        <v>526</v>
      </c>
      <c r="C625" s="206"/>
      <c r="D625" s="206"/>
      <c r="E625" s="206"/>
      <c r="F625" s="206"/>
      <c r="G625" s="206"/>
      <c r="H625" s="206"/>
      <c r="I625" s="104"/>
    </row>
    <row r="626" customFormat="false" ht="15.5" hidden="false" customHeight="true" outlineLevel="0" collapsed="false">
      <c r="A626" s="78"/>
      <c r="B626" s="206"/>
      <c r="C626" s="206"/>
      <c r="D626" s="206"/>
      <c r="E626" s="206"/>
      <c r="F626" s="206"/>
      <c r="G626" s="206"/>
      <c r="H626" s="206"/>
      <c r="I626" s="104"/>
    </row>
    <row r="627" customFormat="false" ht="15.5" hidden="false" customHeight="true" outlineLevel="0" collapsed="false">
      <c r="A627" s="78"/>
      <c r="B627" s="206"/>
      <c r="C627" s="206"/>
      <c r="D627" s="206"/>
      <c r="E627" s="206"/>
      <c r="F627" s="206"/>
      <c r="G627" s="206"/>
      <c r="H627" s="206"/>
      <c r="I627" s="104"/>
    </row>
    <row r="628" customFormat="false" ht="15.5" hidden="false" customHeight="true" outlineLevel="0" collapsed="false">
      <c r="A628" s="78"/>
      <c r="B628" s="206"/>
      <c r="C628" s="206"/>
      <c r="D628" s="206"/>
      <c r="E628" s="206"/>
      <c r="F628" s="206"/>
      <c r="G628" s="206"/>
      <c r="H628" s="206"/>
      <c r="I628" s="104"/>
    </row>
    <row r="629" customFormat="false" ht="15.5" hidden="false" customHeight="true" outlineLevel="0" collapsed="false">
      <c r="A629" s="78"/>
      <c r="B629" s="280"/>
      <c r="C629" s="280"/>
      <c r="D629" s="280"/>
      <c r="E629" s="280"/>
      <c r="F629" s="280"/>
      <c r="G629" s="280"/>
      <c r="H629" s="280"/>
      <c r="I629" s="104"/>
    </row>
    <row r="630" customFormat="false" ht="15.5" hidden="false" customHeight="true" outlineLevel="0" collapsed="false">
      <c r="A630" s="200" t="s">
        <v>527</v>
      </c>
      <c r="B630" s="200"/>
      <c r="C630" s="200"/>
      <c r="D630" s="104"/>
      <c r="E630" s="104"/>
      <c r="F630" s="104"/>
      <c r="G630" s="104"/>
      <c r="H630" s="104"/>
      <c r="I630" s="104"/>
    </row>
    <row r="631" customFormat="false" ht="15.5" hidden="false" customHeight="true" outlineLevel="0" collapsed="false">
      <c r="A631" s="78"/>
      <c r="B631" s="104"/>
      <c r="C631" s="104"/>
      <c r="D631" s="104"/>
      <c r="E631" s="104"/>
      <c r="F631" s="104"/>
      <c r="G631" s="104"/>
      <c r="H631" s="104"/>
      <c r="I631" s="104"/>
    </row>
    <row r="632" customFormat="false" ht="15.5" hidden="false" customHeight="true" outlineLevel="0" collapsed="false">
      <c r="A632" s="78" t="s">
        <v>472</v>
      </c>
      <c r="B632" s="202" t="s">
        <v>528</v>
      </c>
      <c r="C632" s="202"/>
      <c r="D632" s="202"/>
      <c r="E632" s="202"/>
      <c r="F632" s="202"/>
      <c r="G632" s="203" t="s">
        <v>242</v>
      </c>
      <c r="H632" s="203" t="s">
        <v>243</v>
      </c>
      <c r="I632" s="104"/>
    </row>
    <row r="633" customFormat="false" ht="15.5" hidden="false" customHeight="true" outlineLevel="0" collapsed="false">
      <c r="A633" s="78"/>
      <c r="B633" s="202"/>
      <c r="C633" s="202"/>
      <c r="D633" s="202"/>
      <c r="E633" s="202"/>
      <c r="F633" s="202"/>
      <c r="G633" s="204"/>
      <c r="H633" s="204"/>
      <c r="I633" s="104"/>
    </row>
    <row r="634" customFormat="false" ht="15.5" hidden="false" customHeight="true" outlineLevel="0" collapsed="false">
      <c r="A634" s="78"/>
      <c r="B634" s="276" t="s">
        <v>529</v>
      </c>
      <c r="C634" s="260"/>
      <c r="D634" s="260"/>
      <c r="E634" s="260"/>
      <c r="F634" s="260"/>
      <c r="G634" s="260"/>
      <c r="H634" s="260"/>
      <c r="I634" s="104"/>
    </row>
    <row r="635" customFormat="false" ht="15.5" hidden="false" customHeight="true" outlineLevel="0" collapsed="false">
      <c r="A635" s="78"/>
      <c r="B635" s="104"/>
      <c r="C635" s="260"/>
      <c r="D635" s="260"/>
      <c r="E635" s="260"/>
      <c r="F635" s="260"/>
      <c r="G635" s="260"/>
      <c r="H635" s="260"/>
      <c r="I635" s="104"/>
    </row>
    <row r="636" customFormat="false" ht="15.5" hidden="false" customHeight="true" outlineLevel="0" collapsed="false">
      <c r="A636" s="78"/>
      <c r="B636" s="104"/>
      <c r="C636" s="104"/>
      <c r="D636" s="104"/>
      <c r="E636" s="104"/>
      <c r="F636" s="104"/>
      <c r="G636" s="104"/>
      <c r="H636" s="104"/>
      <c r="I636" s="104"/>
    </row>
    <row r="637" customFormat="false" ht="15.5" hidden="false" customHeight="true" outlineLevel="0" collapsed="false">
      <c r="A637" s="78" t="s">
        <v>530</v>
      </c>
      <c r="B637" s="281" t="s">
        <v>531</v>
      </c>
      <c r="C637" s="281"/>
      <c r="D637" s="281"/>
      <c r="E637" s="282" t="s">
        <v>532</v>
      </c>
      <c r="F637" s="283" t="s">
        <v>533</v>
      </c>
      <c r="G637" s="283"/>
      <c r="H637" s="104"/>
      <c r="I637" s="104"/>
    </row>
    <row r="638" customFormat="false" ht="15.5" hidden="false" customHeight="true" outlineLevel="0" collapsed="false">
      <c r="A638" s="78"/>
      <c r="B638" s="284" t="s">
        <v>534</v>
      </c>
      <c r="C638" s="285"/>
      <c r="D638" s="241"/>
      <c r="E638" s="286" t="s">
        <v>535</v>
      </c>
      <c r="F638" s="287"/>
      <c r="G638" s="287"/>
      <c r="I638" s="288"/>
    </row>
    <row r="639" customFormat="false" ht="15.5" hidden="false" customHeight="true" outlineLevel="0" collapsed="false">
      <c r="A639" s="78"/>
      <c r="B639" s="289" t="s">
        <v>536</v>
      </c>
      <c r="C639" s="290"/>
      <c r="D639" s="134"/>
      <c r="E639" s="291" t="s">
        <v>172</v>
      </c>
      <c r="F639" s="292"/>
      <c r="G639" s="292"/>
      <c r="H639" s="293" t="s">
        <v>537</v>
      </c>
      <c r="I639" s="293"/>
    </row>
    <row r="640" customFormat="false" ht="15.5" hidden="false" customHeight="true" outlineLevel="0" collapsed="false">
      <c r="A640" s="78"/>
      <c r="B640" s="289" t="s">
        <v>538</v>
      </c>
      <c r="C640" s="290"/>
      <c r="D640" s="134"/>
      <c r="E640" s="291" t="s">
        <v>172</v>
      </c>
      <c r="F640" s="292"/>
      <c r="G640" s="292"/>
      <c r="H640" s="293"/>
      <c r="I640" s="293"/>
    </row>
    <row r="641" customFormat="false" ht="15.5" hidden="false" customHeight="true" outlineLevel="0" collapsed="false">
      <c r="A641" s="78"/>
      <c r="B641" s="289" t="s">
        <v>539</v>
      </c>
      <c r="C641" s="290"/>
      <c r="D641" s="134"/>
      <c r="E641" s="291" t="s">
        <v>540</v>
      </c>
      <c r="F641" s="292"/>
      <c r="G641" s="292"/>
      <c r="H641" s="293"/>
      <c r="I641" s="293"/>
    </row>
    <row r="642" customFormat="false" ht="15.5" hidden="false" customHeight="true" outlineLevel="0" collapsed="false">
      <c r="A642" s="78"/>
      <c r="B642" s="289" t="s">
        <v>541</v>
      </c>
      <c r="C642" s="290"/>
      <c r="D642" s="134"/>
      <c r="E642" s="291" t="s">
        <v>540</v>
      </c>
      <c r="F642" s="292"/>
      <c r="G642" s="292"/>
      <c r="H642" s="294"/>
      <c r="I642" s="288"/>
    </row>
    <row r="643" customFormat="false" ht="15.5" hidden="false" customHeight="true" outlineLevel="0" collapsed="false">
      <c r="A643" s="78"/>
      <c r="B643" s="289" t="s">
        <v>542</v>
      </c>
      <c r="C643" s="290"/>
      <c r="D643" s="134"/>
      <c r="E643" s="291" t="s">
        <v>543</v>
      </c>
      <c r="F643" s="292"/>
      <c r="G643" s="292"/>
      <c r="H643" s="104"/>
      <c r="I643" s="104"/>
    </row>
    <row r="644" customFormat="false" ht="15.5" hidden="false" customHeight="true" outlineLevel="0" collapsed="false">
      <c r="A644" s="78"/>
      <c r="B644" s="240" t="s">
        <v>544</v>
      </c>
      <c r="C644" s="295"/>
      <c r="D644" s="134"/>
      <c r="E644" s="291" t="s">
        <v>543</v>
      </c>
      <c r="F644" s="292"/>
      <c r="G644" s="292"/>
      <c r="H644" s="104"/>
      <c r="I644" s="104"/>
    </row>
    <row r="645" customFormat="false" ht="15.5" hidden="false" customHeight="true" outlineLevel="0" collapsed="false">
      <c r="A645" s="78"/>
      <c r="B645" s="289" t="s">
        <v>545</v>
      </c>
      <c r="C645" s="290"/>
      <c r="D645" s="134"/>
      <c r="E645" s="291" t="s">
        <v>540</v>
      </c>
      <c r="F645" s="292"/>
      <c r="G645" s="292"/>
      <c r="H645" s="104"/>
      <c r="I645" s="104"/>
    </row>
    <row r="646" customFormat="false" ht="15.5" hidden="false" customHeight="true" outlineLevel="0" collapsed="false">
      <c r="A646" s="78"/>
      <c r="B646" s="289" t="s">
        <v>546</v>
      </c>
      <c r="C646" s="290"/>
      <c r="D646" s="134"/>
      <c r="E646" s="291" t="s">
        <v>172</v>
      </c>
      <c r="F646" s="292"/>
      <c r="G646" s="292"/>
      <c r="H646" s="104"/>
      <c r="I646" s="104"/>
    </row>
    <row r="647" customFormat="false" ht="15.5" hidden="false" customHeight="true" outlineLevel="0" collapsed="false">
      <c r="A647" s="78"/>
      <c r="B647" s="289" t="s">
        <v>547</v>
      </c>
      <c r="C647" s="290"/>
      <c r="D647" s="134"/>
      <c r="E647" s="291" t="s">
        <v>540</v>
      </c>
      <c r="F647" s="292"/>
      <c r="G647" s="292"/>
      <c r="H647" s="104"/>
      <c r="I647" s="104"/>
    </row>
    <row r="648" customFormat="false" ht="15.5" hidden="false" customHeight="true" outlineLevel="0" collapsed="false">
      <c r="A648" s="78"/>
      <c r="B648" s="104"/>
      <c r="C648" s="104"/>
      <c r="D648" s="104"/>
      <c r="E648" s="104"/>
      <c r="F648" s="104"/>
      <c r="G648" s="104"/>
      <c r="H648" s="104"/>
      <c r="I648" s="104"/>
    </row>
    <row r="649" customFormat="false" ht="15.5" hidden="false" customHeight="true" outlineLevel="0" collapsed="false">
      <c r="A649" s="78"/>
      <c r="B649" s="78"/>
      <c r="C649" s="78"/>
      <c r="D649" s="78"/>
      <c r="E649" s="78"/>
      <c r="F649" s="78"/>
      <c r="G649" s="78"/>
      <c r="H649" s="78"/>
      <c r="I649" s="104"/>
    </row>
    <row r="650" customFormat="false" ht="15.5" hidden="false" customHeight="true" outlineLevel="0" collapsed="false">
      <c r="A650" s="78"/>
      <c r="B650" s="104"/>
      <c r="C650" s="104"/>
      <c r="D650" s="104"/>
      <c r="E650" s="104"/>
      <c r="F650" s="104"/>
      <c r="G650" s="104"/>
      <c r="H650" s="104"/>
      <c r="I650" s="104"/>
    </row>
    <row r="651" customFormat="false" ht="15.5" hidden="false" customHeight="true" outlineLevel="0" collapsed="false">
      <c r="A651" s="78" t="s">
        <v>548</v>
      </c>
      <c r="B651" s="202" t="s">
        <v>549</v>
      </c>
      <c r="C651" s="202"/>
      <c r="D651" s="202"/>
      <c r="E651" s="202"/>
      <c r="F651" s="202"/>
      <c r="G651" s="260"/>
      <c r="H651" s="260"/>
      <c r="I651" s="104"/>
      <c r="L651" s="201"/>
      <c r="M651" s="201"/>
      <c r="N651" s="201"/>
      <c r="O651" s="201"/>
    </row>
    <row r="652" customFormat="false" ht="15.5" hidden="false" customHeight="true" outlineLevel="0" collapsed="false">
      <c r="A652" s="78"/>
      <c r="B652" s="201"/>
      <c r="C652" s="201"/>
      <c r="D652" s="201"/>
      <c r="E652" s="201"/>
      <c r="F652" s="201"/>
      <c r="G652" s="104"/>
      <c r="H652" s="104"/>
      <c r="I652" s="104"/>
      <c r="K652" s="201"/>
      <c r="L652" s="201"/>
      <c r="M652" s="201"/>
      <c r="N652" s="201"/>
      <c r="O652" s="201"/>
    </row>
    <row r="653" customFormat="false" ht="15.5" hidden="false" customHeight="true" outlineLevel="0" collapsed="false">
      <c r="A653" s="78" t="s">
        <v>216</v>
      </c>
      <c r="B653" s="202" t="s">
        <v>550</v>
      </c>
      <c r="C653" s="202"/>
      <c r="D653" s="202"/>
      <c r="E653" s="202"/>
      <c r="F653" s="202"/>
      <c r="G653" s="203" t="s">
        <v>242</v>
      </c>
      <c r="H653" s="203" t="s">
        <v>243</v>
      </c>
      <c r="I653" s="104"/>
    </row>
    <row r="654" customFormat="false" ht="15.5" hidden="false" customHeight="true" outlineLevel="0" collapsed="false">
      <c r="A654" s="78"/>
      <c r="B654" s="202"/>
      <c r="C654" s="202"/>
      <c r="D654" s="202"/>
      <c r="E654" s="202"/>
      <c r="F654" s="202"/>
      <c r="G654" s="204"/>
      <c r="H654" s="204"/>
      <c r="I654" s="104"/>
    </row>
    <row r="655" customFormat="false" ht="15.5" hidden="false" customHeight="true" outlineLevel="0" collapsed="false">
      <c r="A655" s="78"/>
      <c r="B655" s="296" t="s">
        <v>551</v>
      </c>
      <c r="C655" s="296"/>
      <c r="D655" s="296"/>
      <c r="E655" s="296"/>
      <c r="F655" s="296"/>
      <c r="G655" s="296"/>
      <c r="H655" s="296"/>
      <c r="I655" s="104"/>
    </row>
    <row r="656" customFormat="false" ht="15.5" hidden="false" customHeight="true" outlineLevel="0" collapsed="false">
      <c r="A656" s="78"/>
      <c r="B656" s="202" t="s">
        <v>552</v>
      </c>
      <c r="C656" s="202"/>
      <c r="D656" s="202"/>
      <c r="E656" s="202"/>
      <c r="F656" s="202"/>
      <c r="G656" s="204"/>
      <c r="H656" s="204"/>
      <c r="I656" s="104"/>
    </row>
    <row r="657" customFormat="false" ht="15.5" hidden="false" customHeight="true" outlineLevel="0" collapsed="false">
      <c r="A657" s="78"/>
      <c r="G657" s="104"/>
      <c r="H657" s="104"/>
      <c r="I657" s="104"/>
    </row>
    <row r="658" customFormat="false" ht="15.5" hidden="false" customHeight="true" outlineLevel="0" collapsed="false">
      <c r="A658" s="200" t="s">
        <v>553</v>
      </c>
      <c r="B658" s="200"/>
      <c r="C658" s="200"/>
      <c r="D658" s="104"/>
      <c r="E658" s="104"/>
      <c r="F658" s="104"/>
      <c r="G658" s="104"/>
      <c r="H658" s="104"/>
      <c r="I658" s="104"/>
    </row>
    <row r="659" customFormat="false" ht="15.5" hidden="false" customHeight="true" outlineLevel="0" collapsed="false">
      <c r="A659" s="78"/>
      <c r="B659" s="104"/>
      <c r="C659" s="104"/>
      <c r="D659" s="104"/>
      <c r="E659" s="104"/>
      <c r="F659" s="104"/>
      <c r="G659" s="104"/>
      <c r="H659" s="104"/>
      <c r="I659" s="104"/>
    </row>
    <row r="660" customFormat="false" ht="15.5" hidden="false" customHeight="true" outlineLevel="0" collapsed="false">
      <c r="A660" s="78"/>
      <c r="B660" s="221" t="s">
        <v>554</v>
      </c>
      <c r="C660" s="221"/>
      <c r="D660" s="221"/>
      <c r="E660" s="104"/>
      <c r="F660" s="104"/>
      <c r="G660" s="203" t="s">
        <v>242</v>
      </c>
      <c r="H660" s="203" t="s">
        <v>243</v>
      </c>
      <c r="I660" s="104"/>
    </row>
    <row r="661" customFormat="false" ht="15.5" hidden="false" customHeight="true" outlineLevel="0" collapsed="false">
      <c r="A661" s="78" t="s">
        <v>555</v>
      </c>
      <c r="B661" s="202" t="s">
        <v>556</v>
      </c>
      <c r="C661" s="202"/>
      <c r="D661" s="202"/>
      <c r="E661" s="202"/>
      <c r="F661" s="202"/>
      <c r="G661" s="204"/>
      <c r="H661" s="204"/>
      <c r="I661" s="104"/>
    </row>
    <row r="662" customFormat="false" ht="15.5" hidden="false" customHeight="true" outlineLevel="0" collapsed="false">
      <c r="A662" s="78"/>
      <c r="B662" s="104"/>
      <c r="C662" s="104"/>
      <c r="D662" s="104"/>
      <c r="E662" s="104"/>
      <c r="F662" s="104"/>
      <c r="G662" s="104"/>
      <c r="H662" s="104"/>
      <c r="I662" s="104"/>
    </row>
    <row r="663" customFormat="false" ht="15.5" hidden="false" customHeight="true" outlineLevel="0" collapsed="false">
      <c r="A663" s="78"/>
      <c r="B663" s="202" t="s">
        <v>557</v>
      </c>
      <c r="C663" s="202"/>
      <c r="D663" s="202"/>
      <c r="E663" s="201"/>
      <c r="F663" s="204"/>
      <c r="G663" s="297" t="s">
        <v>558</v>
      </c>
      <c r="H663" s="104"/>
      <c r="I663" s="104"/>
    </row>
    <row r="664" customFormat="false" ht="15.5" hidden="false" customHeight="true" outlineLevel="0" collapsed="false">
      <c r="A664" s="78"/>
      <c r="B664" s="104"/>
      <c r="C664" s="104"/>
      <c r="D664" s="104"/>
      <c r="E664" s="104"/>
      <c r="F664" s="204"/>
      <c r="G664" s="297" t="s">
        <v>559</v>
      </c>
      <c r="H664" s="104"/>
      <c r="I664" s="104"/>
    </row>
    <row r="665" customFormat="false" ht="15.5" hidden="false" customHeight="true" outlineLevel="0" collapsed="false">
      <c r="A665" s="78"/>
      <c r="B665" s="104"/>
      <c r="C665" s="104"/>
      <c r="D665" s="104"/>
      <c r="E665" s="104"/>
      <c r="F665" s="204"/>
      <c r="G665" s="297" t="s">
        <v>560</v>
      </c>
      <c r="H665" s="104"/>
      <c r="I665" s="104"/>
    </row>
    <row r="666" customFormat="false" ht="15.5" hidden="false" customHeight="true" outlineLevel="0" collapsed="false">
      <c r="A666" s="78"/>
      <c r="B666" s="104"/>
      <c r="C666" s="104"/>
      <c r="D666" s="104"/>
      <c r="E666" s="104"/>
      <c r="F666" s="297"/>
      <c r="G666" s="297"/>
      <c r="H666" s="104"/>
      <c r="I666" s="104"/>
    </row>
    <row r="667" customFormat="false" ht="15.5" hidden="false" customHeight="true" outlineLevel="0" collapsed="false">
      <c r="A667" s="78"/>
      <c r="B667" s="253" t="s">
        <v>561</v>
      </c>
      <c r="C667" s="253"/>
      <c r="D667" s="253"/>
      <c r="E667" s="253"/>
      <c r="F667" s="171"/>
      <c r="G667" s="171"/>
      <c r="H667" s="78" t="s">
        <v>562</v>
      </c>
      <c r="I667" s="104"/>
    </row>
    <row r="668" customFormat="false" ht="15.5" hidden="false" customHeight="true" outlineLevel="0" collapsed="false">
      <c r="A668" s="78"/>
      <c r="B668" s="91"/>
      <c r="C668" s="96"/>
      <c r="D668" s="96"/>
      <c r="E668" s="298"/>
      <c r="F668" s="104"/>
      <c r="G668" s="104"/>
      <c r="H668" s="104"/>
      <c r="I668" s="104"/>
    </row>
    <row r="669" customFormat="false" ht="15.5" hidden="false" customHeight="true" outlineLevel="0" collapsed="false">
      <c r="A669" s="78" t="s">
        <v>563</v>
      </c>
      <c r="B669" s="202" t="s">
        <v>564</v>
      </c>
      <c r="C669" s="202"/>
      <c r="D669" s="202"/>
      <c r="E669" s="202"/>
      <c r="F669" s="202"/>
      <c r="G669" s="203" t="s">
        <v>242</v>
      </c>
      <c r="H669" s="203" t="s">
        <v>243</v>
      </c>
      <c r="I669" s="104"/>
    </row>
    <row r="670" customFormat="false" ht="15.5" hidden="false" customHeight="true" outlineLevel="0" collapsed="false">
      <c r="A670" s="78"/>
      <c r="B670" s="202"/>
      <c r="C670" s="202"/>
      <c r="D670" s="202"/>
      <c r="E670" s="202"/>
      <c r="F670" s="202"/>
      <c r="G670" s="204"/>
      <c r="H670" s="204"/>
      <c r="I670" s="104"/>
    </row>
    <row r="671" customFormat="false" ht="15.5" hidden="false" customHeight="true" outlineLevel="0" collapsed="false">
      <c r="A671" s="78"/>
      <c r="B671" s="104"/>
      <c r="C671" s="104"/>
      <c r="D671" s="104"/>
      <c r="E671" s="104"/>
      <c r="F671" s="104"/>
      <c r="G671" s="104"/>
      <c r="H671" s="104"/>
      <c r="I671" s="104"/>
    </row>
    <row r="672" customFormat="false" ht="15.5" hidden="false" customHeight="true" outlineLevel="0" collapsed="false">
      <c r="A672" s="78"/>
      <c r="B672" s="221" t="s">
        <v>565</v>
      </c>
      <c r="C672" s="221"/>
      <c r="D672" s="221"/>
      <c r="E672" s="104"/>
      <c r="F672" s="104"/>
      <c r="G672" s="203" t="s">
        <v>242</v>
      </c>
      <c r="H672" s="203" t="s">
        <v>243</v>
      </c>
      <c r="I672" s="104"/>
    </row>
    <row r="673" customFormat="false" ht="15.5" hidden="false" customHeight="true" outlineLevel="0" collapsed="false">
      <c r="A673" s="78" t="s">
        <v>563</v>
      </c>
      <c r="B673" s="246" t="s">
        <v>566</v>
      </c>
      <c r="C673" s="246"/>
      <c r="D673" s="246"/>
      <c r="E673" s="246"/>
      <c r="F673" s="246"/>
      <c r="G673" s="204"/>
      <c r="H673" s="204"/>
      <c r="I673" s="104"/>
    </row>
    <row r="674" customFormat="false" ht="15.5" hidden="false" customHeight="true" outlineLevel="0" collapsed="false">
      <c r="A674" s="78"/>
      <c r="B674" s="104"/>
      <c r="C674" s="104"/>
      <c r="D674" s="104"/>
      <c r="E674" s="104"/>
      <c r="F674" s="104"/>
      <c r="G674" s="104"/>
      <c r="H674" s="104"/>
      <c r="I674" s="104"/>
    </row>
    <row r="675" customFormat="false" ht="15.5" hidden="false" customHeight="true" outlineLevel="0" collapsed="false">
      <c r="A675" s="78"/>
      <c r="B675" s="202" t="s">
        <v>567</v>
      </c>
      <c r="C675" s="202"/>
      <c r="D675" s="202"/>
      <c r="E675" s="202"/>
      <c r="F675" s="202"/>
      <c r="G675" s="203" t="s">
        <v>242</v>
      </c>
      <c r="H675" s="203" t="s">
        <v>243</v>
      </c>
      <c r="I675" s="104"/>
    </row>
    <row r="676" customFormat="false" ht="15.5" hidden="false" customHeight="true" outlineLevel="0" collapsed="false">
      <c r="A676" s="78"/>
      <c r="B676" s="202"/>
      <c r="C676" s="202"/>
      <c r="D676" s="202"/>
      <c r="E676" s="202"/>
      <c r="F676" s="202"/>
      <c r="G676" s="204"/>
      <c r="H676" s="204"/>
      <c r="I676" s="104"/>
    </row>
    <row r="677" customFormat="false" ht="15.5" hidden="false" customHeight="true" outlineLevel="0" collapsed="false">
      <c r="A677" s="78"/>
      <c r="B677" s="202"/>
      <c r="C677" s="202"/>
      <c r="D677" s="202"/>
      <c r="E677" s="202"/>
      <c r="F677" s="202"/>
      <c r="G677" s="202"/>
      <c r="H677" s="202"/>
      <c r="I677" s="104"/>
    </row>
    <row r="678" customFormat="false" ht="15.5" hidden="false" customHeight="true" outlineLevel="0" collapsed="false">
      <c r="A678" s="78"/>
      <c r="B678" s="221" t="s">
        <v>568</v>
      </c>
      <c r="C678" s="221"/>
      <c r="D678" s="221"/>
      <c r="E678" s="104"/>
      <c r="F678" s="104"/>
      <c r="G678" s="104"/>
      <c r="H678" s="104"/>
      <c r="I678" s="104"/>
    </row>
    <row r="679" customFormat="false" ht="15.5" hidden="false" customHeight="true" outlineLevel="0" collapsed="false">
      <c r="A679" s="78" t="s">
        <v>216</v>
      </c>
      <c r="B679" s="202" t="s">
        <v>569</v>
      </c>
      <c r="C679" s="202"/>
      <c r="D679" s="202"/>
      <c r="E679" s="202"/>
      <c r="F679" s="202"/>
      <c r="G679" s="203" t="s">
        <v>242</v>
      </c>
      <c r="H679" s="203" t="s">
        <v>243</v>
      </c>
      <c r="I679" s="104"/>
    </row>
    <row r="680" customFormat="false" ht="15.5" hidden="false" customHeight="true" outlineLevel="0" collapsed="false">
      <c r="B680" s="202"/>
      <c r="C680" s="202"/>
      <c r="D680" s="202"/>
      <c r="E680" s="202"/>
      <c r="F680" s="202"/>
      <c r="G680" s="204"/>
      <c r="H680" s="204"/>
      <c r="I680" s="104"/>
    </row>
    <row r="681" customFormat="false" ht="15.5" hidden="false" customHeight="true" outlineLevel="0" collapsed="false">
      <c r="A681" s="78"/>
      <c r="B681" s="104"/>
      <c r="C681" s="104"/>
      <c r="D681" s="104"/>
      <c r="E681" s="104"/>
      <c r="F681" s="104"/>
      <c r="G681" s="104"/>
      <c r="H681" s="104"/>
      <c r="I681" s="104"/>
    </row>
    <row r="682" customFormat="false" ht="15.5" hidden="false" customHeight="true" outlineLevel="0" collapsed="false">
      <c r="A682" s="78" t="s">
        <v>563</v>
      </c>
      <c r="B682" s="202" t="s">
        <v>570</v>
      </c>
      <c r="C682" s="202"/>
      <c r="D682" s="202"/>
      <c r="E682" s="104"/>
      <c r="F682" s="104"/>
      <c r="G682" s="104"/>
      <c r="H682" s="104"/>
      <c r="I682" s="104"/>
    </row>
    <row r="683" customFormat="false" ht="15.5" hidden="false" customHeight="true" outlineLevel="0" collapsed="false">
      <c r="A683" s="78"/>
      <c r="B683" s="204"/>
      <c r="C683" s="299" t="s">
        <v>571</v>
      </c>
      <c r="D683" s="299"/>
      <c r="E683" s="299"/>
      <c r="F683" s="299"/>
      <c r="G683" s="299"/>
      <c r="H683" s="299"/>
      <c r="I683" s="299"/>
    </row>
    <row r="684" customFormat="false" ht="15.5" hidden="false" customHeight="true" outlineLevel="0" collapsed="false">
      <c r="A684" s="78"/>
      <c r="B684" s="204"/>
      <c r="C684" s="300" t="s">
        <v>572</v>
      </c>
      <c r="D684" s="300"/>
      <c r="E684" s="300"/>
      <c r="F684" s="300"/>
      <c r="G684" s="300"/>
      <c r="H684" s="300"/>
      <c r="I684" s="300"/>
    </row>
    <row r="685" customFormat="false" ht="15.5" hidden="false" customHeight="true" outlineLevel="0" collapsed="false">
      <c r="A685" s="78"/>
      <c r="B685" s="204"/>
      <c r="C685" s="299" t="s">
        <v>573</v>
      </c>
      <c r="D685" s="299"/>
      <c r="E685" s="299"/>
      <c r="F685" s="299"/>
      <c r="G685" s="299"/>
      <c r="H685" s="299"/>
      <c r="I685" s="299"/>
    </row>
    <row r="686" customFormat="false" ht="15.5" hidden="false" customHeight="true" outlineLevel="0" collapsed="false">
      <c r="A686" s="78"/>
      <c r="B686" s="204"/>
      <c r="C686" s="299" t="s">
        <v>574</v>
      </c>
      <c r="D686" s="299"/>
      <c r="E686" s="299"/>
      <c r="F686" s="299"/>
      <c r="G686" s="299"/>
      <c r="H686" s="299"/>
      <c r="I686" s="299"/>
    </row>
    <row r="687" customFormat="false" ht="15.5" hidden="false" customHeight="true" outlineLevel="0" collapsed="false">
      <c r="A687" s="78"/>
      <c r="B687" s="104"/>
      <c r="C687" s="104"/>
      <c r="D687" s="104"/>
      <c r="E687" s="104"/>
      <c r="F687" s="104"/>
      <c r="G687" s="203" t="s">
        <v>242</v>
      </c>
      <c r="H687" s="203" t="s">
        <v>243</v>
      </c>
      <c r="I687" s="104"/>
    </row>
    <row r="688" customFormat="false" ht="15.5" hidden="false" customHeight="true" outlineLevel="0" collapsed="false">
      <c r="A688" s="78"/>
      <c r="B688" s="202" t="s">
        <v>575</v>
      </c>
      <c r="C688" s="202"/>
      <c r="D688" s="202"/>
      <c r="E688" s="202"/>
      <c r="F688" s="202"/>
      <c r="G688" s="204"/>
      <c r="H688" s="204"/>
      <c r="I688" s="104"/>
    </row>
    <row r="689" customFormat="false" ht="15.5" hidden="false" customHeight="true" outlineLevel="0" collapsed="false">
      <c r="A689" s="78"/>
      <c r="B689" s="296" t="s">
        <v>576</v>
      </c>
      <c r="C689" s="296"/>
      <c r="D689" s="296"/>
      <c r="E689" s="296"/>
      <c r="F689" s="296"/>
      <c r="G689" s="296"/>
      <c r="H689" s="296"/>
      <c r="I689" s="104"/>
    </row>
    <row r="690" customFormat="false" ht="15.5" hidden="false" customHeight="true" outlineLevel="0" collapsed="false">
      <c r="A690" s="78"/>
      <c r="B690" s="104"/>
      <c r="C690" s="104"/>
      <c r="D690" s="104"/>
      <c r="E690" s="104"/>
      <c r="F690" s="104"/>
      <c r="G690" s="104"/>
      <c r="H690" s="104"/>
      <c r="I690" s="104"/>
    </row>
    <row r="691" customFormat="false" ht="15.5" hidden="false" customHeight="true" outlineLevel="0" collapsed="false">
      <c r="A691" s="78"/>
      <c r="B691" s="202" t="s">
        <v>577</v>
      </c>
      <c r="C691" s="202"/>
      <c r="D691" s="202"/>
      <c r="E691" s="202"/>
      <c r="F691" s="202"/>
      <c r="G691" s="203" t="s">
        <v>242</v>
      </c>
      <c r="H691" s="203" t="s">
        <v>243</v>
      </c>
      <c r="I691" s="104"/>
    </row>
    <row r="692" customFormat="false" ht="15.5" hidden="false" customHeight="true" outlineLevel="0" collapsed="false">
      <c r="A692" s="78"/>
      <c r="B692" s="202"/>
      <c r="C692" s="202"/>
      <c r="D692" s="202"/>
      <c r="E692" s="202"/>
      <c r="F692" s="202"/>
      <c r="G692" s="171"/>
      <c r="H692" s="171"/>
      <c r="I692" s="104"/>
    </row>
    <row r="693" customFormat="false" ht="15.5" hidden="false" customHeight="true" outlineLevel="0" collapsed="false">
      <c r="A693" s="78"/>
      <c r="B693" s="202"/>
      <c r="C693" s="202"/>
      <c r="D693" s="202"/>
      <c r="E693" s="202"/>
      <c r="F693" s="202"/>
      <c r="G693" s="171"/>
      <c r="H693" s="171"/>
      <c r="I693" s="104"/>
    </row>
    <row r="694" customFormat="false" ht="15.5" hidden="false" customHeight="true" outlineLevel="0" collapsed="false">
      <c r="A694" s="78"/>
      <c r="B694" s="104"/>
      <c r="C694" s="104"/>
      <c r="D694" s="104"/>
      <c r="E694" s="104"/>
      <c r="F694" s="104"/>
      <c r="G694" s="104"/>
      <c r="H694" s="104"/>
      <c r="I694" s="104"/>
    </row>
    <row r="695" customFormat="false" ht="15.5" hidden="false" customHeight="true" outlineLevel="0" collapsed="false">
      <c r="A695" s="78"/>
      <c r="B695" s="221" t="s">
        <v>578</v>
      </c>
      <c r="C695" s="221"/>
      <c r="D695" s="221"/>
      <c r="E695" s="104"/>
      <c r="F695" s="104"/>
      <c r="G695" s="104"/>
      <c r="H695" s="104"/>
      <c r="I695" s="104"/>
    </row>
    <row r="696" customFormat="false" ht="15.5" hidden="false" customHeight="true" outlineLevel="0" collapsed="false">
      <c r="A696" s="78" t="s">
        <v>563</v>
      </c>
      <c r="B696" s="202" t="s">
        <v>579</v>
      </c>
      <c r="C696" s="202"/>
      <c r="D696" s="202"/>
      <c r="E696" s="202"/>
      <c r="F696" s="202"/>
      <c r="G696" s="203" t="s">
        <v>242</v>
      </c>
      <c r="H696" s="203" t="s">
        <v>243</v>
      </c>
      <c r="I696" s="104"/>
    </row>
    <row r="697" customFormat="false" ht="15.5" hidden="false" customHeight="true" outlineLevel="0" collapsed="false">
      <c r="A697" s="78"/>
      <c r="B697" s="202"/>
      <c r="C697" s="202"/>
      <c r="D697" s="202"/>
      <c r="E697" s="202"/>
      <c r="F697" s="202"/>
      <c r="G697" s="204"/>
      <c r="H697" s="204"/>
      <c r="I697" s="104"/>
    </row>
    <row r="698" customFormat="false" ht="15.5" hidden="false" customHeight="true" outlineLevel="0" collapsed="false">
      <c r="A698" s="78"/>
      <c r="B698" s="202" t="s">
        <v>580</v>
      </c>
      <c r="C698" s="202"/>
      <c r="D698" s="202"/>
      <c r="E698" s="202"/>
      <c r="F698" s="202"/>
      <c r="G698" s="104"/>
      <c r="H698" s="104"/>
      <c r="I698" s="104"/>
    </row>
    <row r="699" customFormat="false" ht="15.5" hidden="false" customHeight="true" outlineLevel="0" collapsed="false">
      <c r="A699" s="78"/>
      <c r="B699" s="202"/>
      <c r="C699" s="202"/>
      <c r="D699" s="202"/>
      <c r="E699" s="202"/>
      <c r="F699" s="202"/>
      <c r="G699" s="204"/>
      <c r="H699" s="204"/>
      <c r="I699" s="104"/>
    </row>
    <row r="700" customFormat="false" ht="15.5" hidden="false" customHeight="true" outlineLevel="0" collapsed="false">
      <c r="A700" s="78"/>
      <c r="B700" s="104"/>
      <c r="C700" s="104"/>
      <c r="D700" s="104"/>
      <c r="E700" s="104"/>
      <c r="F700" s="104"/>
      <c r="G700" s="104"/>
      <c r="H700" s="104"/>
      <c r="I700" s="104"/>
    </row>
    <row r="701" customFormat="false" ht="15.5" hidden="false" customHeight="true" outlineLevel="0" collapsed="false">
      <c r="A701" s="78" t="s">
        <v>563</v>
      </c>
      <c r="B701" s="202" t="s">
        <v>581</v>
      </c>
      <c r="C701" s="202"/>
      <c r="D701" s="202"/>
      <c r="E701" s="202"/>
      <c r="F701" s="202"/>
      <c r="G701" s="104"/>
      <c r="H701" s="104"/>
      <c r="I701" s="104"/>
    </row>
    <row r="702" customFormat="false" ht="15.5" hidden="false" customHeight="true" outlineLevel="0" collapsed="false">
      <c r="A702" s="78" t="s">
        <v>216</v>
      </c>
      <c r="B702" s="202"/>
      <c r="C702" s="202"/>
      <c r="D702" s="202"/>
      <c r="E702" s="202"/>
      <c r="F702" s="202"/>
      <c r="G702" s="203" t="s">
        <v>242</v>
      </c>
      <c r="H702" s="203" t="s">
        <v>243</v>
      </c>
      <c r="I702" s="104"/>
    </row>
    <row r="703" customFormat="false" ht="15.5" hidden="false" customHeight="true" outlineLevel="0" collapsed="false">
      <c r="A703" s="78"/>
      <c r="B703" s="202"/>
      <c r="C703" s="202"/>
      <c r="D703" s="202"/>
      <c r="E703" s="202"/>
      <c r="F703" s="202"/>
      <c r="G703" s="204"/>
      <c r="H703" s="204"/>
      <c r="I703" s="104"/>
    </row>
    <row r="704" customFormat="false" ht="15.5" hidden="false" customHeight="true" outlineLevel="0" collapsed="false">
      <c r="A704" s="78"/>
      <c r="B704" s="104"/>
      <c r="C704" s="104"/>
      <c r="D704" s="104"/>
      <c r="E704" s="104"/>
      <c r="F704" s="104"/>
      <c r="G704" s="104"/>
      <c r="H704" s="104"/>
      <c r="I704" s="104"/>
    </row>
    <row r="705" customFormat="false" ht="15.5" hidden="false" customHeight="true" outlineLevel="0" collapsed="false">
      <c r="A705" s="78"/>
      <c r="B705" s="221" t="s">
        <v>582</v>
      </c>
      <c r="C705" s="221"/>
      <c r="D705" s="221"/>
      <c r="E705" s="104"/>
      <c r="F705" s="104"/>
      <c r="G705" s="104"/>
      <c r="H705" s="104"/>
      <c r="I705" s="104"/>
    </row>
    <row r="706" customFormat="false" ht="15.5" hidden="false" customHeight="true" outlineLevel="0" collapsed="false">
      <c r="A706" s="78" t="s">
        <v>583</v>
      </c>
      <c r="B706" s="202" t="s">
        <v>584</v>
      </c>
      <c r="C706" s="202"/>
      <c r="D706" s="202"/>
      <c r="E706" s="202"/>
      <c r="F706" s="202"/>
      <c r="G706" s="203" t="s">
        <v>242</v>
      </c>
      <c r="H706" s="203" t="s">
        <v>243</v>
      </c>
      <c r="I706" s="104"/>
    </row>
    <row r="707" customFormat="false" ht="15.5" hidden="false" customHeight="true" outlineLevel="0" collapsed="false">
      <c r="A707" s="78"/>
      <c r="B707" s="202"/>
      <c r="C707" s="202"/>
      <c r="D707" s="202"/>
      <c r="E707" s="202"/>
      <c r="F707" s="202"/>
      <c r="G707" s="204"/>
      <c r="H707" s="204"/>
      <c r="I707" s="104"/>
    </row>
    <row r="708" customFormat="false" ht="15.5" hidden="false" customHeight="true" outlineLevel="0" collapsed="false">
      <c r="A708" s="78"/>
      <c r="B708" s="104"/>
      <c r="C708" s="104"/>
      <c r="D708" s="104"/>
      <c r="E708" s="104"/>
      <c r="F708" s="104"/>
      <c r="G708" s="104"/>
      <c r="H708" s="104"/>
      <c r="I708" s="104"/>
    </row>
    <row r="709" customFormat="false" ht="15.5" hidden="false" customHeight="true" outlineLevel="0" collapsed="false">
      <c r="A709" s="78"/>
      <c r="B709" s="202" t="s">
        <v>585</v>
      </c>
      <c r="C709" s="202"/>
      <c r="D709" s="202"/>
      <c r="E709" s="202"/>
      <c r="F709" s="202"/>
      <c r="G709" s="203" t="s">
        <v>242</v>
      </c>
      <c r="H709" s="203" t="s">
        <v>243</v>
      </c>
      <c r="I709" s="104"/>
    </row>
    <row r="710" customFormat="false" ht="15.5" hidden="false" customHeight="true" outlineLevel="0" collapsed="false">
      <c r="A710" s="78"/>
      <c r="B710" s="202"/>
      <c r="C710" s="202"/>
      <c r="D710" s="202"/>
      <c r="E710" s="202"/>
      <c r="F710" s="202"/>
      <c r="G710" s="204"/>
      <c r="H710" s="204"/>
      <c r="I710" s="104"/>
    </row>
    <row r="711" customFormat="false" ht="15.5" hidden="false" customHeight="true" outlineLevel="0" collapsed="false">
      <c r="A711" s="78"/>
      <c r="B711" s="280" t="s">
        <v>586</v>
      </c>
      <c r="C711" s="280"/>
      <c r="D711" s="280"/>
      <c r="E711" s="280"/>
      <c r="F711" s="280"/>
      <c r="G711" s="280"/>
      <c r="H711" s="280"/>
      <c r="I711" s="104"/>
    </row>
    <row r="712" customFormat="false" ht="20.25" hidden="false" customHeight="true" outlineLevel="0" collapsed="false">
      <c r="A712" s="78"/>
      <c r="B712" s="280"/>
      <c r="C712" s="280"/>
      <c r="D712" s="280"/>
      <c r="E712" s="280"/>
      <c r="F712" s="280"/>
      <c r="G712" s="280"/>
      <c r="H712" s="280"/>
      <c r="I712" s="104"/>
    </row>
    <row r="713" customFormat="false" ht="15" hidden="false" customHeight="false" outlineLevel="0" collapsed="false">
      <c r="A713" s="78"/>
      <c r="B713" s="104"/>
      <c r="C713" s="104"/>
      <c r="D713" s="104"/>
      <c r="E713" s="104"/>
      <c r="F713" s="104"/>
      <c r="G713" s="104"/>
      <c r="H713" s="104"/>
      <c r="I713" s="104"/>
    </row>
    <row r="714" customFormat="false" ht="15.5" hidden="false" customHeight="true" outlineLevel="0" collapsed="false">
      <c r="A714" s="78"/>
      <c r="B714" s="202" t="s">
        <v>587</v>
      </c>
      <c r="C714" s="202"/>
      <c r="D714" s="202"/>
      <c r="E714" s="202"/>
      <c r="F714" s="202"/>
      <c r="G714" s="83"/>
      <c r="H714" s="104"/>
      <c r="I714" s="104"/>
    </row>
    <row r="715" customFormat="false" ht="15.5" hidden="false" customHeight="true" outlineLevel="0" collapsed="false">
      <c r="A715" s="78"/>
      <c r="B715" s="202"/>
      <c r="C715" s="202"/>
      <c r="D715" s="202"/>
      <c r="E715" s="202"/>
      <c r="F715" s="202"/>
      <c r="G715" s="260"/>
      <c r="H715" s="260"/>
      <c r="I715" s="104"/>
    </row>
    <row r="716" customFormat="false" ht="15.5" hidden="false" customHeight="true" outlineLevel="0" collapsed="false">
      <c r="A716" s="78"/>
      <c r="B716" s="301" t="s">
        <v>588</v>
      </c>
      <c r="C716" s="301"/>
      <c r="D716" s="301"/>
      <c r="E716" s="301"/>
      <c r="F716" s="301"/>
      <c r="G716" s="301"/>
      <c r="H716" s="301"/>
      <c r="I716" s="104"/>
    </row>
    <row r="717" customFormat="false" ht="15.5" hidden="false" customHeight="true" outlineLevel="0" collapsed="false">
      <c r="A717" s="78"/>
      <c r="B717" s="301"/>
      <c r="C717" s="301"/>
      <c r="D717" s="301"/>
      <c r="E717" s="301"/>
      <c r="F717" s="301"/>
      <c r="G717" s="301"/>
      <c r="H717" s="301"/>
      <c r="I717" s="104"/>
    </row>
    <row r="718" customFormat="false" ht="15.5" hidden="false" customHeight="true" outlineLevel="0" collapsed="false">
      <c r="A718" s="78"/>
      <c r="B718" s="301"/>
      <c r="C718" s="301"/>
      <c r="D718" s="301"/>
      <c r="E718" s="301"/>
      <c r="F718" s="301"/>
      <c r="G718" s="301"/>
      <c r="H718" s="301"/>
      <c r="I718" s="104"/>
    </row>
    <row r="719" customFormat="false" ht="15.5" hidden="false" customHeight="true" outlineLevel="0" collapsed="false">
      <c r="A719" s="78"/>
      <c r="B719" s="301"/>
      <c r="C719" s="301"/>
      <c r="D719" s="301"/>
      <c r="E719" s="301"/>
      <c r="F719" s="301"/>
      <c r="G719" s="301"/>
      <c r="H719" s="301"/>
      <c r="I719" s="104"/>
    </row>
    <row r="720" customFormat="false" ht="11.25" hidden="false" customHeight="true" outlineLevel="0" collapsed="false">
      <c r="A720" s="78"/>
      <c r="B720" s="301"/>
      <c r="C720" s="301"/>
      <c r="D720" s="301"/>
      <c r="E720" s="301"/>
      <c r="F720" s="301"/>
      <c r="G720" s="301"/>
      <c r="H720" s="301"/>
      <c r="I720" s="104"/>
    </row>
    <row r="721" customFormat="false" ht="15.5" hidden="false" customHeight="true" outlineLevel="0" collapsed="false">
      <c r="A721" s="200" t="s">
        <v>589</v>
      </c>
      <c r="B721" s="200"/>
      <c r="C721" s="200"/>
      <c r="D721" s="104"/>
      <c r="E721" s="104"/>
      <c r="F721" s="104"/>
      <c r="G721" s="104"/>
      <c r="H721" s="104"/>
      <c r="I721" s="104"/>
    </row>
    <row r="722" customFormat="false" ht="15.5" hidden="false" customHeight="true" outlineLevel="0" collapsed="false">
      <c r="A722" s="78"/>
      <c r="B722" s="104"/>
      <c r="C722" s="104"/>
      <c r="D722" s="104"/>
      <c r="E722" s="104"/>
      <c r="F722" s="104"/>
      <c r="G722" s="104"/>
      <c r="H722" s="104"/>
      <c r="I722" s="104"/>
    </row>
    <row r="723" customFormat="false" ht="15.5" hidden="false" customHeight="true" outlineLevel="0" collapsed="false">
      <c r="A723" s="78"/>
      <c r="B723" s="221" t="s">
        <v>590</v>
      </c>
      <c r="C723" s="221"/>
      <c r="D723" s="221"/>
      <c r="E723" s="104"/>
      <c r="F723" s="104"/>
      <c r="G723" s="104"/>
      <c r="H723" s="104"/>
      <c r="I723" s="104"/>
    </row>
    <row r="724" customFormat="false" ht="15.5" hidden="false" customHeight="true" outlineLevel="0" collapsed="false">
      <c r="A724" s="78" t="s">
        <v>469</v>
      </c>
      <c r="B724" s="298"/>
      <c r="C724" s="83"/>
      <c r="D724" s="212" t="s">
        <v>591</v>
      </c>
      <c r="E724" s="104"/>
      <c r="F724" s="104"/>
      <c r="G724" s="104"/>
      <c r="H724" s="212" t="s">
        <v>592</v>
      </c>
      <c r="I724" s="104"/>
    </row>
    <row r="725" customFormat="false" ht="15.5" hidden="false" customHeight="true" outlineLevel="0" collapsed="false">
      <c r="A725" s="78"/>
      <c r="B725" s="78"/>
      <c r="C725" s="302"/>
      <c r="D725" s="213" t="s">
        <v>593</v>
      </c>
      <c r="E725" s="104"/>
      <c r="F725" s="78"/>
      <c r="G725" s="78"/>
      <c r="H725" s="213" t="s">
        <v>91</v>
      </c>
      <c r="I725" s="104"/>
    </row>
    <row r="726" customFormat="false" ht="15.5" hidden="false" customHeight="true" outlineLevel="0" collapsed="false">
      <c r="A726" s="303" t="s">
        <v>594</v>
      </c>
      <c r="B726" s="303"/>
      <c r="C726" s="303"/>
      <c r="D726" s="304"/>
      <c r="E726" s="305" t="s">
        <v>595</v>
      </c>
      <c r="F726" s="305"/>
      <c r="G726" s="305"/>
      <c r="H726" s="304"/>
      <c r="I726" s="104"/>
    </row>
    <row r="727" customFormat="false" ht="15.5" hidden="false" customHeight="true" outlineLevel="0" collapsed="false">
      <c r="A727" s="303" t="s">
        <v>596</v>
      </c>
      <c r="B727" s="303"/>
      <c r="C727" s="303"/>
      <c r="D727" s="306"/>
      <c r="E727" s="305" t="s">
        <v>597</v>
      </c>
      <c r="F727" s="305"/>
      <c r="G727" s="305"/>
      <c r="H727" s="306"/>
      <c r="I727" s="104"/>
    </row>
    <row r="728" customFormat="false" ht="15.5" hidden="false" customHeight="true" outlineLevel="0" collapsed="false">
      <c r="A728" s="303" t="s">
        <v>598</v>
      </c>
      <c r="B728" s="303"/>
      <c r="C728" s="303"/>
      <c r="D728" s="306"/>
      <c r="E728" s="305" t="s">
        <v>599</v>
      </c>
      <c r="F728" s="305"/>
      <c r="G728" s="305"/>
      <c r="H728" s="307"/>
      <c r="I728" s="104"/>
    </row>
    <row r="729" customFormat="false" ht="15.5" hidden="false" customHeight="true" outlineLevel="0" collapsed="false">
      <c r="A729" s="303" t="s">
        <v>600</v>
      </c>
      <c r="B729" s="303"/>
      <c r="C729" s="303"/>
      <c r="D729" s="306"/>
      <c r="E729" s="305" t="s">
        <v>359</v>
      </c>
      <c r="F729" s="305"/>
      <c r="G729" s="305"/>
      <c r="H729" s="308"/>
      <c r="I729" s="104"/>
    </row>
    <row r="730" customFormat="false" ht="15.5" hidden="false" customHeight="true" outlineLevel="0" collapsed="false">
      <c r="A730" s="303" t="s">
        <v>601</v>
      </c>
      <c r="B730" s="303"/>
      <c r="C730" s="303"/>
      <c r="D730" s="306"/>
      <c r="E730" s="305" t="s">
        <v>602</v>
      </c>
      <c r="F730" s="305"/>
      <c r="G730" s="305"/>
      <c r="H730" s="308"/>
      <c r="I730" s="104"/>
    </row>
    <row r="731" customFormat="false" ht="15.5" hidden="false" customHeight="true" outlineLevel="0" collapsed="false">
      <c r="A731" s="251" t="s">
        <v>603</v>
      </c>
      <c r="B731" s="251"/>
      <c r="C731" s="251"/>
      <c r="D731" s="306"/>
      <c r="E731" s="309" t="s">
        <v>604</v>
      </c>
      <c r="F731" s="309"/>
      <c r="G731" s="309"/>
      <c r="H731" s="307"/>
      <c r="I731" s="104"/>
    </row>
    <row r="732" customFormat="false" ht="15.5" hidden="false" customHeight="true" outlineLevel="0" collapsed="false">
      <c r="A732" s="78"/>
      <c r="B732" s="104"/>
      <c r="C732" s="104"/>
      <c r="D732" s="104"/>
      <c r="E732" s="309"/>
      <c r="F732" s="309"/>
      <c r="G732" s="309"/>
      <c r="H732" s="307"/>
      <c r="I732" s="104"/>
    </row>
    <row r="733" customFormat="false" ht="15.5" hidden="false" customHeight="true" outlineLevel="0" collapsed="false">
      <c r="A733" s="78"/>
      <c r="B733" s="104"/>
      <c r="C733" s="104"/>
      <c r="D733" s="104"/>
      <c r="E733" s="309"/>
      <c r="F733" s="309"/>
      <c r="G733" s="309"/>
      <c r="H733" s="307"/>
      <c r="I733" s="104"/>
    </row>
    <row r="734" customFormat="false" ht="15.5" hidden="false" customHeight="true" outlineLevel="0" collapsed="false">
      <c r="A734" s="78"/>
      <c r="B734" s="104"/>
      <c r="C734" s="104"/>
      <c r="D734" s="104"/>
      <c r="E734" s="104"/>
      <c r="F734" s="104"/>
      <c r="G734" s="104"/>
      <c r="H734" s="104"/>
      <c r="I734" s="104"/>
    </row>
    <row r="735" customFormat="false" ht="15.5" hidden="false" customHeight="true" outlineLevel="0" collapsed="false">
      <c r="A735" s="78" t="s">
        <v>469</v>
      </c>
      <c r="B735" s="202" t="s">
        <v>605</v>
      </c>
      <c r="C735" s="202"/>
      <c r="D735" s="202"/>
      <c r="E735" s="202"/>
      <c r="F735" s="202"/>
      <c r="G735" s="260"/>
      <c r="H735" s="260"/>
      <c r="I735" s="104"/>
    </row>
    <row r="736" customFormat="false" ht="9" hidden="false" customHeight="true" outlineLevel="0" collapsed="false">
      <c r="A736" s="78"/>
      <c r="B736" s="104"/>
      <c r="C736" s="104"/>
      <c r="D736" s="104"/>
      <c r="E736" s="104"/>
      <c r="F736" s="201"/>
      <c r="G736" s="104"/>
      <c r="H736" s="104"/>
      <c r="I736" s="104"/>
    </row>
    <row r="737" customFormat="false" ht="15.5" hidden="false" customHeight="true" outlineLevel="0" collapsed="false">
      <c r="A737" s="78"/>
      <c r="B737" s="205" t="s">
        <v>606</v>
      </c>
      <c r="C737" s="205"/>
      <c r="D737" s="205"/>
      <c r="E737" s="205"/>
      <c r="F737" s="205"/>
      <c r="G737" s="104"/>
      <c r="H737" s="104"/>
      <c r="I737" s="104"/>
    </row>
    <row r="738" customFormat="false" ht="15.5" hidden="false" customHeight="true" outlineLevel="0" collapsed="false">
      <c r="A738" s="78"/>
      <c r="B738" s="205"/>
      <c r="C738" s="205"/>
      <c r="D738" s="205"/>
      <c r="E738" s="205"/>
      <c r="F738" s="205"/>
      <c r="G738" s="260"/>
      <c r="H738" s="260"/>
      <c r="I738" s="104"/>
    </row>
    <row r="739" customFormat="false" ht="15.5" hidden="false" customHeight="true" outlineLevel="0" collapsed="false">
      <c r="A739" s="78"/>
      <c r="B739" s="104"/>
      <c r="C739" s="104"/>
      <c r="D739" s="104"/>
      <c r="E739" s="104"/>
      <c r="F739" s="104"/>
      <c r="G739" s="104"/>
      <c r="H739" s="104"/>
      <c r="I739" s="104"/>
    </row>
    <row r="740" customFormat="false" ht="15.5" hidden="false" customHeight="true" outlineLevel="0" collapsed="false">
      <c r="A740" s="78" t="s">
        <v>260</v>
      </c>
      <c r="B740" s="202" t="s">
        <v>607</v>
      </c>
      <c r="C740" s="202"/>
      <c r="D740" s="202"/>
      <c r="E740" s="202"/>
      <c r="F740" s="202"/>
      <c r="G740" s="203" t="s">
        <v>242</v>
      </c>
      <c r="H740" s="203" t="s">
        <v>243</v>
      </c>
      <c r="I740" s="104"/>
    </row>
    <row r="741" customFormat="false" ht="15.5" hidden="false" customHeight="true" outlineLevel="0" collapsed="false">
      <c r="A741" s="78"/>
      <c r="B741" s="202"/>
      <c r="C741" s="202"/>
      <c r="D741" s="202"/>
      <c r="E741" s="202"/>
      <c r="F741" s="202"/>
      <c r="G741" s="204"/>
      <c r="H741" s="204"/>
      <c r="I741" s="104"/>
    </row>
    <row r="742" customFormat="false" ht="15.5" hidden="false" customHeight="true" outlineLevel="0" collapsed="false">
      <c r="A742" s="78"/>
      <c r="B742" s="104"/>
      <c r="C742" s="104"/>
      <c r="D742" s="104"/>
      <c r="E742" s="104"/>
      <c r="F742" s="104"/>
      <c r="G742" s="104"/>
      <c r="H742" s="104"/>
      <c r="I742" s="104"/>
    </row>
    <row r="743" customFormat="false" ht="15.5" hidden="false" customHeight="true" outlineLevel="0" collapsed="false">
      <c r="A743" s="78"/>
      <c r="B743" s="310" t="s">
        <v>608</v>
      </c>
      <c r="C743" s="310"/>
      <c r="D743" s="310"/>
      <c r="E743" s="310"/>
      <c r="F743" s="204"/>
      <c r="G743" s="104" t="s">
        <v>609</v>
      </c>
      <c r="H743" s="104"/>
      <c r="I743" s="104"/>
    </row>
    <row r="744" customFormat="false" ht="15.5" hidden="false" customHeight="true" outlineLevel="0" collapsed="false">
      <c r="A744" s="78"/>
      <c r="B744" s="104"/>
      <c r="C744" s="104"/>
      <c r="D744" s="104"/>
      <c r="E744" s="104"/>
      <c r="F744" s="204"/>
      <c r="G744" s="104" t="s">
        <v>610</v>
      </c>
      <c r="H744" s="104"/>
      <c r="I744" s="104"/>
    </row>
    <row r="745" customFormat="false" ht="15.5" hidden="false" customHeight="true" outlineLevel="0" collapsed="false">
      <c r="A745" s="78"/>
      <c r="B745" s="104"/>
      <c r="C745" s="104"/>
      <c r="D745" s="104"/>
      <c r="E745" s="104"/>
      <c r="F745" s="204"/>
      <c r="G745" s="104" t="s">
        <v>611</v>
      </c>
      <c r="H745" s="104"/>
      <c r="I745" s="104"/>
    </row>
    <row r="746" customFormat="false" ht="15.5" hidden="false" customHeight="true" outlineLevel="0" collapsed="false">
      <c r="A746" s="78"/>
      <c r="B746" s="104"/>
      <c r="C746" s="104"/>
      <c r="D746" s="104"/>
      <c r="E746" s="104"/>
      <c r="F746" s="204"/>
      <c r="G746" s="104" t="s">
        <v>612</v>
      </c>
      <c r="H746" s="104"/>
      <c r="I746" s="104"/>
    </row>
    <row r="747" customFormat="false" ht="15.5" hidden="false" customHeight="true" outlineLevel="0" collapsed="false">
      <c r="A747" s="78"/>
      <c r="B747" s="104"/>
      <c r="C747" s="104"/>
      <c r="D747" s="104"/>
      <c r="E747" s="104"/>
      <c r="F747" s="104"/>
      <c r="G747" s="104"/>
      <c r="H747" s="104"/>
      <c r="I747" s="104"/>
    </row>
    <row r="748" customFormat="false" ht="15.5" hidden="false" customHeight="true" outlineLevel="0" collapsed="false">
      <c r="A748" s="78" t="s">
        <v>613</v>
      </c>
      <c r="B748" s="221" t="s">
        <v>614</v>
      </c>
      <c r="C748" s="221"/>
      <c r="D748" s="221"/>
      <c r="E748" s="104"/>
      <c r="F748" s="104"/>
      <c r="G748" s="104"/>
      <c r="H748" s="104"/>
      <c r="I748" s="104"/>
    </row>
    <row r="749" customFormat="false" ht="15.5" hidden="false" customHeight="true" outlineLevel="0" collapsed="false">
      <c r="A749" s="199" t="s">
        <v>615</v>
      </c>
      <c r="B749" s="199"/>
      <c r="C749" s="199"/>
      <c r="D749" s="199"/>
      <c r="E749" s="199"/>
      <c r="G749" s="203" t="s">
        <v>242</v>
      </c>
      <c r="H749" s="203" t="s">
        <v>243</v>
      </c>
    </row>
    <row r="750" customFormat="false" ht="15.5" hidden="false" customHeight="true" outlineLevel="0" collapsed="false">
      <c r="A750" s="78"/>
      <c r="B750" s="104" t="s">
        <v>616</v>
      </c>
      <c r="C750" s="311"/>
      <c r="D750" s="11"/>
      <c r="G750" s="204"/>
      <c r="H750" s="204"/>
    </row>
    <row r="751" customFormat="false" ht="11.25" hidden="false" customHeight="true" outlineLevel="0" collapsed="false">
      <c r="A751" s="78"/>
      <c r="B751" s="312" t="s">
        <v>617</v>
      </c>
      <c r="C751" s="312"/>
      <c r="D751" s="312"/>
      <c r="E751" s="312"/>
      <c r="F751" s="312"/>
      <c r="G751" s="171"/>
      <c r="H751" s="171"/>
    </row>
    <row r="752" customFormat="false" ht="15.5" hidden="false" customHeight="true" outlineLevel="0" collapsed="false">
      <c r="A752" s="78"/>
      <c r="B752" s="312"/>
      <c r="C752" s="312"/>
      <c r="D752" s="312"/>
      <c r="E752" s="312"/>
      <c r="F752" s="312"/>
      <c r="G752" s="171"/>
      <c r="H752" s="171"/>
    </row>
    <row r="753" customFormat="false" ht="15.5" hidden="false" customHeight="true" outlineLevel="0" collapsed="false">
      <c r="A753" s="78"/>
      <c r="B753" s="104" t="s">
        <v>618</v>
      </c>
      <c r="C753" s="313"/>
      <c r="D753" s="313"/>
      <c r="G753" s="204"/>
      <c r="H753" s="204"/>
    </row>
    <row r="754" customFormat="false" ht="15.5" hidden="false" customHeight="true" outlineLevel="0" collapsed="false">
      <c r="A754" s="78"/>
      <c r="B754" s="104" t="s">
        <v>619</v>
      </c>
      <c r="C754" s="311"/>
      <c r="D754" s="11"/>
      <c r="G754" s="204"/>
      <c r="H754" s="204"/>
    </row>
    <row r="755" customFormat="false" ht="22.5" hidden="false" customHeight="true" outlineLevel="0" collapsed="false">
      <c r="A755" s="78"/>
      <c r="B755" s="312" t="s">
        <v>620</v>
      </c>
      <c r="C755" s="312"/>
      <c r="D755" s="312"/>
      <c r="E755" s="312"/>
      <c r="F755" s="312"/>
      <c r="G755" s="171"/>
      <c r="H755" s="171"/>
      <c r="L755" s="314"/>
      <c r="M755" s="314"/>
    </row>
    <row r="756" customFormat="false" ht="15.5" hidden="false" customHeight="true" outlineLevel="0" collapsed="false">
      <c r="A756" s="78"/>
      <c r="B756" s="312"/>
      <c r="C756" s="312"/>
      <c r="D756" s="312"/>
      <c r="E756" s="312"/>
      <c r="F756" s="312"/>
      <c r="G756" s="171"/>
      <c r="H756" s="171"/>
    </row>
    <row r="757" customFormat="false" ht="15.5" hidden="false" customHeight="true" outlineLevel="0" collapsed="false">
      <c r="A757" s="78"/>
      <c r="B757" s="104" t="s">
        <v>621</v>
      </c>
      <c r="C757" s="311"/>
      <c r="D757" s="11"/>
      <c r="G757" s="204"/>
      <c r="H757" s="204"/>
    </row>
    <row r="758" customFormat="false" ht="15.5" hidden="false" customHeight="true" outlineLevel="0" collapsed="false">
      <c r="A758" s="78"/>
      <c r="B758" s="104" t="s">
        <v>622</v>
      </c>
      <c r="C758" s="311"/>
      <c r="D758" s="11"/>
      <c r="G758" s="204"/>
      <c r="H758" s="204"/>
    </row>
    <row r="759" customFormat="false" ht="15.5" hidden="false" customHeight="true" outlineLevel="0" collapsed="false">
      <c r="F759" s="11"/>
    </row>
    <row r="760" customFormat="false" ht="15.5" hidden="false" customHeight="true" outlineLevel="0" collapsed="false">
      <c r="A760" s="199" t="s">
        <v>623</v>
      </c>
      <c r="B760" s="199"/>
      <c r="C760" s="199"/>
      <c r="D760" s="199"/>
      <c r="E760" s="199"/>
      <c r="G760" s="203" t="s">
        <v>242</v>
      </c>
      <c r="H760" s="203" t="s">
        <v>243</v>
      </c>
    </row>
    <row r="761" customFormat="false" ht="12.75" hidden="false" customHeight="true" outlineLevel="0" collapsed="false">
      <c r="A761" s="78"/>
      <c r="B761" s="315" t="s">
        <v>624</v>
      </c>
      <c r="C761" s="315"/>
      <c r="D761" s="315"/>
      <c r="E761" s="315"/>
      <c r="F761" s="315"/>
      <c r="G761" s="171"/>
      <c r="H761" s="171"/>
      <c r="I761" s="104"/>
    </row>
    <row r="762" customFormat="false" ht="15.5" hidden="false" customHeight="true" outlineLevel="0" collapsed="false">
      <c r="A762" s="78"/>
      <c r="B762" s="315"/>
      <c r="C762" s="315"/>
      <c r="D762" s="315"/>
      <c r="E762" s="315"/>
      <c r="F762" s="315"/>
      <c r="G762" s="171"/>
      <c r="H762" s="171"/>
      <c r="I762" s="104"/>
    </row>
    <row r="763" customFormat="false" ht="12.75" hidden="false" customHeight="true" outlineLevel="0" collapsed="false">
      <c r="A763" s="78"/>
      <c r="B763" s="315" t="s">
        <v>625</v>
      </c>
      <c r="C763" s="315"/>
      <c r="D763" s="315"/>
      <c r="E763" s="315"/>
      <c r="F763" s="315"/>
      <c r="G763" s="171"/>
      <c r="H763" s="171"/>
      <c r="I763" s="104"/>
    </row>
    <row r="764" customFormat="false" ht="15.5" hidden="false" customHeight="true" outlineLevel="0" collapsed="false">
      <c r="A764" s="78"/>
      <c r="B764" s="315"/>
      <c r="C764" s="315"/>
      <c r="D764" s="315"/>
      <c r="E764" s="315"/>
      <c r="F764" s="315"/>
      <c r="G764" s="171"/>
      <c r="H764" s="171"/>
      <c r="I764" s="104"/>
    </row>
    <row r="765" customFormat="false" ht="13.5" hidden="false" customHeight="true" outlineLevel="0" collapsed="false">
      <c r="A765" s="78"/>
      <c r="B765" s="104" t="s">
        <v>626</v>
      </c>
      <c r="G765" s="204"/>
      <c r="H765" s="204"/>
      <c r="I765" s="104"/>
    </row>
    <row r="766" customFormat="false" ht="11.25" hidden="false" customHeight="true" outlineLevel="0" collapsed="false">
      <c r="A766" s="78"/>
      <c r="B766" s="315" t="s">
        <v>627</v>
      </c>
      <c r="C766" s="315"/>
      <c r="D766" s="315"/>
      <c r="E766" s="315"/>
      <c r="F766" s="315"/>
      <c r="G766" s="171"/>
      <c r="H766" s="171"/>
      <c r="I766" s="104"/>
    </row>
    <row r="767" customFormat="false" ht="15.5" hidden="false" customHeight="true" outlineLevel="0" collapsed="false">
      <c r="A767" s="78"/>
      <c r="B767" s="315"/>
      <c r="C767" s="315"/>
      <c r="D767" s="315"/>
      <c r="E767" s="315"/>
      <c r="F767" s="315"/>
      <c r="G767" s="171"/>
      <c r="H767" s="171"/>
      <c r="I767" s="104"/>
      <c r="L767" s="313"/>
      <c r="M767" s="313"/>
    </row>
    <row r="768" customFormat="false" ht="10.5" hidden="false" customHeight="true" outlineLevel="0" collapsed="false">
      <c r="A768" s="78"/>
      <c r="B768" s="312" t="s">
        <v>628</v>
      </c>
      <c r="C768" s="312"/>
      <c r="D768" s="312"/>
      <c r="E768" s="312"/>
      <c r="F768" s="312"/>
      <c r="G768" s="171"/>
      <c r="H768" s="171"/>
      <c r="I768" s="104"/>
      <c r="K768" s="313"/>
      <c r="L768" s="313"/>
      <c r="M768" s="313"/>
    </row>
    <row r="769" customFormat="false" ht="15.5" hidden="false" customHeight="true" outlineLevel="0" collapsed="false">
      <c r="A769" s="78"/>
      <c r="B769" s="312"/>
      <c r="C769" s="312"/>
      <c r="D769" s="312"/>
      <c r="E769" s="312"/>
      <c r="F769" s="312"/>
      <c r="G769" s="171"/>
      <c r="H769" s="171"/>
      <c r="I769" s="104"/>
      <c r="K769" s="313"/>
      <c r="L769" s="313"/>
      <c r="M769" s="313"/>
    </row>
    <row r="770" customFormat="false" ht="15.5" hidden="false" customHeight="true" outlineLevel="0" collapsed="false">
      <c r="B770" s="312" t="s">
        <v>629</v>
      </c>
      <c r="C770" s="312"/>
      <c r="D770" s="312"/>
      <c r="E770" s="312"/>
      <c r="F770" s="312"/>
      <c r="G770" s="316"/>
      <c r="H770" s="316"/>
      <c r="I770" s="104"/>
    </row>
    <row r="771" customFormat="false" ht="15.5" hidden="false" customHeight="true" outlineLevel="0" collapsed="false">
      <c r="A771" s="275" t="s">
        <v>630</v>
      </c>
      <c r="B771" s="275"/>
      <c r="C771" s="275"/>
      <c r="D771" s="275"/>
      <c r="E771" s="275"/>
      <c r="F771" s="275"/>
      <c r="G771" s="275"/>
      <c r="H771" s="275"/>
      <c r="I771" s="275"/>
    </row>
    <row r="772" customFormat="false" ht="15.5" hidden="false" customHeight="true" outlineLevel="0" collapsed="false">
      <c r="A772" s="78"/>
      <c r="B772" s="104"/>
      <c r="C772" s="104"/>
      <c r="D772" s="104"/>
      <c r="E772" s="104"/>
      <c r="F772" s="104"/>
      <c r="G772" s="104"/>
      <c r="H772" s="104"/>
      <c r="I772" s="104"/>
    </row>
    <row r="773" customFormat="false" ht="15.5" hidden="false" customHeight="true" outlineLevel="0" collapsed="false">
      <c r="A773" s="200" t="s">
        <v>631</v>
      </c>
      <c r="B773" s="200"/>
      <c r="C773" s="200"/>
      <c r="D773" s="104"/>
      <c r="E773" s="104"/>
      <c r="F773" s="104"/>
      <c r="G773" s="104"/>
      <c r="H773" s="104"/>
      <c r="I773" s="104"/>
    </row>
    <row r="774" customFormat="false" ht="15.5" hidden="false" customHeight="true" outlineLevel="0" collapsed="false">
      <c r="A774" s="78" t="s">
        <v>237</v>
      </c>
      <c r="B774" s="202" t="s">
        <v>632</v>
      </c>
      <c r="C774" s="202"/>
      <c r="D774" s="202"/>
      <c r="E774" s="202"/>
      <c r="F774" s="202"/>
      <c r="G774" s="301" t="s">
        <v>633</v>
      </c>
      <c r="H774" s="301"/>
      <c r="I774" s="301"/>
    </row>
    <row r="775" customFormat="false" ht="19.5" hidden="false" customHeight="true" outlineLevel="0" collapsed="false">
      <c r="A775" s="78"/>
      <c r="B775" s="202"/>
      <c r="C775" s="202"/>
      <c r="D775" s="202"/>
      <c r="E775" s="202"/>
      <c r="F775" s="202"/>
      <c r="G775" s="301"/>
      <c r="H775" s="301"/>
      <c r="I775" s="301"/>
    </row>
    <row r="776" customFormat="false" ht="15.5" hidden="false" customHeight="true" outlineLevel="0" collapsed="false">
      <c r="A776" s="317"/>
      <c r="B776" s="97" t="s">
        <v>634</v>
      </c>
      <c r="C776" s="97"/>
      <c r="D776" s="318" t="s">
        <v>635</v>
      </c>
      <c r="E776" s="318"/>
      <c r="F776" s="318"/>
      <c r="G776" s="318"/>
      <c r="H776" s="318"/>
      <c r="I776" s="318"/>
    </row>
    <row r="777" customFormat="false" ht="15.5" hidden="false" customHeight="true" outlineLevel="0" collapsed="false">
      <c r="A777" s="317"/>
      <c r="B777" s="97" t="s">
        <v>636</v>
      </c>
      <c r="C777" s="97"/>
      <c r="D777" s="318" t="s">
        <v>637</v>
      </c>
      <c r="E777" s="318"/>
      <c r="F777" s="318"/>
      <c r="G777" s="318"/>
      <c r="H777" s="318"/>
      <c r="I777" s="318"/>
    </row>
    <row r="778" customFormat="false" ht="15.5" hidden="false" customHeight="true" outlineLevel="0" collapsed="false">
      <c r="A778" s="317"/>
      <c r="B778" s="97" t="s">
        <v>638</v>
      </c>
      <c r="C778" s="97"/>
      <c r="D778" s="318" t="s">
        <v>639</v>
      </c>
      <c r="E778" s="318"/>
      <c r="F778" s="318"/>
      <c r="G778" s="318"/>
      <c r="H778" s="318"/>
      <c r="I778" s="318"/>
    </row>
    <row r="779" customFormat="false" ht="15.5" hidden="false" customHeight="true" outlineLevel="0" collapsed="false">
      <c r="A779" s="317"/>
      <c r="B779" s="97" t="s">
        <v>640</v>
      </c>
      <c r="C779" s="97"/>
      <c r="D779" s="318" t="s">
        <v>641</v>
      </c>
      <c r="E779" s="318"/>
      <c r="F779" s="318"/>
      <c r="G779" s="318"/>
      <c r="H779" s="318"/>
      <c r="I779" s="318"/>
    </row>
    <row r="780" customFormat="false" ht="15.5" hidden="false" customHeight="true" outlineLevel="0" collapsed="false">
      <c r="A780" s="78"/>
      <c r="B780" s="104"/>
      <c r="C780" s="104"/>
      <c r="D780" s="104"/>
      <c r="E780" s="104"/>
      <c r="F780" s="104"/>
      <c r="G780" s="104"/>
      <c r="H780" s="104"/>
      <c r="I780" s="104"/>
    </row>
    <row r="781" customFormat="false" ht="15.5" hidden="false" customHeight="true" outlineLevel="0" collapsed="false">
      <c r="A781" s="78"/>
      <c r="B781" s="202" t="s">
        <v>642</v>
      </c>
      <c r="C781" s="202"/>
      <c r="D781" s="202"/>
      <c r="E781" s="202"/>
      <c r="F781" s="202"/>
      <c r="G781" s="301" t="s">
        <v>643</v>
      </c>
      <c r="H781" s="301"/>
      <c r="I781" s="301"/>
    </row>
    <row r="782" customFormat="false" ht="18.75" hidden="false" customHeight="true" outlineLevel="0" collapsed="false">
      <c r="A782" s="78"/>
      <c r="B782" s="202"/>
      <c r="C782" s="202"/>
      <c r="D782" s="202"/>
      <c r="E782" s="202"/>
      <c r="F782" s="202"/>
      <c r="G782" s="301"/>
      <c r="H782" s="301"/>
      <c r="I782" s="301"/>
    </row>
    <row r="783" customFormat="false" ht="15.5" hidden="false" customHeight="true" outlineLevel="0" collapsed="false">
      <c r="A783" s="317"/>
      <c r="B783" s="97" t="s">
        <v>634</v>
      </c>
      <c r="C783" s="97"/>
      <c r="D783" s="318" t="s">
        <v>644</v>
      </c>
      <c r="E783" s="318"/>
      <c r="F783" s="318"/>
      <c r="G783" s="318"/>
      <c r="H783" s="318"/>
      <c r="I783" s="318"/>
    </row>
    <row r="784" customFormat="false" ht="15.5" hidden="false" customHeight="true" outlineLevel="0" collapsed="false">
      <c r="A784" s="317"/>
      <c r="B784" s="97" t="s">
        <v>636</v>
      </c>
      <c r="C784" s="97"/>
      <c r="D784" s="318" t="s">
        <v>645</v>
      </c>
      <c r="E784" s="318"/>
      <c r="F784" s="318"/>
      <c r="G784" s="318"/>
      <c r="H784" s="318"/>
      <c r="I784" s="318"/>
    </row>
    <row r="785" customFormat="false" ht="15.5" hidden="false" customHeight="true" outlineLevel="0" collapsed="false">
      <c r="A785" s="317"/>
      <c r="B785" s="97" t="s">
        <v>638</v>
      </c>
      <c r="C785" s="97"/>
      <c r="D785" s="318" t="s">
        <v>646</v>
      </c>
      <c r="E785" s="318"/>
      <c r="F785" s="318"/>
      <c r="G785" s="318"/>
      <c r="H785" s="318"/>
      <c r="I785" s="318"/>
    </row>
    <row r="786" customFormat="false" ht="15.5" hidden="false" customHeight="true" outlineLevel="0" collapsed="false">
      <c r="A786" s="317"/>
      <c r="B786" s="97" t="s">
        <v>640</v>
      </c>
      <c r="C786" s="97"/>
      <c r="D786" s="318" t="s">
        <v>647</v>
      </c>
      <c r="E786" s="318"/>
      <c r="F786" s="318"/>
      <c r="G786" s="318"/>
      <c r="H786" s="318"/>
      <c r="I786" s="318"/>
    </row>
    <row r="787" customFormat="false" ht="15.5" hidden="false" customHeight="true" outlineLevel="0" collapsed="false">
      <c r="A787" s="78"/>
      <c r="B787" s="97"/>
      <c r="C787" s="97"/>
      <c r="D787" s="318"/>
      <c r="E787" s="318"/>
      <c r="F787" s="318"/>
      <c r="G787" s="318"/>
      <c r="H787" s="318"/>
      <c r="I787" s="318"/>
    </row>
    <row r="788" customFormat="false" ht="15.5" hidden="false" customHeight="true" outlineLevel="0" collapsed="false">
      <c r="A788" s="78" t="s">
        <v>216</v>
      </c>
      <c r="B788" s="202" t="s">
        <v>648</v>
      </c>
      <c r="C788" s="202"/>
      <c r="D788" s="202"/>
      <c r="E788" s="202"/>
      <c r="F788" s="202"/>
      <c r="G788" s="203" t="s">
        <v>242</v>
      </c>
      <c r="H788" s="203" t="s">
        <v>243</v>
      </c>
      <c r="I788" s="104"/>
    </row>
    <row r="789" customFormat="false" ht="15.5" hidden="false" customHeight="true" outlineLevel="0" collapsed="false">
      <c r="A789" s="78"/>
      <c r="B789" s="202"/>
      <c r="C789" s="202"/>
      <c r="D789" s="202"/>
      <c r="E789" s="202"/>
      <c r="F789" s="202"/>
      <c r="G789" s="204"/>
      <c r="H789" s="204"/>
      <c r="I789" s="104"/>
    </row>
    <row r="790" customFormat="false" ht="15.5" hidden="false" customHeight="true" outlineLevel="0" collapsed="false">
      <c r="A790" s="78"/>
      <c r="B790" s="202"/>
      <c r="C790" s="202"/>
      <c r="D790" s="202"/>
      <c r="E790" s="202"/>
      <c r="F790" s="202"/>
      <c r="I790" s="104"/>
    </row>
    <row r="791" customFormat="false" ht="15.5" hidden="false" customHeight="true" outlineLevel="0" collapsed="false">
      <c r="A791" s="223" t="s">
        <v>649</v>
      </c>
      <c r="B791" s="223"/>
      <c r="C791" s="223"/>
      <c r="D791" s="223"/>
      <c r="E791" s="223"/>
      <c r="F791" s="104"/>
      <c r="H791" s="104"/>
      <c r="I791" s="104"/>
    </row>
    <row r="792" customFormat="false" ht="15.5" hidden="false" customHeight="true" outlineLevel="0" collapsed="false">
      <c r="A792" s="78" t="s">
        <v>472</v>
      </c>
      <c r="B792" s="202" t="s">
        <v>650</v>
      </c>
      <c r="C792" s="202"/>
      <c r="D792" s="202"/>
      <c r="E792" s="202"/>
      <c r="F792" s="202"/>
      <c r="G792" s="203" t="s">
        <v>242</v>
      </c>
      <c r="H792" s="203" t="s">
        <v>243</v>
      </c>
      <c r="I792" s="104"/>
    </row>
    <row r="793" customFormat="false" ht="15.5" hidden="false" customHeight="true" outlineLevel="0" collapsed="false">
      <c r="A793" s="78"/>
      <c r="B793" s="202"/>
      <c r="C793" s="202"/>
      <c r="D793" s="202"/>
      <c r="E793" s="202"/>
      <c r="F793" s="202"/>
      <c r="G793" s="204"/>
      <c r="H793" s="204"/>
      <c r="I793" s="104"/>
    </row>
    <row r="794" customFormat="false" ht="15.5" hidden="false" customHeight="true" outlineLevel="0" collapsed="false">
      <c r="A794" s="78"/>
      <c r="B794" s="202" t="s">
        <v>651</v>
      </c>
      <c r="C794" s="202"/>
      <c r="D794" s="202"/>
      <c r="E794" s="202"/>
      <c r="F794" s="202"/>
      <c r="G794" s="203" t="s">
        <v>242</v>
      </c>
      <c r="H794" s="203" t="s">
        <v>243</v>
      </c>
      <c r="I794" s="104"/>
    </row>
    <row r="795" customFormat="false" ht="15.5" hidden="false" customHeight="true" outlineLevel="0" collapsed="false">
      <c r="A795" s="78"/>
      <c r="B795" s="202"/>
      <c r="C795" s="202"/>
      <c r="D795" s="202"/>
      <c r="E795" s="202"/>
      <c r="F795" s="202"/>
      <c r="G795" s="204"/>
      <c r="H795" s="204"/>
      <c r="I795" s="104"/>
    </row>
    <row r="796" customFormat="false" ht="15.5" hidden="false" customHeight="true" outlineLevel="0" collapsed="false">
      <c r="A796" s="78"/>
      <c r="B796" s="202" t="s">
        <v>652</v>
      </c>
      <c r="C796" s="202"/>
      <c r="D796" s="202"/>
      <c r="E796" s="202"/>
      <c r="F796" s="202"/>
      <c r="G796" s="203" t="s">
        <v>242</v>
      </c>
      <c r="H796" s="203" t="s">
        <v>243</v>
      </c>
      <c r="I796" s="104"/>
    </row>
    <row r="797" customFormat="false" ht="15.5" hidden="false" customHeight="true" outlineLevel="0" collapsed="false">
      <c r="A797" s="78"/>
      <c r="B797" s="201"/>
      <c r="C797" s="253" t="s">
        <v>653</v>
      </c>
      <c r="D797" s="253"/>
      <c r="E797" s="253"/>
      <c r="F797" s="253"/>
      <c r="G797" s="204"/>
      <c r="H797" s="204"/>
      <c r="I797" s="104"/>
    </row>
    <row r="798" customFormat="false" ht="15.5" hidden="false" customHeight="true" outlineLevel="0" collapsed="false">
      <c r="A798" s="78" t="s">
        <v>216</v>
      </c>
      <c r="B798" s="104"/>
      <c r="C798" s="253" t="s">
        <v>654</v>
      </c>
      <c r="D798" s="253"/>
      <c r="E798" s="253"/>
      <c r="F798" s="253"/>
      <c r="G798" s="204"/>
      <c r="H798" s="204"/>
      <c r="I798" s="104"/>
    </row>
    <row r="799" customFormat="false" ht="15.5" hidden="false" customHeight="true" outlineLevel="0" collapsed="false">
      <c r="A799" s="78"/>
      <c r="B799" s="104"/>
      <c r="C799" s="202"/>
      <c r="D799" s="202"/>
      <c r="E799" s="202"/>
      <c r="F799" s="202"/>
      <c r="G799" s="104"/>
      <c r="H799" s="104"/>
      <c r="I799" s="104"/>
    </row>
    <row r="800" customFormat="false" ht="15.5" hidden="false" customHeight="true" outlineLevel="0" collapsed="false">
      <c r="A800" s="78" t="s">
        <v>655</v>
      </c>
      <c r="B800" s="202" t="s">
        <v>656</v>
      </c>
      <c r="C800" s="202"/>
      <c r="D800" s="202"/>
      <c r="E800" s="202"/>
      <c r="F800" s="202"/>
      <c r="G800" s="203" t="s">
        <v>242</v>
      </c>
      <c r="H800" s="203" t="s">
        <v>243</v>
      </c>
      <c r="I800" s="104"/>
    </row>
    <row r="801" customFormat="false" ht="15.5" hidden="false" customHeight="true" outlineLevel="0" collapsed="false">
      <c r="A801" s="78"/>
      <c r="B801" s="202"/>
      <c r="C801" s="202"/>
      <c r="D801" s="202"/>
      <c r="E801" s="202"/>
      <c r="F801" s="202"/>
      <c r="G801" s="204"/>
      <c r="H801" s="204"/>
      <c r="I801" s="104"/>
    </row>
    <row r="802" customFormat="false" ht="15.5" hidden="false" customHeight="true" outlineLevel="0" collapsed="false">
      <c r="A802" s="78"/>
      <c r="B802" s="318" t="s">
        <v>657</v>
      </c>
      <c r="C802" s="318"/>
      <c r="D802" s="318"/>
      <c r="E802" s="318"/>
      <c r="F802" s="318"/>
      <c r="G802" s="104"/>
      <c r="H802" s="104"/>
      <c r="I802" s="104"/>
    </row>
    <row r="803" customFormat="false" ht="15.5" hidden="false" customHeight="true" outlineLevel="0" collapsed="false">
      <c r="A803" s="78"/>
      <c r="B803" s="318"/>
      <c r="C803" s="318"/>
      <c r="D803" s="318"/>
      <c r="E803" s="318"/>
      <c r="F803" s="318"/>
      <c r="G803" s="203" t="s">
        <v>242</v>
      </c>
      <c r="H803" s="203" t="s">
        <v>243</v>
      </c>
      <c r="I803" s="104"/>
    </row>
    <row r="804" customFormat="false" ht="15.5" hidden="false" customHeight="true" outlineLevel="0" collapsed="false">
      <c r="A804" s="78" t="s">
        <v>658</v>
      </c>
      <c r="B804" s="83" t="s">
        <v>659</v>
      </c>
      <c r="C804" s="78"/>
      <c r="D804" s="78"/>
      <c r="E804" s="104"/>
      <c r="F804" s="97"/>
      <c r="G804" s="204"/>
      <c r="H804" s="204"/>
      <c r="I804" s="104"/>
    </row>
    <row r="805" customFormat="false" ht="15.5" hidden="false" customHeight="true" outlineLevel="0" collapsed="false">
      <c r="A805" s="104"/>
      <c r="B805" s="319" t="s">
        <v>660</v>
      </c>
      <c r="C805" s="319"/>
      <c r="D805" s="319"/>
      <c r="E805" s="319"/>
      <c r="F805" s="319"/>
      <c r="G805" s="104"/>
      <c r="H805" s="104"/>
      <c r="I805" s="104"/>
    </row>
    <row r="806" customFormat="false" ht="15.5" hidden="false" customHeight="true" outlineLevel="0" collapsed="false">
      <c r="A806" s="104"/>
      <c r="B806" s="104"/>
      <c r="C806" s="104"/>
      <c r="D806" s="104"/>
      <c r="E806" s="104"/>
      <c r="F806" s="104"/>
      <c r="G806" s="104"/>
      <c r="H806" s="104"/>
      <c r="I806" s="104"/>
    </row>
    <row r="807" customFormat="false" ht="15.5" hidden="false" customHeight="true" outlineLevel="0" collapsed="false">
      <c r="A807" s="200" t="s">
        <v>661</v>
      </c>
      <c r="B807" s="200"/>
      <c r="C807" s="200"/>
      <c r="D807" s="104"/>
      <c r="E807" s="104"/>
      <c r="F807" s="104"/>
      <c r="G807" s="104"/>
      <c r="H807" s="104"/>
      <c r="I807" s="104"/>
    </row>
    <row r="808" customFormat="false" ht="15.5" hidden="false" customHeight="true" outlineLevel="0" collapsed="false">
      <c r="A808" s="78" t="s">
        <v>662</v>
      </c>
      <c r="B808" s="320" t="s">
        <v>663</v>
      </c>
      <c r="C808" s="104"/>
      <c r="D808" s="104"/>
      <c r="E808" s="104"/>
      <c r="F808" s="104"/>
      <c r="G808" s="203" t="s">
        <v>242</v>
      </c>
      <c r="H808" s="203" t="s">
        <v>243</v>
      </c>
      <c r="I808" s="104"/>
    </row>
    <row r="809" customFormat="false" ht="15.5" hidden="false" customHeight="true" outlineLevel="0" collapsed="false">
      <c r="A809" s="78"/>
      <c r="B809" s="202" t="s">
        <v>664</v>
      </c>
      <c r="C809" s="202"/>
      <c r="D809" s="202"/>
      <c r="E809" s="202"/>
      <c r="F809" s="202"/>
      <c r="G809" s="204"/>
      <c r="H809" s="204"/>
      <c r="I809" s="104"/>
    </row>
    <row r="810" customFormat="false" ht="15.5" hidden="false" customHeight="true" outlineLevel="0" collapsed="false">
      <c r="A810" s="78"/>
      <c r="B810" s="253" t="s">
        <v>665</v>
      </c>
      <c r="C810" s="253"/>
      <c r="D810" s="253"/>
      <c r="E810" s="253"/>
      <c r="F810" s="253"/>
      <c r="G810" s="204"/>
      <c r="H810" s="204"/>
      <c r="I810" s="104"/>
    </row>
    <row r="811" customFormat="false" ht="15.5" hidden="false" customHeight="true" outlineLevel="0" collapsed="false">
      <c r="A811" s="78"/>
      <c r="B811" s="202" t="s">
        <v>666</v>
      </c>
      <c r="C811" s="202"/>
      <c r="D811" s="202"/>
      <c r="E811" s="202"/>
      <c r="F811" s="202"/>
      <c r="G811" s="204"/>
      <c r="H811" s="204"/>
      <c r="I811" s="104"/>
    </row>
    <row r="812" customFormat="false" ht="15.5" hidden="false" customHeight="true" outlineLevel="0" collapsed="false">
      <c r="A812" s="78"/>
      <c r="B812" s="202" t="s">
        <v>667</v>
      </c>
      <c r="C812" s="202"/>
      <c r="D812" s="202"/>
      <c r="E812" s="202"/>
      <c r="F812" s="202"/>
      <c r="G812" s="171"/>
      <c r="H812" s="171"/>
      <c r="I812" s="104"/>
    </row>
    <row r="813" customFormat="false" ht="15.5" hidden="false" customHeight="true" outlineLevel="0" collapsed="false">
      <c r="A813" s="78"/>
      <c r="B813" s="202"/>
      <c r="C813" s="202"/>
      <c r="D813" s="202"/>
      <c r="E813" s="202"/>
      <c r="F813" s="202"/>
      <c r="G813" s="171"/>
      <c r="H813" s="171"/>
      <c r="I813" s="104"/>
    </row>
    <row r="814" customFormat="false" ht="15.5" hidden="false" customHeight="true" outlineLevel="0" collapsed="false">
      <c r="A814" s="78"/>
      <c r="B814" s="202" t="s">
        <v>668</v>
      </c>
      <c r="C814" s="202"/>
      <c r="D814" s="202"/>
      <c r="E814" s="202"/>
      <c r="F814" s="202"/>
      <c r="G814" s="204"/>
      <c r="H814" s="204"/>
      <c r="I814" s="104"/>
    </row>
    <row r="815" customFormat="false" ht="15.5" hidden="false" customHeight="true" outlineLevel="0" collapsed="false">
      <c r="A815" s="78"/>
      <c r="B815" s="104"/>
      <c r="C815" s="104"/>
      <c r="D815" s="104"/>
      <c r="E815" s="104"/>
      <c r="F815" s="104"/>
      <c r="G815" s="104"/>
      <c r="H815" s="104"/>
      <c r="I815" s="104"/>
    </row>
    <row r="816" customFormat="false" ht="15.5" hidden="false" customHeight="true" outlineLevel="0" collapsed="false">
      <c r="A816" s="78" t="s">
        <v>669</v>
      </c>
      <c r="B816" s="202" t="s">
        <v>670</v>
      </c>
      <c r="C816" s="202"/>
      <c r="D816" s="202"/>
      <c r="E816" s="202"/>
      <c r="F816" s="202"/>
      <c r="G816" s="203" t="s">
        <v>242</v>
      </c>
      <c r="H816" s="203" t="s">
        <v>243</v>
      </c>
      <c r="I816" s="104"/>
    </row>
    <row r="817" customFormat="false" ht="15.5" hidden="false" customHeight="true" outlineLevel="0" collapsed="false">
      <c r="A817" s="78"/>
      <c r="B817" s="202"/>
      <c r="C817" s="202"/>
      <c r="D817" s="202"/>
      <c r="E817" s="202"/>
      <c r="F817" s="202"/>
      <c r="G817" s="204"/>
      <c r="H817" s="204"/>
      <c r="I817" s="104"/>
    </row>
    <row r="818" customFormat="false" ht="15.5" hidden="false" customHeight="true" outlineLevel="0" collapsed="false">
      <c r="A818" s="78"/>
      <c r="B818" s="318" t="s">
        <v>671</v>
      </c>
      <c r="C818" s="318"/>
      <c r="D818" s="318"/>
      <c r="E818" s="318"/>
      <c r="F818" s="318"/>
      <c r="G818" s="318"/>
      <c r="H818" s="318"/>
      <c r="I818" s="318"/>
    </row>
    <row r="819" customFormat="false" ht="19.25" hidden="false" customHeight="true" outlineLevel="0" collapsed="false">
      <c r="A819" s="78" t="s">
        <v>669</v>
      </c>
      <c r="B819" s="202" t="s">
        <v>672</v>
      </c>
      <c r="C819" s="202"/>
      <c r="D819" s="202"/>
      <c r="E819" s="202"/>
      <c r="F819" s="201"/>
      <c r="G819" s="321" t="s">
        <v>673</v>
      </c>
      <c r="H819" s="321" t="s">
        <v>674</v>
      </c>
      <c r="I819" s="104"/>
    </row>
    <row r="820" customFormat="false" ht="15.75" hidden="false" customHeight="true" outlineLevel="0" collapsed="false">
      <c r="A820" s="78"/>
      <c r="B820" s="202"/>
      <c r="C820" s="202"/>
      <c r="D820" s="202"/>
      <c r="E820" s="202"/>
      <c r="F820" s="203" t="s">
        <v>243</v>
      </c>
      <c r="G820" s="321"/>
      <c r="H820" s="321"/>
      <c r="I820" s="104"/>
    </row>
    <row r="821" customFormat="false" ht="15.5" hidden="false" customHeight="true" outlineLevel="0" collapsed="false">
      <c r="A821" s="78"/>
      <c r="B821" s="202"/>
      <c r="C821" s="202"/>
      <c r="D821" s="202"/>
      <c r="E821" s="202"/>
      <c r="F821" s="204"/>
      <c r="G821" s="204"/>
      <c r="H821" s="204"/>
      <c r="I821" s="104"/>
    </row>
    <row r="822" customFormat="false" ht="47.25" hidden="false" customHeight="true" outlineLevel="0" collapsed="false">
      <c r="A822" s="78"/>
      <c r="B822" s="322" t="s">
        <v>675</v>
      </c>
      <c r="C822" s="322"/>
      <c r="D822" s="322"/>
      <c r="E822" s="322"/>
      <c r="F822" s="322"/>
      <c r="G822" s="322"/>
      <c r="H822" s="322"/>
      <c r="I822" s="322"/>
    </row>
    <row r="823" customFormat="false" ht="15.5" hidden="false" customHeight="true" outlineLevel="0" collapsed="false">
      <c r="A823" s="78"/>
      <c r="B823" s="322"/>
      <c r="C823" s="322"/>
      <c r="D823" s="322"/>
      <c r="E823" s="322"/>
      <c r="F823" s="322"/>
      <c r="G823" s="322"/>
      <c r="H823" s="322"/>
      <c r="I823" s="322"/>
    </row>
    <row r="824" customFormat="false" ht="15.5" hidden="false" customHeight="true" outlineLevel="0" collapsed="false">
      <c r="A824" s="200" t="s">
        <v>676</v>
      </c>
      <c r="B824" s="200"/>
      <c r="C824" s="200"/>
      <c r="D824" s="104"/>
      <c r="E824" s="104"/>
      <c r="F824" s="104"/>
      <c r="G824" s="104"/>
      <c r="H824" s="104"/>
      <c r="I824" s="104"/>
    </row>
    <row r="825" customFormat="false" ht="15.5" hidden="false" customHeight="true" outlineLevel="0" collapsed="false">
      <c r="A825" s="78"/>
      <c r="B825" s="104"/>
      <c r="C825" s="104"/>
      <c r="D825" s="104"/>
      <c r="E825" s="104"/>
      <c r="F825" s="104"/>
      <c r="G825" s="104"/>
      <c r="H825" s="104"/>
      <c r="I825" s="104"/>
    </row>
    <row r="826" customFormat="false" ht="15.5" hidden="false" customHeight="true" outlineLevel="0" collapsed="false">
      <c r="A826" s="78" t="s">
        <v>677</v>
      </c>
      <c r="B826" s="91" t="s">
        <v>678</v>
      </c>
      <c r="C826" s="210"/>
      <c r="D826" s="210"/>
      <c r="E826" s="210"/>
      <c r="F826" s="210"/>
      <c r="G826" s="323" t="s">
        <v>242</v>
      </c>
      <c r="H826" s="323" t="s">
        <v>243</v>
      </c>
      <c r="I826" s="104"/>
    </row>
    <row r="827" customFormat="false" ht="15.5" hidden="false" customHeight="true" outlineLevel="0" collapsed="false">
      <c r="A827" s="324" t="s">
        <v>679</v>
      </c>
      <c r="B827" s="324"/>
      <c r="C827" s="324"/>
      <c r="D827" s="324"/>
      <c r="E827" s="324"/>
      <c r="F827" s="324"/>
      <c r="G827" s="204"/>
      <c r="H827" s="204"/>
      <c r="I827" s="104"/>
    </row>
    <row r="828" customFormat="false" ht="15.5" hidden="false" customHeight="true" outlineLevel="0" collapsed="false">
      <c r="A828" s="324" t="s">
        <v>680</v>
      </c>
      <c r="B828" s="324"/>
      <c r="C828" s="324"/>
      <c r="D828" s="324"/>
      <c r="E828" s="324"/>
      <c r="F828" s="324"/>
      <c r="G828" s="325"/>
      <c r="H828" s="325"/>
      <c r="I828" s="104"/>
    </row>
    <row r="829" customFormat="false" ht="15.5" hidden="false" customHeight="true" outlineLevel="0" collapsed="false">
      <c r="A829" s="326" t="s">
        <v>681</v>
      </c>
      <c r="B829" s="326"/>
      <c r="C829" s="326"/>
      <c r="D829" s="326"/>
      <c r="E829" s="326"/>
      <c r="F829" s="326"/>
      <c r="G829" s="171"/>
      <c r="H829" s="171"/>
      <c r="I829" s="104"/>
    </row>
    <row r="830" customFormat="false" ht="15.5" hidden="false" customHeight="true" outlineLevel="0" collapsed="false">
      <c r="A830" s="326"/>
      <c r="B830" s="326"/>
      <c r="C830" s="326"/>
      <c r="D830" s="326"/>
      <c r="E830" s="326"/>
      <c r="F830" s="326"/>
      <c r="G830" s="171"/>
      <c r="H830" s="171"/>
      <c r="I830" s="104"/>
    </row>
    <row r="831" customFormat="false" ht="15.5" hidden="false" customHeight="true" outlineLevel="0" collapsed="false">
      <c r="A831" s="324" t="s">
        <v>682</v>
      </c>
      <c r="B831" s="324"/>
      <c r="C831" s="324"/>
      <c r="D831" s="324"/>
      <c r="E831" s="324"/>
      <c r="F831" s="324"/>
      <c r="G831" s="204"/>
      <c r="H831" s="204"/>
      <c r="I831" s="104"/>
    </row>
    <row r="832" customFormat="false" ht="15.5" hidden="false" customHeight="true" outlineLevel="0" collapsed="false">
      <c r="A832" s="324" t="s">
        <v>683</v>
      </c>
      <c r="B832" s="324"/>
      <c r="C832" s="324"/>
      <c r="D832" s="324"/>
      <c r="E832" s="324"/>
      <c r="F832" s="324"/>
      <c r="G832" s="325"/>
      <c r="H832" s="325"/>
      <c r="I832" s="104"/>
    </row>
    <row r="833" customFormat="false" ht="15" hidden="false" customHeight="true" outlineLevel="0" collapsed="false">
      <c r="A833" s="326" t="s">
        <v>684</v>
      </c>
      <c r="B833" s="326"/>
      <c r="C833" s="326"/>
      <c r="D833" s="326"/>
      <c r="E833" s="326"/>
      <c r="F833" s="326"/>
      <c r="G833" s="171"/>
      <c r="H833" s="171"/>
      <c r="I833" s="104"/>
    </row>
    <row r="834" customFormat="false" ht="15" hidden="false" customHeight="true" outlineLevel="0" collapsed="false">
      <c r="A834" s="326"/>
      <c r="B834" s="326"/>
      <c r="C834" s="326"/>
      <c r="D834" s="326"/>
      <c r="E834" s="326"/>
      <c r="F834" s="326"/>
      <c r="G834" s="171"/>
      <c r="H834" s="171"/>
      <c r="I834" s="104"/>
    </row>
    <row r="835" customFormat="false" ht="15" hidden="false" customHeight="true" outlineLevel="0" collapsed="false">
      <c r="A835" s="326"/>
      <c r="B835" s="326"/>
      <c r="C835" s="326"/>
      <c r="D835" s="326"/>
      <c r="E835" s="326"/>
      <c r="F835" s="326"/>
      <c r="G835" s="171"/>
      <c r="H835" s="171"/>
      <c r="I835" s="104"/>
    </row>
    <row r="836" customFormat="false" ht="15" hidden="false" customHeight="true" outlineLevel="0" collapsed="false">
      <c r="A836" s="326"/>
      <c r="B836" s="326"/>
      <c r="C836" s="326"/>
      <c r="D836" s="326"/>
      <c r="E836" s="326"/>
      <c r="F836" s="326"/>
      <c r="G836" s="171"/>
      <c r="H836" s="171"/>
      <c r="I836" s="104"/>
    </row>
    <row r="837" customFormat="false" ht="15.5" hidden="false" customHeight="true" outlineLevel="0" collapsed="false">
      <c r="A837" s="326" t="s">
        <v>685</v>
      </c>
      <c r="B837" s="326"/>
      <c r="C837" s="326"/>
      <c r="D837" s="326"/>
      <c r="E837" s="326"/>
      <c r="F837" s="326"/>
      <c r="G837" s="171"/>
      <c r="H837" s="171"/>
      <c r="I837" s="104"/>
    </row>
    <row r="838" customFormat="false" ht="15.5" hidden="false" customHeight="true" outlineLevel="0" collapsed="false">
      <c r="A838" s="326"/>
      <c r="B838" s="326"/>
      <c r="C838" s="326"/>
      <c r="D838" s="326"/>
      <c r="E838" s="326"/>
      <c r="F838" s="326"/>
      <c r="G838" s="171"/>
      <c r="H838" s="171"/>
      <c r="I838" s="104"/>
    </row>
    <row r="839" customFormat="false" ht="15.5" hidden="false" customHeight="true" outlineLevel="0" collapsed="false">
      <c r="A839" s="327" t="s">
        <v>686</v>
      </c>
      <c r="B839" s="328"/>
      <c r="C839" s="328"/>
      <c r="D839" s="328"/>
      <c r="E839" s="328"/>
      <c r="F839" s="328"/>
      <c r="G839" s="328"/>
      <c r="H839" s="328"/>
      <c r="I839" s="104"/>
    </row>
    <row r="840" customFormat="false" ht="15.5" hidden="false" customHeight="true" outlineLevel="0" collapsed="false">
      <c r="B840" s="104"/>
      <c r="C840" s="104"/>
      <c r="D840" s="104"/>
      <c r="E840" s="104"/>
      <c r="F840" s="104"/>
      <c r="G840" s="104"/>
      <c r="H840" s="104"/>
      <c r="I840" s="104"/>
    </row>
    <row r="841" customFormat="false" ht="15.5" hidden="false" customHeight="true" outlineLevel="0" collapsed="false">
      <c r="A841" s="200" t="s">
        <v>687</v>
      </c>
      <c r="B841" s="200"/>
      <c r="C841" s="200"/>
      <c r="D841" s="104"/>
      <c r="E841" s="104"/>
      <c r="F841" s="104"/>
      <c r="G841" s="181" t="s">
        <v>688</v>
      </c>
      <c r="H841" s="181" t="s">
        <v>689</v>
      </c>
      <c r="I841" s="104"/>
    </row>
    <row r="842" customFormat="false" ht="15.5" hidden="false" customHeight="true" outlineLevel="0" collapsed="false">
      <c r="A842" s="78" t="s">
        <v>690</v>
      </c>
      <c r="B842" s="78"/>
      <c r="C842" s="78"/>
      <c r="D842" s="78"/>
      <c r="E842" s="104"/>
      <c r="F842" s="104"/>
      <c r="G842" s="237" t="s">
        <v>691</v>
      </c>
      <c r="H842" s="237" t="s">
        <v>692</v>
      </c>
      <c r="I842" s="104"/>
    </row>
    <row r="843" customFormat="false" ht="15.5" hidden="false" customHeight="true" outlineLevel="0" collapsed="false">
      <c r="A843" s="181" t="s">
        <v>693</v>
      </c>
      <c r="B843" s="181"/>
      <c r="C843" s="181"/>
      <c r="D843" s="181"/>
      <c r="E843" s="181"/>
      <c r="F843" s="181"/>
      <c r="G843" s="237"/>
      <c r="H843" s="237"/>
      <c r="I843" s="104"/>
    </row>
    <row r="844" customFormat="false" ht="15.5" hidden="false" customHeight="true" outlineLevel="0" collapsed="false">
      <c r="A844" s="329" t="s">
        <v>694</v>
      </c>
      <c r="B844" s="330" t="s">
        <v>695</v>
      </c>
      <c r="C844" s="330"/>
      <c r="D844" s="330"/>
      <c r="E844" s="330"/>
      <c r="F844" s="330"/>
      <c r="G844" s="204"/>
      <c r="H844" s="204"/>
      <c r="I844" s="104"/>
    </row>
    <row r="845" customFormat="false" ht="15.5" hidden="false" customHeight="true" outlineLevel="0" collapsed="false">
      <c r="A845" s="329"/>
      <c r="B845" s="331" t="s">
        <v>696</v>
      </c>
      <c r="C845" s="331"/>
      <c r="D845" s="331"/>
      <c r="E845" s="331"/>
      <c r="F845" s="331"/>
      <c r="G845" s="171"/>
      <c r="H845" s="171"/>
      <c r="I845" s="104"/>
    </row>
    <row r="846" customFormat="false" ht="15.5" hidden="false" customHeight="true" outlineLevel="0" collapsed="false">
      <c r="A846" s="329"/>
      <c r="B846" s="331"/>
      <c r="C846" s="331"/>
      <c r="D846" s="331"/>
      <c r="E846" s="331"/>
      <c r="F846" s="331"/>
      <c r="G846" s="171"/>
      <c r="H846" s="171"/>
      <c r="I846" s="104"/>
    </row>
    <row r="847" customFormat="false" ht="15.5" hidden="false" customHeight="true" outlineLevel="0" collapsed="false">
      <c r="A847" s="329"/>
      <c r="B847" s="331"/>
      <c r="C847" s="331"/>
      <c r="D847" s="331"/>
      <c r="E847" s="331"/>
      <c r="F847" s="331"/>
      <c r="G847" s="171"/>
      <c r="H847" s="171"/>
      <c r="I847" s="104"/>
    </row>
    <row r="848" customFormat="false" ht="15.5" hidden="false" customHeight="true" outlineLevel="0" collapsed="false">
      <c r="A848" s="329"/>
      <c r="B848" s="331" t="s">
        <v>697</v>
      </c>
      <c r="C848" s="331"/>
      <c r="D848" s="331"/>
      <c r="E848" s="331"/>
      <c r="F848" s="331"/>
      <c r="G848" s="171"/>
      <c r="H848" s="171"/>
      <c r="I848" s="104"/>
    </row>
    <row r="849" customFormat="false" ht="15.5" hidden="false" customHeight="true" outlineLevel="0" collapsed="false">
      <c r="A849" s="329"/>
      <c r="B849" s="331"/>
      <c r="C849" s="331"/>
      <c r="D849" s="331"/>
      <c r="E849" s="331"/>
      <c r="F849" s="331"/>
      <c r="G849" s="171"/>
      <c r="H849" s="171"/>
      <c r="I849" s="104"/>
    </row>
    <row r="850" customFormat="false" ht="15.5" hidden="false" customHeight="true" outlineLevel="0" collapsed="false">
      <c r="A850" s="106" t="s">
        <v>698</v>
      </c>
      <c r="B850" s="330" t="s">
        <v>699</v>
      </c>
      <c r="C850" s="330"/>
      <c r="D850" s="330"/>
      <c r="E850" s="330"/>
      <c r="F850" s="330"/>
      <c r="G850" s="171"/>
      <c r="H850" s="171"/>
      <c r="I850" s="104"/>
    </row>
    <row r="851" customFormat="false" ht="15" hidden="false" customHeight="true" outlineLevel="0" collapsed="false">
      <c r="A851" s="106"/>
      <c r="B851" s="330"/>
      <c r="C851" s="330"/>
      <c r="D851" s="330"/>
      <c r="E851" s="330"/>
      <c r="F851" s="330"/>
      <c r="G851" s="171"/>
      <c r="H851" s="171"/>
      <c r="I851" s="104"/>
    </row>
    <row r="852" customFormat="false" ht="15" hidden="false" customHeight="true" outlineLevel="0" collapsed="false">
      <c r="I852" s="104"/>
    </row>
    <row r="853" customFormat="false" ht="15.5" hidden="false" customHeight="true" outlineLevel="0" collapsed="false">
      <c r="A853" s="78" t="s">
        <v>690</v>
      </c>
      <c r="B853" s="207" t="s">
        <v>700</v>
      </c>
      <c r="C853" s="207"/>
      <c r="D853" s="207"/>
      <c r="E853" s="207"/>
      <c r="F853" s="207"/>
      <c r="G853" s="203" t="s">
        <v>242</v>
      </c>
      <c r="H853" s="203" t="s">
        <v>243</v>
      </c>
      <c r="I853" s="104"/>
    </row>
    <row r="854" customFormat="false" ht="15.5" hidden="false" customHeight="true" outlineLevel="0" collapsed="false">
      <c r="A854" s="78"/>
      <c r="B854" s="332" t="s">
        <v>701</v>
      </c>
      <c r="C854" s="78"/>
      <c r="D854" s="104"/>
      <c r="E854" s="104"/>
      <c r="F854" s="104"/>
      <c r="G854" s="204"/>
      <c r="H854" s="204"/>
      <c r="I854" s="104"/>
    </row>
    <row r="855" customFormat="false" ht="15.5" hidden="false" customHeight="true" outlineLevel="0" collapsed="false">
      <c r="I855" s="104"/>
    </row>
    <row r="856" customFormat="false" ht="15.5" hidden="false" customHeight="true" outlineLevel="0" collapsed="false">
      <c r="A856" s="78" t="s">
        <v>216</v>
      </c>
      <c r="B856" s="202" t="s">
        <v>702</v>
      </c>
      <c r="C856" s="202"/>
      <c r="D856" s="202"/>
      <c r="E856" s="202"/>
      <c r="F856" s="202"/>
      <c r="G856" s="203" t="s">
        <v>242</v>
      </c>
      <c r="H856" s="203" t="s">
        <v>243</v>
      </c>
      <c r="I856" s="104"/>
    </row>
    <row r="857" customFormat="false" ht="15.5" hidden="false" customHeight="true" outlineLevel="0" collapsed="false">
      <c r="B857" s="202"/>
      <c r="C857" s="202"/>
      <c r="D857" s="202"/>
      <c r="E857" s="202"/>
      <c r="F857" s="202"/>
      <c r="G857" s="204"/>
      <c r="H857" s="204"/>
      <c r="I857" s="104"/>
    </row>
    <row r="858" customFormat="false" ht="15.5" hidden="false" customHeight="true" outlineLevel="0" collapsed="false">
      <c r="A858" s="78"/>
      <c r="B858" s="207" t="s">
        <v>703</v>
      </c>
      <c r="G858" s="204"/>
      <c r="H858" s="204"/>
      <c r="I858" s="104"/>
    </row>
    <row r="859" customFormat="false" ht="15.5" hidden="false" customHeight="true" outlineLevel="0" collapsed="false">
      <c r="A859" s="78"/>
      <c r="B859" s="276" t="s">
        <v>510</v>
      </c>
      <c r="C859" s="260"/>
      <c r="D859" s="260"/>
      <c r="E859" s="260"/>
      <c r="F859" s="260"/>
      <c r="G859" s="260"/>
      <c r="H859" s="260"/>
      <c r="I859" s="104"/>
    </row>
    <row r="860" customFormat="false" ht="15.5" hidden="false" customHeight="true" outlineLevel="0" collapsed="false">
      <c r="A860" s="78"/>
      <c r="B860" s="207"/>
      <c r="I860" s="104"/>
    </row>
    <row r="861" customFormat="false" ht="15.5" hidden="false" customHeight="true" outlineLevel="0" collapsed="false">
      <c r="A861" s="78"/>
      <c r="B861" s="104"/>
      <c r="C861" s="104"/>
      <c r="D861" s="104"/>
      <c r="E861" s="104"/>
      <c r="F861" s="104"/>
      <c r="G861" s="104"/>
      <c r="H861" s="104"/>
      <c r="I861" s="104"/>
    </row>
    <row r="862" customFormat="false" ht="15.5" hidden="false" customHeight="true" outlineLevel="0" collapsed="false">
      <c r="A862" s="200" t="s">
        <v>704</v>
      </c>
      <c r="B862" s="200"/>
      <c r="C862" s="200"/>
      <c r="D862" s="104"/>
      <c r="E862" s="104"/>
      <c r="F862" s="104"/>
      <c r="G862" s="104"/>
      <c r="H862" s="104"/>
      <c r="I862" s="104"/>
    </row>
    <row r="863" customFormat="false" ht="15.5" hidden="false" customHeight="true" outlineLevel="0" collapsed="false">
      <c r="A863" s="78" t="s">
        <v>705</v>
      </c>
      <c r="B863" s="91" t="s">
        <v>706</v>
      </c>
      <c r="C863" s="83"/>
      <c r="D863" s="83"/>
      <c r="E863" s="104"/>
      <c r="F863" s="104"/>
      <c r="G863" s="203" t="s">
        <v>242</v>
      </c>
      <c r="H863" s="203" t="s">
        <v>243</v>
      </c>
      <c r="I863" s="104"/>
    </row>
    <row r="864" customFormat="false" ht="15.5" hidden="false" customHeight="true" outlineLevel="0" collapsed="false">
      <c r="A864" s="78"/>
      <c r="B864" s="207" t="s">
        <v>707</v>
      </c>
      <c r="C864" s="207"/>
      <c r="D864" s="207"/>
      <c r="E864" s="207"/>
      <c r="F864" s="207"/>
      <c r="G864" s="204"/>
      <c r="H864" s="204"/>
      <c r="I864" s="104"/>
    </row>
    <row r="865" customFormat="false" ht="15.5" hidden="false" customHeight="true" outlineLevel="0" collapsed="false">
      <c r="A865" s="78"/>
      <c r="B865" s="207" t="s">
        <v>708</v>
      </c>
      <c r="C865" s="207"/>
      <c r="D865" s="207"/>
      <c r="E865" s="207"/>
      <c r="F865" s="207"/>
      <c r="G865" s="204"/>
      <c r="H865" s="204"/>
      <c r="I865" s="104"/>
    </row>
    <row r="866" customFormat="false" ht="15.5" hidden="false" customHeight="true" outlineLevel="0" collapsed="false">
      <c r="A866" s="78" t="s">
        <v>705</v>
      </c>
      <c r="B866" s="207" t="s">
        <v>709</v>
      </c>
      <c r="C866" s="207"/>
      <c r="D866" s="207"/>
      <c r="E866" s="207"/>
      <c r="F866" s="207"/>
      <c r="G866" s="204"/>
      <c r="H866" s="204"/>
      <c r="I866" s="104"/>
    </row>
    <row r="867" customFormat="false" ht="15.5" hidden="false" customHeight="true" outlineLevel="0" collapsed="false">
      <c r="A867" s="78"/>
      <c r="B867" s="276" t="s">
        <v>510</v>
      </c>
      <c r="C867" s="260"/>
      <c r="D867" s="260"/>
      <c r="E867" s="260"/>
      <c r="F867" s="260"/>
      <c r="G867" s="260"/>
      <c r="H867" s="260"/>
      <c r="I867" s="104"/>
    </row>
    <row r="868" customFormat="false" ht="15.5" hidden="false" customHeight="true" outlineLevel="0" collapsed="false">
      <c r="A868" s="78"/>
      <c r="B868" s="276"/>
      <c r="C868" s="78"/>
      <c r="D868" s="78"/>
      <c r="E868" s="78"/>
      <c r="F868" s="78"/>
      <c r="G868" s="78"/>
      <c r="H868" s="78"/>
      <c r="I868" s="104"/>
    </row>
    <row r="869" customFormat="false" ht="15.5" hidden="false" customHeight="true" outlineLevel="0" collapsed="false">
      <c r="A869" s="78" t="s">
        <v>710</v>
      </c>
      <c r="B869" s="91" t="s">
        <v>711</v>
      </c>
      <c r="C869" s="104"/>
      <c r="D869" s="104"/>
      <c r="E869" s="104"/>
      <c r="F869" s="104"/>
      <c r="G869" s="203" t="s">
        <v>242</v>
      </c>
      <c r="H869" s="203" t="s">
        <v>243</v>
      </c>
      <c r="I869" s="104"/>
    </row>
    <row r="870" customFormat="false" ht="15" hidden="false" customHeight="true" outlineLevel="0" collapsed="false">
      <c r="A870" s="78"/>
      <c r="B870" s="253" t="s">
        <v>712</v>
      </c>
      <c r="C870" s="253"/>
      <c r="D870" s="253"/>
      <c r="E870" s="253"/>
      <c r="F870" s="253"/>
      <c r="G870" s="204"/>
      <c r="H870" s="204"/>
      <c r="I870" s="104"/>
    </row>
    <row r="871" customFormat="false" ht="15" hidden="false" customHeight="true" outlineLevel="0" collapsed="false">
      <c r="A871" s="78"/>
      <c r="B871" s="333" t="s">
        <v>713</v>
      </c>
      <c r="C871" s="333"/>
      <c r="D871" s="333"/>
      <c r="E871" s="333"/>
      <c r="F871" s="333"/>
      <c r="G871" s="333"/>
      <c r="H871" s="333"/>
      <c r="I871" s="104"/>
    </row>
    <row r="872" customFormat="false" ht="15.5" hidden="false" customHeight="true" outlineLevel="0" collapsed="false">
      <c r="A872" s="78"/>
      <c r="B872" s="202" t="s">
        <v>714</v>
      </c>
      <c r="C872" s="202"/>
      <c r="D872" s="202"/>
      <c r="E872" s="202"/>
      <c r="F872" s="202"/>
      <c r="G872" s="204"/>
      <c r="H872" s="204"/>
      <c r="I872" s="104"/>
    </row>
    <row r="873" customFormat="false" ht="15.5" hidden="false" customHeight="true" outlineLevel="0" collapsed="false">
      <c r="A873" s="78"/>
      <c r="B873" s="333" t="s">
        <v>715</v>
      </c>
      <c r="C873" s="333"/>
      <c r="D873" s="333"/>
      <c r="E873" s="333"/>
      <c r="F873" s="333"/>
      <c r="G873" s="104"/>
      <c r="H873" s="104"/>
      <c r="I873" s="104"/>
    </row>
    <row r="874" customFormat="false" ht="15.5" hidden="false" customHeight="true" outlineLevel="0" collapsed="false">
      <c r="A874" s="78"/>
      <c r="B874" s="207" t="s">
        <v>716</v>
      </c>
      <c r="C874" s="207"/>
      <c r="D874" s="207"/>
      <c r="E874" s="207"/>
      <c r="F874" s="207"/>
      <c r="G874" s="204"/>
      <c r="H874" s="204"/>
      <c r="I874" s="104"/>
    </row>
    <row r="875" customFormat="false" ht="15.5" hidden="false" customHeight="true" outlineLevel="0" collapsed="false">
      <c r="A875" s="104"/>
      <c r="B875" s="104"/>
      <c r="C875" s="104"/>
      <c r="D875" s="104"/>
      <c r="E875" s="104"/>
      <c r="F875" s="104"/>
      <c r="G875" s="104"/>
      <c r="H875" s="104"/>
      <c r="I875" s="104"/>
    </row>
    <row r="876" customFormat="false" ht="15.5" hidden="false" customHeight="true" outlineLevel="0" collapsed="false">
      <c r="A876" s="200" t="s">
        <v>717</v>
      </c>
      <c r="B876" s="200"/>
      <c r="C876" s="200"/>
      <c r="D876" s="104"/>
      <c r="E876" s="104"/>
      <c r="F876" s="104"/>
      <c r="G876" s="104"/>
      <c r="H876" s="104"/>
      <c r="I876" s="104"/>
    </row>
    <row r="877" customFormat="false" ht="15.5" hidden="false" customHeight="true" outlineLevel="0" collapsed="false">
      <c r="A877" s="78" t="s">
        <v>246</v>
      </c>
      <c r="B877" s="334" t="s">
        <v>718</v>
      </c>
      <c r="C877" s="88"/>
      <c r="D877" s="88"/>
      <c r="E877" s="88"/>
      <c r="F877" s="88"/>
      <c r="G877" s="203" t="s">
        <v>242</v>
      </c>
      <c r="H877" s="203" t="s">
        <v>243</v>
      </c>
      <c r="I877" s="104"/>
    </row>
    <row r="878" customFormat="false" ht="15.5" hidden="false" customHeight="true" outlineLevel="0" collapsed="false">
      <c r="A878" s="78"/>
      <c r="B878" s="207" t="s">
        <v>719</v>
      </c>
      <c r="C878" s="207"/>
      <c r="D878" s="207"/>
      <c r="E878" s="207"/>
      <c r="F878" s="207"/>
      <c r="G878" s="204"/>
      <c r="H878" s="204"/>
      <c r="I878" s="104"/>
    </row>
    <row r="879" customFormat="false" ht="15.5" hidden="false" customHeight="true" outlineLevel="0" collapsed="false">
      <c r="A879" s="78"/>
      <c r="B879" s="207" t="s">
        <v>720</v>
      </c>
      <c r="C879" s="207"/>
      <c r="D879" s="207"/>
      <c r="E879" s="207"/>
      <c r="F879" s="207"/>
      <c r="G879" s="204"/>
      <c r="H879" s="204"/>
      <c r="I879" s="104"/>
    </row>
    <row r="880" customFormat="false" ht="15.5" hidden="false" customHeight="true" outlineLevel="0" collapsed="false">
      <c r="A880" s="78"/>
      <c r="B880" s="78"/>
      <c r="C880" s="78"/>
      <c r="D880" s="78"/>
      <c r="E880" s="78"/>
      <c r="F880" s="78"/>
      <c r="G880" s="78"/>
      <c r="H880" s="78"/>
      <c r="I880" s="104"/>
    </row>
    <row r="881" customFormat="false" ht="15.5" hidden="false" customHeight="true" outlineLevel="0" collapsed="false">
      <c r="A881" s="78" t="s">
        <v>246</v>
      </c>
      <c r="B881" s="91" t="s">
        <v>721</v>
      </c>
      <c r="C881" s="78"/>
      <c r="D881" s="78"/>
      <c r="E881" s="78"/>
      <c r="F881" s="104"/>
      <c r="G881" s="203" t="s">
        <v>242</v>
      </c>
      <c r="H881" s="203" t="s">
        <v>243</v>
      </c>
      <c r="I881" s="104"/>
    </row>
    <row r="882" customFormat="false" ht="15.5" hidden="false" customHeight="true" outlineLevel="0" collapsed="false">
      <c r="A882" s="78"/>
      <c r="B882" s="335" t="s">
        <v>722</v>
      </c>
      <c r="C882" s="335"/>
      <c r="D882" s="335"/>
      <c r="E882" s="335"/>
      <c r="F882" s="335"/>
      <c r="G882" s="317"/>
      <c r="H882" s="317"/>
      <c r="I882" s="104"/>
    </row>
    <row r="883" customFormat="false" ht="15.5" hidden="false" customHeight="true" outlineLevel="0" collapsed="false">
      <c r="A883" s="78"/>
      <c r="B883" s="335" t="s">
        <v>723</v>
      </c>
      <c r="C883" s="335"/>
      <c r="D883" s="335"/>
      <c r="E883" s="335"/>
      <c r="F883" s="335"/>
      <c r="G883" s="317"/>
      <c r="H883" s="317"/>
      <c r="I883" s="104"/>
    </row>
    <row r="884" customFormat="false" ht="15.5" hidden="false" customHeight="true" outlineLevel="0" collapsed="false">
      <c r="A884" s="78"/>
      <c r="B884" s="336" t="s">
        <v>724</v>
      </c>
      <c r="C884" s="336"/>
      <c r="D884" s="336"/>
      <c r="E884" s="336"/>
      <c r="F884" s="336"/>
      <c r="G884" s="336"/>
      <c r="H884" s="336"/>
      <c r="I884" s="104"/>
    </row>
    <row r="885" customFormat="false" ht="15.5" hidden="false" customHeight="true" outlineLevel="0" collapsed="false">
      <c r="A885" s="78"/>
      <c r="B885" s="335" t="s">
        <v>725</v>
      </c>
      <c r="C885" s="335"/>
      <c r="D885" s="335"/>
      <c r="E885" s="335"/>
      <c r="F885" s="335"/>
      <c r="G885" s="317"/>
      <c r="H885" s="317"/>
      <c r="I885" s="104"/>
    </row>
    <row r="886" customFormat="false" ht="15.5" hidden="false" customHeight="true" outlineLevel="0" collapsed="false">
      <c r="A886" s="78"/>
      <c r="B886" s="337" t="s">
        <v>726</v>
      </c>
      <c r="C886" s="337"/>
      <c r="D886" s="337"/>
      <c r="E886" s="337"/>
      <c r="F886" s="337"/>
      <c r="G886" s="317"/>
      <c r="H886" s="317"/>
      <c r="I886" s="104"/>
    </row>
    <row r="887" customFormat="false" ht="15.5" hidden="false" customHeight="true" outlineLevel="0" collapsed="false">
      <c r="A887" s="78"/>
      <c r="B887" s="104"/>
      <c r="C887" s="104"/>
      <c r="D887" s="104"/>
      <c r="E887" s="104"/>
      <c r="F887" s="104"/>
      <c r="G887" s="104"/>
      <c r="H887" s="104"/>
      <c r="I887" s="104"/>
    </row>
    <row r="888" customFormat="false" ht="15.5" hidden="false" customHeight="true" outlineLevel="0" collapsed="false">
      <c r="A888" s="78" t="s">
        <v>246</v>
      </c>
      <c r="B888" s="202" t="s">
        <v>727</v>
      </c>
      <c r="C888" s="202"/>
      <c r="D888" s="202"/>
      <c r="E888" s="202"/>
      <c r="F888" s="202"/>
      <c r="G888" s="203" t="s">
        <v>242</v>
      </c>
      <c r="H888" s="203" t="s">
        <v>243</v>
      </c>
      <c r="I888" s="104"/>
    </row>
    <row r="889" customFormat="false" ht="15.5" hidden="false" customHeight="true" outlineLevel="0" collapsed="false">
      <c r="A889" s="78"/>
      <c r="B889" s="202"/>
      <c r="C889" s="202"/>
      <c r="D889" s="202"/>
      <c r="E889" s="202"/>
      <c r="F889" s="202"/>
      <c r="G889" s="204"/>
      <c r="H889" s="204"/>
      <c r="I889" s="104"/>
    </row>
    <row r="890" customFormat="false" ht="15.5" hidden="false" customHeight="true" outlineLevel="0" collapsed="false">
      <c r="A890" s="78"/>
      <c r="B890" s="245" t="s">
        <v>728</v>
      </c>
      <c r="C890" s="260"/>
      <c r="D890" s="260"/>
      <c r="E890" s="260"/>
      <c r="F890" s="260"/>
      <c r="G890" s="260"/>
      <c r="H890" s="260"/>
      <c r="I890" s="104"/>
    </row>
    <row r="891" customFormat="false" ht="15.5" hidden="false" customHeight="true" outlineLevel="0" collapsed="false">
      <c r="A891" s="78"/>
      <c r="B891" s="104"/>
      <c r="C891" s="104"/>
      <c r="D891" s="104"/>
      <c r="E891" s="104"/>
      <c r="F891" s="104"/>
      <c r="G891" s="104"/>
      <c r="H891" s="104"/>
      <c r="I891" s="104"/>
    </row>
    <row r="892" customFormat="false" ht="15.5" hidden="false" customHeight="true" outlineLevel="0" collapsed="false">
      <c r="A892" s="78" t="s">
        <v>729</v>
      </c>
      <c r="B892" s="91" t="s">
        <v>730</v>
      </c>
      <c r="C892" s="104"/>
      <c r="D892" s="104"/>
      <c r="E892" s="104"/>
      <c r="F892" s="104"/>
      <c r="G892" s="104"/>
      <c r="H892" s="104"/>
      <c r="I892" s="104"/>
    </row>
    <row r="893" customFormat="false" ht="15.5" hidden="false" customHeight="true" outlineLevel="0" collapsed="false">
      <c r="A893" s="78"/>
      <c r="B893" s="202" t="s">
        <v>731</v>
      </c>
      <c r="C893" s="202"/>
      <c r="D893" s="202"/>
      <c r="E893" s="202"/>
      <c r="F893" s="202"/>
      <c r="G893" s="203" t="s">
        <v>242</v>
      </c>
      <c r="H893" s="203" t="s">
        <v>243</v>
      </c>
      <c r="I893" s="104"/>
    </row>
    <row r="894" customFormat="false" ht="15.5" hidden="false" customHeight="true" outlineLevel="0" collapsed="false">
      <c r="A894" s="78"/>
      <c r="B894" s="202"/>
      <c r="C894" s="202"/>
      <c r="D894" s="202"/>
      <c r="E894" s="202"/>
      <c r="F894" s="202"/>
      <c r="G894" s="204"/>
      <c r="H894" s="204"/>
      <c r="I894" s="104"/>
    </row>
    <row r="895" customFormat="false" ht="35" hidden="false" customHeight="true" outlineLevel="0" collapsed="false">
      <c r="A895" s="78"/>
      <c r="B895" s="301" t="s">
        <v>732</v>
      </c>
      <c r="C895" s="301"/>
      <c r="D895" s="301"/>
      <c r="E895" s="301"/>
      <c r="F895" s="301"/>
      <c r="G895" s="301"/>
      <c r="H895" s="301"/>
      <c r="I895" s="301"/>
    </row>
    <row r="896" customFormat="false" ht="15.5" hidden="false" customHeight="true" outlineLevel="0" collapsed="false">
      <c r="A896" s="78"/>
      <c r="B896" s="202" t="s">
        <v>733</v>
      </c>
      <c r="C896" s="202"/>
      <c r="D896" s="202"/>
      <c r="E896" s="202"/>
      <c r="F896" s="202"/>
      <c r="G896" s="203" t="s">
        <v>242</v>
      </c>
      <c r="H896" s="203" t="s">
        <v>243</v>
      </c>
      <c r="I896" s="104"/>
    </row>
    <row r="897" customFormat="false" ht="15.5" hidden="false" customHeight="true" outlineLevel="0" collapsed="false">
      <c r="A897" s="78"/>
      <c r="B897" s="202"/>
      <c r="C897" s="202"/>
      <c r="D897" s="202"/>
      <c r="E897" s="202"/>
      <c r="F897" s="202"/>
      <c r="G897" s="204"/>
      <c r="H897" s="204"/>
      <c r="I897" s="104"/>
    </row>
    <row r="898" customFormat="false" ht="23.5" hidden="false" customHeight="true" outlineLevel="0" collapsed="false">
      <c r="A898" s="78"/>
      <c r="B898" s="301" t="s">
        <v>734</v>
      </c>
      <c r="C898" s="301"/>
      <c r="D898" s="301"/>
      <c r="E898" s="301"/>
      <c r="F898" s="301"/>
      <c r="G898" s="301"/>
      <c r="H898" s="301"/>
      <c r="I898" s="301"/>
    </row>
    <row r="899" customFormat="false" ht="15.5" hidden="false" customHeight="true" outlineLevel="0" collapsed="false">
      <c r="A899" s="78"/>
      <c r="B899" s="202" t="s">
        <v>735</v>
      </c>
      <c r="C899" s="202"/>
      <c r="D899" s="202"/>
      <c r="E899" s="202"/>
      <c r="F899" s="202"/>
      <c r="I899" s="104"/>
    </row>
    <row r="900" customFormat="false" ht="15.5" hidden="false" customHeight="true" outlineLevel="0" collapsed="false">
      <c r="A900" s="78"/>
      <c r="B900" s="202"/>
      <c r="C900" s="202"/>
      <c r="D900" s="202"/>
      <c r="E900" s="202"/>
      <c r="F900" s="202"/>
      <c r="G900" s="203" t="s">
        <v>242</v>
      </c>
      <c r="H900" s="203" t="s">
        <v>243</v>
      </c>
      <c r="I900" s="104"/>
    </row>
    <row r="901" customFormat="false" ht="15.5" hidden="false" customHeight="true" outlineLevel="0" collapsed="false">
      <c r="A901" s="78"/>
      <c r="B901" s="202"/>
      <c r="C901" s="202"/>
      <c r="D901" s="202"/>
      <c r="E901" s="202"/>
      <c r="F901" s="202"/>
      <c r="G901" s="204"/>
      <c r="H901" s="204"/>
      <c r="I901" s="104"/>
    </row>
    <row r="902" customFormat="false" ht="15.5" hidden="false" customHeight="true" outlineLevel="0" collapsed="false">
      <c r="A902" s="78"/>
      <c r="B902" s="104"/>
      <c r="C902" s="104"/>
      <c r="D902" s="104"/>
      <c r="E902" s="104"/>
      <c r="F902" s="104"/>
      <c r="G902" s="104"/>
      <c r="H902" s="104"/>
      <c r="I902" s="104"/>
    </row>
    <row r="903" customFormat="false" ht="15.5" hidden="false" customHeight="true" outlineLevel="0" collapsed="false">
      <c r="A903" s="200" t="s">
        <v>736</v>
      </c>
      <c r="B903" s="200"/>
      <c r="C903" s="200"/>
      <c r="D903" s="104"/>
      <c r="E903" s="104"/>
      <c r="F903" s="104"/>
      <c r="G903" s="104"/>
      <c r="H903" s="104"/>
      <c r="I903" s="104"/>
    </row>
    <row r="904" customFormat="false" ht="15.5" hidden="false" customHeight="true" outlineLevel="0" collapsed="false">
      <c r="A904" s="78" t="s">
        <v>655</v>
      </c>
      <c r="B904" s="246" t="s">
        <v>737</v>
      </c>
      <c r="C904" s="246"/>
      <c r="D904" s="246"/>
      <c r="E904" s="246"/>
      <c r="F904" s="246"/>
      <c r="G904" s="204"/>
      <c r="H904" s="204"/>
      <c r="I904" s="104"/>
    </row>
    <row r="905" customFormat="false" ht="25.25" hidden="false" customHeight="true" outlineLevel="0" collapsed="false">
      <c r="A905" s="78"/>
      <c r="B905" s="301" t="s">
        <v>738</v>
      </c>
      <c r="C905" s="301"/>
      <c r="D905" s="301"/>
      <c r="E905" s="301"/>
      <c r="F905" s="301"/>
      <c r="G905" s="301"/>
      <c r="H905" s="301"/>
      <c r="I905" s="104"/>
    </row>
    <row r="906" customFormat="false" ht="15.5" hidden="false" customHeight="true" outlineLevel="0" collapsed="false">
      <c r="A906" s="78"/>
      <c r="B906" s="83" t="s">
        <v>739</v>
      </c>
      <c r="C906" s="338"/>
      <c r="D906" s="338"/>
      <c r="E906" s="338"/>
      <c r="F906" s="338"/>
      <c r="G906" s="338"/>
      <c r="H906" s="339"/>
      <c r="I906" s="104"/>
    </row>
    <row r="907" customFormat="false" ht="15.5" hidden="false" customHeight="true" outlineLevel="0" collapsed="false">
      <c r="A907" s="78"/>
      <c r="B907" s="104"/>
      <c r="C907" s="104"/>
      <c r="D907" s="104"/>
      <c r="E907" s="104"/>
      <c r="F907" s="104"/>
      <c r="G907" s="104"/>
      <c r="H907" s="104"/>
      <c r="I907" s="104"/>
    </row>
    <row r="908" customFormat="false" ht="15.5" hidden="false" customHeight="true" outlineLevel="0" collapsed="false">
      <c r="A908" s="78" t="s">
        <v>740</v>
      </c>
      <c r="B908" s="202" t="s">
        <v>741</v>
      </c>
      <c r="C908" s="202"/>
      <c r="D908" s="202"/>
      <c r="E908" s="202"/>
      <c r="F908" s="202"/>
      <c r="G908" s="104"/>
      <c r="H908" s="104"/>
      <c r="I908" s="104"/>
    </row>
    <row r="909" customFormat="false" ht="15.5" hidden="false" customHeight="true" outlineLevel="0" collapsed="false">
      <c r="A909" s="78"/>
      <c r="B909" s="202"/>
      <c r="C909" s="202"/>
      <c r="D909" s="202"/>
      <c r="E909" s="202"/>
      <c r="F909" s="202"/>
      <c r="G909" s="260"/>
      <c r="H909" s="260"/>
      <c r="I909" s="104"/>
    </row>
    <row r="910" customFormat="false" ht="15.5" hidden="false" customHeight="true" outlineLevel="0" collapsed="false">
      <c r="A910" s="78"/>
      <c r="B910" s="202" t="s">
        <v>742</v>
      </c>
      <c r="C910" s="202"/>
      <c r="D910" s="202"/>
      <c r="E910" s="202"/>
      <c r="F910" s="202"/>
      <c r="G910" s="104"/>
      <c r="H910" s="104"/>
      <c r="I910" s="104"/>
    </row>
    <row r="911" customFormat="false" ht="15.5" hidden="false" customHeight="true" outlineLevel="0" collapsed="false">
      <c r="A911" s="78"/>
      <c r="B911" s="202"/>
      <c r="C911" s="202"/>
      <c r="D911" s="202"/>
      <c r="E911" s="202"/>
      <c r="F911" s="202"/>
      <c r="G911" s="260"/>
      <c r="H911" s="260"/>
      <c r="I911" s="104"/>
    </row>
    <row r="912" customFormat="false" ht="15.5" hidden="false" customHeight="true" outlineLevel="0" collapsed="false">
      <c r="A912" s="200" t="s">
        <v>743</v>
      </c>
      <c r="B912" s="200"/>
      <c r="C912" s="200"/>
      <c r="D912" s="104"/>
      <c r="E912" s="104"/>
      <c r="F912" s="104"/>
      <c r="G912" s="104"/>
      <c r="H912" s="104"/>
      <c r="I912" s="104"/>
    </row>
    <row r="913" customFormat="false" ht="15.5" hidden="false" customHeight="true" outlineLevel="0" collapsed="false">
      <c r="A913" s="78" t="s">
        <v>740</v>
      </c>
      <c r="B913" s="202" t="s">
        <v>744</v>
      </c>
      <c r="C913" s="202"/>
      <c r="D913" s="202"/>
      <c r="E913" s="202"/>
      <c r="F913" s="202"/>
      <c r="G913" s="203" t="s">
        <v>242</v>
      </c>
      <c r="H913" s="203" t="s">
        <v>243</v>
      </c>
      <c r="I913" s="104"/>
    </row>
    <row r="914" customFormat="false" ht="15.5" hidden="false" customHeight="true" outlineLevel="0" collapsed="false">
      <c r="A914" s="78"/>
      <c r="B914" s="202"/>
      <c r="C914" s="202"/>
      <c r="D914" s="202"/>
      <c r="E914" s="202"/>
      <c r="F914" s="202"/>
      <c r="G914" s="204"/>
      <c r="H914" s="204"/>
      <c r="I914" s="104"/>
    </row>
    <row r="915" customFormat="false" ht="15.5" hidden="false" customHeight="true" outlineLevel="0" collapsed="false">
      <c r="A915" s="78"/>
      <c r="B915" s="202"/>
      <c r="C915" s="202"/>
      <c r="D915" s="202"/>
      <c r="E915" s="202"/>
      <c r="F915" s="202"/>
      <c r="G915" s="104"/>
      <c r="H915" s="104"/>
      <c r="I915" s="104"/>
    </row>
    <row r="916" customFormat="false" ht="15.5" hidden="false" customHeight="true" outlineLevel="0" collapsed="false">
      <c r="A916" s="78" t="s">
        <v>745</v>
      </c>
      <c r="B916" s="202" t="s">
        <v>746</v>
      </c>
      <c r="C916" s="202"/>
      <c r="D916" s="202"/>
      <c r="E916" s="202"/>
      <c r="F916" s="202"/>
      <c r="G916" s="203" t="s">
        <v>242</v>
      </c>
      <c r="H916" s="203" t="s">
        <v>243</v>
      </c>
      <c r="I916" s="104"/>
    </row>
    <row r="917" customFormat="false" ht="15.5" hidden="false" customHeight="true" outlineLevel="0" collapsed="false">
      <c r="A917" s="78"/>
      <c r="B917" s="202"/>
      <c r="C917" s="202"/>
      <c r="D917" s="202"/>
      <c r="E917" s="202"/>
      <c r="F917" s="202"/>
      <c r="G917" s="204"/>
      <c r="H917" s="204"/>
      <c r="I917" s="104"/>
    </row>
    <row r="918" customFormat="false" ht="15.5" hidden="false" customHeight="true" outlineLevel="0" collapsed="false">
      <c r="A918" s="78"/>
      <c r="B918" s="340" t="s">
        <v>747</v>
      </c>
      <c r="C918" s="78"/>
      <c r="D918" s="78"/>
      <c r="E918" s="78"/>
      <c r="F918" s="104"/>
      <c r="G918" s="104"/>
      <c r="H918" s="104"/>
      <c r="I918" s="104"/>
    </row>
    <row r="919" customFormat="false" ht="15.5" hidden="false" customHeight="true" outlineLevel="0" collapsed="false">
      <c r="A919" s="78"/>
      <c r="B919" s="104"/>
      <c r="C919" s="104"/>
      <c r="D919" s="104"/>
      <c r="E919" s="104"/>
      <c r="F919" s="104"/>
      <c r="G919" s="104"/>
      <c r="H919" s="104"/>
      <c r="I919" s="104"/>
    </row>
    <row r="920" customFormat="false" ht="15.5" hidden="false" customHeight="true" outlineLevel="0" collapsed="false">
      <c r="A920" s="78" t="s">
        <v>658</v>
      </c>
      <c r="B920" s="91" t="s">
        <v>748</v>
      </c>
      <c r="C920" s="104"/>
      <c r="D920" s="104"/>
      <c r="E920" s="104"/>
      <c r="F920" s="104"/>
      <c r="G920" s="203" t="s">
        <v>242</v>
      </c>
      <c r="H920" s="203" t="s">
        <v>243</v>
      </c>
      <c r="I920" s="104"/>
    </row>
    <row r="921" customFormat="false" ht="15.5" hidden="false" customHeight="true" outlineLevel="0" collapsed="false">
      <c r="A921" s="78"/>
      <c r="B921" s="83" t="s">
        <v>749</v>
      </c>
      <c r="C921" s="78"/>
      <c r="E921" s="78"/>
      <c r="F921" s="104"/>
      <c r="G921" s="204"/>
      <c r="H921" s="204"/>
      <c r="I921" s="104"/>
    </row>
    <row r="922" customFormat="false" ht="15.5" hidden="false" customHeight="true" outlineLevel="0" collapsed="false">
      <c r="A922" s="78"/>
      <c r="B922" s="207" t="s">
        <v>750</v>
      </c>
      <c r="C922" s="78"/>
      <c r="D922" s="78"/>
      <c r="E922" s="78"/>
      <c r="F922" s="104"/>
      <c r="G922" s="204"/>
      <c r="H922" s="204"/>
      <c r="I922" s="104"/>
    </row>
    <row r="923" customFormat="false" ht="15.5" hidden="false" customHeight="true" outlineLevel="0" collapsed="false">
      <c r="A923" s="78"/>
      <c r="B923" s="83" t="s">
        <v>751</v>
      </c>
      <c r="C923" s="104"/>
      <c r="D923" s="104"/>
      <c r="E923" s="104"/>
      <c r="F923" s="104"/>
      <c r="G923" s="204"/>
      <c r="H923" s="204"/>
      <c r="I923" s="104"/>
    </row>
    <row r="924" customFormat="false" ht="15.5" hidden="false" customHeight="true" outlineLevel="0" collapsed="false">
      <c r="A924" s="78"/>
      <c r="B924" s="83" t="s">
        <v>752</v>
      </c>
      <c r="C924" s="104"/>
      <c r="D924" s="104"/>
      <c r="E924" s="104"/>
      <c r="F924" s="104"/>
      <c r="G924" s="204"/>
      <c r="H924" s="204"/>
      <c r="I924" s="104"/>
    </row>
    <row r="925" customFormat="false" ht="15.5" hidden="false" customHeight="true" outlineLevel="0" collapsed="false">
      <c r="A925" s="78"/>
      <c r="B925" s="104"/>
      <c r="C925" s="104"/>
      <c r="D925" s="104"/>
      <c r="E925" s="104"/>
      <c r="F925" s="104"/>
      <c r="G925" s="104"/>
      <c r="H925" s="104"/>
      <c r="I925" s="104"/>
    </row>
    <row r="926" customFormat="false" ht="15.5" hidden="false" customHeight="true" outlineLevel="0" collapsed="false">
      <c r="A926" s="78" t="s">
        <v>745</v>
      </c>
      <c r="B926" s="202" t="s">
        <v>753</v>
      </c>
      <c r="C926" s="202"/>
      <c r="D926" s="202"/>
      <c r="E926" s="202"/>
      <c r="F926" s="202"/>
      <c r="G926" s="203" t="s">
        <v>242</v>
      </c>
      <c r="H926" s="203" t="s">
        <v>243</v>
      </c>
      <c r="I926" s="104"/>
    </row>
    <row r="927" customFormat="false" ht="15.5" hidden="false" customHeight="true" outlineLevel="0" collapsed="false">
      <c r="A927" s="78"/>
      <c r="B927" s="202"/>
      <c r="C927" s="202"/>
      <c r="D927" s="202"/>
      <c r="E927" s="202"/>
      <c r="F927" s="202"/>
      <c r="G927" s="204"/>
      <c r="H927" s="204"/>
      <c r="I927" s="104"/>
    </row>
    <row r="928" customFormat="false" ht="15.5" hidden="false" customHeight="true" outlineLevel="0" collapsed="false">
      <c r="A928" s="78"/>
      <c r="B928" s="202" t="s">
        <v>754</v>
      </c>
      <c r="C928" s="202"/>
      <c r="D928" s="202"/>
      <c r="E928" s="202"/>
      <c r="F928" s="202"/>
      <c r="G928" s="203" t="s">
        <v>242</v>
      </c>
      <c r="H928" s="203" t="s">
        <v>243</v>
      </c>
      <c r="I928" s="104"/>
    </row>
    <row r="929" customFormat="false" ht="15.5" hidden="false" customHeight="true" outlineLevel="0" collapsed="false">
      <c r="A929" s="78"/>
      <c r="B929" s="202"/>
      <c r="C929" s="202"/>
      <c r="D929" s="202"/>
      <c r="E929" s="202"/>
      <c r="F929" s="202"/>
      <c r="G929" s="204"/>
      <c r="H929" s="204"/>
      <c r="I929" s="104"/>
    </row>
    <row r="930" customFormat="false" ht="15.5" hidden="false" customHeight="true" outlineLevel="0" collapsed="false">
      <c r="A930" s="78"/>
      <c r="B930" s="341" t="s">
        <v>755</v>
      </c>
      <c r="C930" s="83"/>
      <c r="D930" s="83"/>
      <c r="E930" s="83"/>
      <c r="F930" s="104"/>
      <c r="G930" s="104"/>
      <c r="H930" s="104"/>
      <c r="I930" s="104"/>
    </row>
    <row r="931" customFormat="false" ht="15.5" hidden="false" customHeight="true" outlineLevel="0" collapsed="false">
      <c r="A931" s="78"/>
      <c r="B931" s="104"/>
      <c r="C931" s="104"/>
      <c r="D931" s="104"/>
      <c r="E931" s="104"/>
      <c r="F931" s="104"/>
      <c r="G931" s="104"/>
      <c r="H931" s="104"/>
      <c r="I931" s="104"/>
    </row>
    <row r="932" customFormat="false" ht="15.5" hidden="false" customHeight="true" outlineLevel="0" collapsed="false">
      <c r="A932" s="78"/>
      <c r="B932" s="221" t="s">
        <v>756</v>
      </c>
      <c r="C932" s="221"/>
      <c r="D932" s="221"/>
      <c r="E932" s="104"/>
      <c r="F932" s="104"/>
      <c r="G932" s="104"/>
      <c r="H932" s="104"/>
      <c r="I932" s="104"/>
    </row>
    <row r="933" customFormat="false" ht="15.5" hidden="false" customHeight="true" outlineLevel="0" collapsed="false">
      <c r="A933" s="78" t="s">
        <v>745</v>
      </c>
      <c r="B933" s="91" t="s">
        <v>757</v>
      </c>
      <c r="C933" s="104"/>
      <c r="D933" s="104"/>
      <c r="E933" s="260"/>
      <c r="F933" s="104"/>
      <c r="G933" s="203" t="s">
        <v>242</v>
      </c>
      <c r="H933" s="203" t="s">
        <v>243</v>
      </c>
      <c r="I933" s="104"/>
    </row>
    <row r="934" customFormat="false" ht="15.5" hidden="false" customHeight="true" outlineLevel="0" collapsed="false">
      <c r="A934" s="78"/>
      <c r="B934" s="202" t="s">
        <v>758</v>
      </c>
      <c r="C934" s="202"/>
      <c r="D934" s="202"/>
      <c r="E934" s="202"/>
      <c r="F934" s="202"/>
      <c r="G934" s="171"/>
      <c r="H934" s="171"/>
      <c r="I934" s="104"/>
    </row>
    <row r="935" customFormat="false" ht="15.5" hidden="false" customHeight="true" outlineLevel="0" collapsed="false">
      <c r="A935" s="78"/>
      <c r="B935" s="202"/>
      <c r="C935" s="202"/>
      <c r="D935" s="202"/>
      <c r="E935" s="202"/>
      <c r="F935" s="202"/>
      <c r="G935" s="171"/>
      <c r="H935" s="171"/>
      <c r="I935" s="104"/>
    </row>
    <row r="936" customFormat="false" ht="15.5" hidden="false" customHeight="true" outlineLevel="0" collapsed="false">
      <c r="A936" s="78"/>
      <c r="B936" s="202" t="s">
        <v>759</v>
      </c>
      <c r="C936" s="202"/>
      <c r="D936" s="202"/>
      <c r="E936" s="202"/>
      <c r="F936" s="202"/>
      <c r="G936" s="171"/>
      <c r="H936" s="171"/>
      <c r="I936" s="104"/>
    </row>
    <row r="937" customFormat="false" ht="15.5" hidden="false" customHeight="true" outlineLevel="0" collapsed="false">
      <c r="A937" s="78"/>
      <c r="B937" s="202"/>
      <c r="C937" s="202"/>
      <c r="D937" s="202"/>
      <c r="E937" s="202"/>
      <c r="F937" s="202"/>
      <c r="G937" s="171"/>
      <c r="H937" s="171"/>
      <c r="I937" s="104"/>
    </row>
    <row r="938" customFormat="false" ht="15.5" hidden="false" customHeight="true" outlineLevel="0" collapsed="false">
      <c r="A938" s="78"/>
      <c r="B938" s="202"/>
      <c r="C938" s="202"/>
      <c r="D938" s="202"/>
      <c r="E938" s="202"/>
      <c r="F938" s="202"/>
      <c r="G938" s="342"/>
      <c r="H938" s="342"/>
      <c r="I938" s="104"/>
    </row>
    <row r="939" customFormat="false" ht="15.5" hidden="false" customHeight="true" outlineLevel="0" collapsed="false">
      <c r="A939" s="78"/>
      <c r="B939" s="202" t="s">
        <v>760</v>
      </c>
      <c r="C939" s="202"/>
      <c r="D939" s="202"/>
      <c r="E939" s="202"/>
      <c r="F939" s="202"/>
      <c r="G939" s="204"/>
      <c r="H939" s="104" t="s">
        <v>761</v>
      </c>
    </row>
    <row r="940" customFormat="false" ht="15.5" hidden="false" customHeight="true" outlineLevel="0" collapsed="false">
      <c r="A940" s="78"/>
      <c r="B940" s="202"/>
      <c r="C940" s="202"/>
      <c r="D940" s="202"/>
      <c r="E940" s="202"/>
      <c r="F940" s="202"/>
      <c r="G940" s="204"/>
      <c r="H940" s="257" t="s">
        <v>762</v>
      </c>
      <c r="I940" s="104"/>
    </row>
    <row r="941" customFormat="false" ht="15.5" hidden="false" customHeight="true" outlineLevel="0" collapsed="false">
      <c r="A941" s="78"/>
      <c r="B941" s="202"/>
      <c r="C941" s="202"/>
      <c r="D941" s="202"/>
      <c r="E941" s="202"/>
      <c r="F941" s="202"/>
      <c r="G941" s="104"/>
      <c r="H941" s="257"/>
      <c r="I941" s="104"/>
    </row>
    <row r="942" customFormat="false" ht="15.5" hidden="false" customHeight="true" outlineLevel="0" collapsed="false">
      <c r="A942" s="78" t="s">
        <v>763</v>
      </c>
      <c r="B942" s="91" t="s">
        <v>764</v>
      </c>
      <c r="C942" s="104"/>
      <c r="D942" s="104"/>
      <c r="E942" s="104"/>
      <c r="F942" s="104"/>
      <c r="G942" s="104"/>
      <c r="H942" s="104"/>
      <c r="I942" s="104"/>
    </row>
    <row r="943" customFormat="false" ht="15.5" hidden="false" customHeight="true" outlineLevel="0" collapsed="false">
      <c r="A943" s="78"/>
      <c r="B943" s="83" t="s">
        <v>765</v>
      </c>
      <c r="C943" s="78"/>
      <c r="D943" s="78"/>
      <c r="E943" s="78"/>
      <c r="F943" s="104"/>
      <c r="G943" s="343"/>
      <c r="H943" s="260"/>
      <c r="I943" s="104"/>
    </row>
    <row r="944" customFormat="false" ht="15.5" hidden="false" customHeight="true" outlineLevel="0" collapsed="false">
      <c r="A944" s="78"/>
      <c r="B944" s="207" t="s">
        <v>766</v>
      </c>
      <c r="C944" s="207"/>
      <c r="D944" s="207"/>
      <c r="E944" s="207"/>
      <c r="F944" s="207"/>
      <c r="G944" s="343"/>
      <c r="H944" s="343"/>
      <c r="I944" s="104"/>
    </row>
    <row r="945" customFormat="false" ht="15.5" hidden="false" customHeight="true" outlineLevel="0" collapsed="false">
      <c r="A945" s="78"/>
      <c r="B945" s="207" t="s">
        <v>767</v>
      </c>
      <c r="C945" s="207"/>
      <c r="D945" s="207"/>
      <c r="E945" s="207"/>
      <c r="F945" s="207"/>
      <c r="G945" s="343"/>
      <c r="H945" s="260"/>
      <c r="I945" s="104"/>
    </row>
    <row r="946" customFormat="false" ht="15.5" hidden="false" customHeight="true" outlineLevel="0" collapsed="false">
      <c r="A946" s="78"/>
      <c r="B946" s="104"/>
      <c r="C946" s="104"/>
      <c r="D946" s="104"/>
      <c r="E946" s="104"/>
      <c r="F946" s="104"/>
      <c r="G946" s="203" t="s">
        <v>242</v>
      </c>
      <c r="H946" s="203" t="s">
        <v>243</v>
      </c>
      <c r="I946" s="91"/>
    </row>
    <row r="947" customFormat="false" ht="15.5" hidden="false" customHeight="true" outlineLevel="0" collapsed="false">
      <c r="A947" s="78"/>
      <c r="B947" s="207" t="s">
        <v>768</v>
      </c>
      <c r="C947" s="207"/>
      <c r="D947" s="207"/>
      <c r="E947" s="207"/>
      <c r="F947" s="207"/>
      <c r="G947" s="344"/>
      <c r="H947" s="204"/>
      <c r="I947" s="91"/>
    </row>
    <row r="948" customFormat="false" ht="15.5" hidden="false" customHeight="true" outlineLevel="0" collapsed="false">
      <c r="A948" s="78"/>
      <c r="B948" s="207" t="s">
        <v>769</v>
      </c>
      <c r="C948" s="207"/>
      <c r="D948" s="207"/>
      <c r="E948" s="207"/>
      <c r="F948" s="207"/>
      <c r="G948" s="344"/>
      <c r="H948" s="204"/>
      <c r="I948" s="104"/>
    </row>
    <row r="949" customFormat="false" ht="15.5" hidden="false" customHeight="true" outlineLevel="0" collapsed="false">
      <c r="A949" s="78"/>
      <c r="B949" s="104"/>
      <c r="C949" s="104"/>
      <c r="D949" s="104"/>
      <c r="E949" s="104"/>
      <c r="F949" s="104"/>
      <c r="G949" s="104"/>
      <c r="H949" s="104"/>
      <c r="I949" s="104"/>
    </row>
    <row r="950" customFormat="false" ht="15.5" hidden="false" customHeight="true" outlineLevel="0" collapsed="false">
      <c r="A950" s="200" t="s">
        <v>770</v>
      </c>
      <c r="B950" s="200"/>
      <c r="C950" s="200"/>
      <c r="D950" s="104"/>
      <c r="E950" s="104"/>
      <c r="F950" s="104"/>
      <c r="G950" s="104"/>
      <c r="H950" s="104"/>
      <c r="I950" s="104"/>
    </row>
    <row r="951" customFormat="false" ht="15.5" hidden="false" customHeight="true" outlineLevel="0" collapsed="false">
      <c r="A951" s="78" t="s">
        <v>771</v>
      </c>
      <c r="B951" s="202" t="s">
        <v>772</v>
      </c>
      <c r="C951" s="202"/>
      <c r="D951" s="202"/>
      <c r="E951" s="202"/>
      <c r="F951" s="202"/>
      <c r="G951" s="104"/>
      <c r="H951" s="104"/>
      <c r="I951" s="104"/>
    </row>
    <row r="952" customFormat="false" ht="15.5" hidden="false" customHeight="true" outlineLevel="0" collapsed="false">
      <c r="A952" s="78"/>
      <c r="B952" s="202"/>
      <c r="C952" s="202"/>
      <c r="D952" s="202"/>
      <c r="E952" s="202"/>
      <c r="F952" s="202"/>
      <c r="G952" s="343"/>
      <c r="H952" s="260"/>
      <c r="I952" s="104"/>
    </row>
    <row r="953" customFormat="false" ht="15.5" hidden="false" customHeight="true" outlineLevel="0" collapsed="false">
      <c r="A953" s="78"/>
      <c r="B953" s="202"/>
      <c r="C953" s="202"/>
      <c r="D953" s="202"/>
      <c r="E953" s="202"/>
      <c r="F953" s="202"/>
      <c r="G953" s="104"/>
      <c r="H953" s="104"/>
      <c r="I953" s="104"/>
    </row>
    <row r="954" customFormat="false" ht="15.5" hidden="false" customHeight="true" outlineLevel="0" collapsed="false">
      <c r="A954" s="78"/>
      <c r="B954" s="202"/>
      <c r="C954" s="202"/>
      <c r="D954" s="202"/>
      <c r="E954" s="202"/>
      <c r="F954" s="202"/>
      <c r="G954" s="203" t="s">
        <v>242</v>
      </c>
      <c r="H954" s="203" t="s">
        <v>243</v>
      </c>
      <c r="I954" s="104"/>
    </row>
    <row r="955" customFormat="false" ht="15.5" hidden="false" customHeight="true" outlineLevel="0" collapsed="false">
      <c r="A955" s="78"/>
      <c r="B955" s="207" t="s">
        <v>773</v>
      </c>
      <c r="C955" s="207"/>
      <c r="D955" s="207"/>
      <c r="E955" s="207"/>
      <c r="F955" s="207"/>
      <c r="G955" s="344"/>
      <c r="H955" s="204"/>
      <c r="I955" s="104"/>
    </row>
    <row r="956" customFormat="false" ht="15.5" hidden="false" customHeight="true" outlineLevel="0" collapsed="false">
      <c r="A956" s="78"/>
      <c r="B956" s="319" t="s">
        <v>774</v>
      </c>
      <c r="C956" s="345"/>
      <c r="D956" s="345"/>
      <c r="E956" s="345"/>
      <c r="F956" s="345"/>
      <c r="G956" s="104"/>
      <c r="H956" s="104"/>
      <c r="I956" s="104"/>
    </row>
    <row r="957" customFormat="false" ht="15.5" hidden="false" customHeight="true" outlineLevel="0" collapsed="false">
      <c r="A957" s="78"/>
      <c r="B957" s="202" t="s">
        <v>775</v>
      </c>
      <c r="C957" s="202"/>
      <c r="D957" s="202"/>
      <c r="E957" s="202"/>
      <c r="F957" s="202"/>
      <c r="G957" s="203" t="s">
        <v>242</v>
      </c>
      <c r="H957" s="203" t="s">
        <v>243</v>
      </c>
      <c r="I957" s="104"/>
    </row>
    <row r="958" customFormat="false" ht="15.5" hidden="false" customHeight="true" outlineLevel="0" collapsed="false">
      <c r="A958" s="78"/>
      <c r="B958" s="202"/>
      <c r="C958" s="202"/>
      <c r="D958" s="202"/>
      <c r="E958" s="202"/>
      <c r="F958" s="202"/>
      <c r="G958" s="344"/>
      <c r="H958" s="204"/>
      <c r="I958" s="104"/>
    </row>
    <row r="959" customFormat="false" ht="15.5" hidden="false" customHeight="true" outlineLevel="0" collapsed="false">
      <c r="A959" s="78"/>
      <c r="B959" s="253" t="s">
        <v>776</v>
      </c>
      <c r="C959" s="253"/>
      <c r="D959" s="253"/>
      <c r="E959" s="253"/>
      <c r="F959" s="253"/>
      <c r="G959" s="325"/>
      <c r="H959" s="325"/>
      <c r="I959" s="104"/>
    </row>
    <row r="960" customFormat="false" ht="15.5" hidden="false" customHeight="true" outlineLevel="0" collapsed="false">
      <c r="A960" s="78"/>
      <c r="B960" s="318" t="s">
        <v>777</v>
      </c>
      <c r="C960" s="98"/>
      <c r="D960" s="98"/>
      <c r="E960" s="98"/>
      <c r="F960" s="98"/>
      <c r="G960" s="104"/>
      <c r="H960" s="104"/>
      <c r="I960" s="104"/>
    </row>
    <row r="961" customFormat="false" ht="15.5" hidden="false" customHeight="true" outlineLevel="0" collapsed="false">
      <c r="A961" s="78"/>
      <c r="C961" s="201"/>
      <c r="D961" s="201"/>
      <c r="E961" s="201"/>
      <c r="F961" s="201"/>
      <c r="G961" s="203" t="s">
        <v>242</v>
      </c>
      <c r="H961" s="203" t="s">
        <v>243</v>
      </c>
      <c r="I961" s="104"/>
    </row>
    <row r="962" customFormat="false" ht="15.5" hidden="false" customHeight="true" outlineLevel="0" collapsed="false">
      <c r="A962" s="78"/>
      <c r="B962" s="202" t="s">
        <v>778</v>
      </c>
      <c r="C962" s="202"/>
      <c r="D962" s="202"/>
      <c r="E962" s="202"/>
      <c r="F962" s="202"/>
      <c r="G962" s="171"/>
      <c r="H962" s="171"/>
      <c r="I962" s="104"/>
    </row>
    <row r="963" customFormat="false" ht="15.5" hidden="false" customHeight="true" outlineLevel="0" collapsed="false">
      <c r="A963" s="78"/>
      <c r="B963" s="202"/>
      <c r="C963" s="202"/>
      <c r="D963" s="202"/>
      <c r="E963" s="202"/>
      <c r="F963" s="202"/>
      <c r="G963" s="171"/>
      <c r="H963" s="171"/>
      <c r="I963" s="104"/>
    </row>
    <row r="964" customFormat="false" ht="15.5" hidden="false" customHeight="true" outlineLevel="0" collapsed="false">
      <c r="A964" s="78"/>
      <c r="B964" s="104"/>
      <c r="C964" s="104"/>
      <c r="D964" s="104"/>
      <c r="E964" s="104"/>
      <c r="F964" s="104"/>
      <c r="G964" s="104"/>
      <c r="H964" s="104"/>
      <c r="I964" s="104"/>
    </row>
    <row r="965" customFormat="false" ht="15.5" hidden="false" customHeight="true" outlineLevel="0" collapsed="false">
      <c r="A965" s="223" t="s">
        <v>779</v>
      </c>
      <c r="B965" s="223"/>
      <c r="C965" s="223"/>
      <c r="D965" s="104"/>
      <c r="E965" s="104"/>
      <c r="F965" s="104"/>
      <c r="G965" s="203" t="s">
        <v>242</v>
      </c>
      <c r="H965" s="203" t="s">
        <v>243</v>
      </c>
      <c r="I965" s="104"/>
    </row>
    <row r="966" customFormat="false" ht="15.5" hidden="false" customHeight="true" outlineLevel="0" collapsed="false">
      <c r="A966" s="78" t="s">
        <v>780</v>
      </c>
      <c r="B966" s="246" t="s">
        <v>781</v>
      </c>
      <c r="C966" s="246"/>
      <c r="D966" s="246"/>
      <c r="E966" s="246"/>
      <c r="F966" s="246"/>
      <c r="G966" s="344"/>
      <c r="H966" s="204"/>
      <c r="I966" s="104"/>
    </row>
    <row r="967" customFormat="false" ht="15.5" hidden="false" customHeight="true" outlineLevel="0" collapsed="false">
      <c r="A967" s="78"/>
      <c r="B967" s="246" t="s">
        <v>782</v>
      </c>
      <c r="C967" s="246"/>
      <c r="D967" s="246"/>
      <c r="E967" s="246"/>
      <c r="F967" s="246"/>
      <c r="G967" s="344"/>
      <c r="H967" s="204"/>
      <c r="I967" s="104"/>
    </row>
    <row r="968" customFormat="false" ht="15.5" hidden="false" customHeight="true" outlineLevel="0" collapsed="false">
      <c r="A968" s="78"/>
      <c r="B968" s="91"/>
      <c r="C968" s="101"/>
      <c r="D968" s="101"/>
      <c r="E968" s="101"/>
      <c r="F968" s="101"/>
      <c r="G968" s="101"/>
      <c r="H968" s="104"/>
      <c r="I968" s="104"/>
    </row>
    <row r="969" customFormat="false" ht="15" hidden="false" customHeight="true" outlineLevel="0" collapsed="false">
      <c r="A969" s="78"/>
      <c r="B969" s="202" t="s">
        <v>783</v>
      </c>
      <c r="C969" s="202"/>
      <c r="D969" s="202"/>
      <c r="E969" s="202"/>
      <c r="F969" s="202"/>
      <c r="G969" s="203" t="s">
        <v>242</v>
      </c>
      <c r="H969" s="203" t="s">
        <v>243</v>
      </c>
      <c r="I969" s="104"/>
    </row>
    <row r="970" customFormat="false" ht="16.5" hidden="false" customHeight="true" outlineLevel="0" collapsed="false">
      <c r="A970" s="78"/>
      <c r="B970" s="202"/>
      <c r="C970" s="202"/>
      <c r="D970" s="202"/>
      <c r="E970" s="202"/>
      <c r="F970" s="202"/>
      <c r="G970" s="346"/>
      <c r="H970" s="171"/>
      <c r="I970" s="104"/>
    </row>
    <row r="971" customFormat="false" ht="15.5" hidden="false" customHeight="true" outlineLevel="0" collapsed="false">
      <c r="A971" s="78"/>
      <c r="B971" s="207" t="s">
        <v>782</v>
      </c>
      <c r="C971" s="207"/>
      <c r="D971" s="207"/>
      <c r="E971" s="207"/>
      <c r="F971" s="207"/>
      <c r="G971" s="344"/>
      <c r="H971" s="204"/>
      <c r="I971" s="104"/>
    </row>
    <row r="972" customFormat="false" ht="15.5" hidden="false" customHeight="true" outlineLevel="0" collapsed="false">
      <c r="A972" s="78"/>
      <c r="B972" s="78"/>
      <c r="C972" s="83"/>
      <c r="D972" s="83"/>
      <c r="E972" s="83"/>
      <c r="F972" s="347"/>
      <c r="G972" s="104"/>
      <c r="H972" s="104"/>
      <c r="I972" s="104"/>
    </row>
    <row r="973" customFormat="false" ht="15.5" hidden="false" customHeight="true" outlineLevel="0" collapsed="false">
      <c r="A973" s="78"/>
      <c r="B973" s="202" t="s">
        <v>784</v>
      </c>
      <c r="C973" s="202"/>
      <c r="D973" s="202"/>
      <c r="E973" s="202"/>
      <c r="F973" s="202"/>
      <c r="G973" s="203" t="s">
        <v>242</v>
      </c>
      <c r="H973" s="203" t="s">
        <v>243</v>
      </c>
      <c r="I973" s="104"/>
    </row>
    <row r="974" customFormat="false" ht="15.5" hidden="false" customHeight="true" outlineLevel="0" collapsed="false">
      <c r="A974" s="78"/>
      <c r="B974" s="202"/>
      <c r="C974" s="202"/>
      <c r="D974" s="202"/>
      <c r="E974" s="202"/>
      <c r="F974" s="202"/>
      <c r="G974" s="346"/>
      <c r="H974" s="171"/>
      <c r="I974" s="104"/>
    </row>
    <row r="975" customFormat="false" ht="15.5" hidden="false" customHeight="true" outlineLevel="0" collapsed="false">
      <c r="A975" s="78"/>
      <c r="B975" s="202"/>
      <c r="C975" s="202"/>
      <c r="D975" s="202"/>
      <c r="E975" s="202"/>
      <c r="F975" s="202"/>
      <c r="G975" s="346"/>
      <c r="H975" s="171"/>
      <c r="I975" s="104"/>
    </row>
    <row r="976" customFormat="false" ht="15.5" hidden="false" customHeight="true" outlineLevel="0" collapsed="false">
      <c r="A976" s="78"/>
      <c r="B976" s="104"/>
      <c r="C976" s="78"/>
      <c r="D976" s="78"/>
      <c r="E976" s="78"/>
      <c r="F976" s="78"/>
      <c r="G976" s="78"/>
      <c r="H976" s="104"/>
      <c r="I976" s="104"/>
    </row>
    <row r="977" customFormat="false" ht="15.5" hidden="false" customHeight="true" outlineLevel="0" collapsed="false">
      <c r="A977" s="78" t="s">
        <v>780</v>
      </c>
      <c r="B977" s="202" t="s">
        <v>785</v>
      </c>
      <c r="C977" s="202"/>
      <c r="D977" s="202"/>
      <c r="E977" s="202"/>
      <c r="F977" s="202"/>
      <c r="G977" s="203" t="s">
        <v>242</v>
      </c>
      <c r="H977" s="203" t="s">
        <v>243</v>
      </c>
      <c r="I977" s="104"/>
    </row>
    <row r="978" customFormat="false" ht="15.5" hidden="false" customHeight="true" outlineLevel="0" collapsed="false">
      <c r="A978" s="78"/>
      <c r="B978" s="202"/>
      <c r="C978" s="202"/>
      <c r="D978" s="202"/>
      <c r="E978" s="202"/>
      <c r="F978" s="202"/>
      <c r="G978" s="344"/>
      <c r="H978" s="204"/>
      <c r="I978" s="104"/>
    </row>
    <row r="979" customFormat="false" ht="25.25" hidden="false" customHeight="true" outlineLevel="0" collapsed="false">
      <c r="A979" s="78"/>
      <c r="B979" s="348" t="s">
        <v>786</v>
      </c>
      <c r="C979" s="348"/>
      <c r="D979" s="348"/>
      <c r="E979" s="348"/>
      <c r="F979" s="348"/>
      <c r="G979" s="348"/>
      <c r="H979" s="348"/>
      <c r="I979" s="104"/>
    </row>
    <row r="980" customFormat="false" ht="15.5" hidden="false" customHeight="true" outlineLevel="0" collapsed="false">
      <c r="A980" s="78"/>
      <c r="B980" s="343"/>
      <c r="C980" s="260"/>
      <c r="D980" s="260"/>
      <c r="E980" s="260"/>
      <c r="F980" s="260"/>
      <c r="G980" s="260"/>
      <c r="H980" s="260"/>
      <c r="I980" s="104"/>
    </row>
    <row r="981" customFormat="false" ht="15.5" hidden="false" customHeight="true" outlineLevel="0" collapsed="false">
      <c r="A981" s="78"/>
      <c r="B981" s="104"/>
      <c r="C981" s="104"/>
      <c r="D981" s="104"/>
      <c r="E981" s="104"/>
      <c r="F981" s="104"/>
      <c r="G981" s="104"/>
      <c r="H981" s="104"/>
      <c r="I981" s="104"/>
    </row>
    <row r="982" customFormat="false" ht="15.5" hidden="false" customHeight="true" outlineLevel="0" collapsed="false">
      <c r="A982" s="78"/>
      <c r="B982" s="104"/>
      <c r="C982" s="104"/>
      <c r="D982" s="104"/>
      <c r="E982" s="104"/>
      <c r="F982" s="104"/>
      <c r="G982" s="203" t="s">
        <v>242</v>
      </c>
      <c r="H982" s="203" t="s">
        <v>243</v>
      </c>
      <c r="I982" s="104"/>
    </row>
    <row r="983" customFormat="false" ht="15.5" hidden="false" customHeight="true" outlineLevel="0" collapsed="false">
      <c r="A983" s="78"/>
      <c r="B983" s="246" t="s">
        <v>787</v>
      </c>
      <c r="C983" s="246"/>
      <c r="D983" s="246"/>
      <c r="E983" s="246"/>
      <c r="F983" s="246"/>
      <c r="G983" s="344"/>
      <c r="H983" s="204"/>
      <c r="I983" s="104"/>
    </row>
    <row r="984" customFormat="false" ht="15.5" hidden="false" customHeight="true" outlineLevel="0" collapsed="false">
      <c r="A984" s="78"/>
      <c r="B984" s="104"/>
      <c r="C984" s="104"/>
      <c r="D984" s="104"/>
      <c r="E984" s="104"/>
      <c r="F984" s="104"/>
      <c r="G984" s="104"/>
      <c r="H984" s="104"/>
      <c r="I984" s="104"/>
    </row>
    <row r="985" customFormat="false" ht="15.5" hidden="false" customHeight="true" outlineLevel="0" collapsed="false">
      <c r="A985" s="223" t="s">
        <v>788</v>
      </c>
      <c r="B985" s="223"/>
      <c r="C985" s="223"/>
      <c r="D985" s="104"/>
      <c r="E985" s="104"/>
      <c r="F985" s="104"/>
      <c r="G985" s="203" t="s">
        <v>242</v>
      </c>
      <c r="H985" s="203" t="s">
        <v>243</v>
      </c>
      <c r="I985" s="104"/>
    </row>
    <row r="986" customFormat="false" ht="15.5" hidden="false" customHeight="true" outlineLevel="0" collapsed="false">
      <c r="A986" s="78" t="s">
        <v>789</v>
      </c>
      <c r="B986" s="207" t="s">
        <v>790</v>
      </c>
      <c r="C986" s="207"/>
      <c r="D986" s="257"/>
      <c r="E986" s="257"/>
      <c r="F986" s="257"/>
      <c r="G986" s="344"/>
      <c r="H986" s="204"/>
      <c r="I986" s="104"/>
    </row>
    <row r="987" customFormat="false" ht="15.5" hidden="false" customHeight="true" outlineLevel="0" collapsed="false">
      <c r="A987" s="78"/>
      <c r="B987" s="340" t="s">
        <v>791</v>
      </c>
      <c r="C987" s="104"/>
      <c r="D987" s="104"/>
      <c r="E987" s="104"/>
      <c r="F987" s="104"/>
      <c r="G987" s="104"/>
      <c r="H987" s="104"/>
      <c r="I987" s="104"/>
    </row>
    <row r="988" customFormat="false" ht="15.5" hidden="false" customHeight="true" outlineLevel="0" collapsed="false">
      <c r="A988" s="78"/>
      <c r="B988" s="349" t="s">
        <v>792</v>
      </c>
      <c r="C988" s="343"/>
      <c r="D988" s="260"/>
      <c r="E988" s="260"/>
      <c r="F988" s="260"/>
      <c r="G988" s="260"/>
      <c r="H988" s="260"/>
      <c r="I988" s="104"/>
    </row>
    <row r="989" customFormat="false" ht="15.5" hidden="false" customHeight="true" outlineLevel="0" collapsed="false">
      <c r="A989" s="78"/>
      <c r="B989" s="83"/>
      <c r="C989" s="83"/>
      <c r="D989" s="83"/>
      <c r="E989" s="83"/>
      <c r="F989" s="83"/>
      <c r="G989" s="104"/>
      <c r="H989" s="104"/>
      <c r="I989" s="104"/>
    </row>
    <row r="990" customFormat="false" ht="15.5" hidden="false" customHeight="true" outlineLevel="0" collapsed="false">
      <c r="A990" s="78"/>
      <c r="B990" s="83"/>
      <c r="C990" s="83"/>
      <c r="D990" s="83"/>
      <c r="E990" s="83"/>
      <c r="F990" s="83"/>
      <c r="G990" s="203" t="s">
        <v>242</v>
      </c>
      <c r="H990" s="203" t="s">
        <v>243</v>
      </c>
      <c r="I990" s="104"/>
    </row>
    <row r="991" customFormat="false" ht="15.5" hidden="false" customHeight="true" outlineLevel="0" collapsed="false">
      <c r="A991" s="78"/>
      <c r="B991" s="207" t="s">
        <v>793</v>
      </c>
      <c r="C991" s="88"/>
      <c r="D991" s="78"/>
      <c r="E991" s="78"/>
      <c r="F991" s="104"/>
      <c r="G991" s="344"/>
      <c r="H991" s="204"/>
      <c r="I991" s="104"/>
    </row>
    <row r="992" customFormat="false" ht="15.5" hidden="false" customHeight="true" outlineLevel="0" collapsed="false">
      <c r="A992" s="78"/>
      <c r="B992" s="340" t="s">
        <v>794</v>
      </c>
      <c r="C992" s="104"/>
      <c r="D992" s="104"/>
      <c r="E992" s="104"/>
      <c r="F992" s="104"/>
      <c r="G992" s="104"/>
      <c r="H992" s="104"/>
      <c r="I992" s="104"/>
    </row>
    <row r="993" customFormat="false" ht="15.5" hidden="false" customHeight="true" outlineLevel="0" collapsed="false">
      <c r="A993" s="78"/>
      <c r="B993" s="349" t="s">
        <v>795</v>
      </c>
      <c r="C993" s="343"/>
      <c r="D993" s="260"/>
      <c r="E993" s="260"/>
      <c r="F993" s="260"/>
      <c r="G993" s="260"/>
      <c r="H993" s="260"/>
      <c r="I993" s="104"/>
    </row>
    <row r="994" customFormat="false" ht="15.5" hidden="false" customHeight="true" outlineLevel="0" collapsed="false">
      <c r="A994" s="78"/>
      <c r="B994" s="349"/>
      <c r="C994" s="343"/>
      <c r="D994" s="260"/>
      <c r="E994" s="260"/>
      <c r="F994" s="260"/>
      <c r="G994" s="260"/>
      <c r="H994" s="260"/>
      <c r="I994" s="104"/>
    </row>
    <row r="995" customFormat="false" ht="15.5" hidden="false" customHeight="true" outlineLevel="0" collapsed="false">
      <c r="A995" s="78"/>
      <c r="B995" s="104"/>
      <c r="C995" s="104"/>
      <c r="D995" s="104"/>
      <c r="E995" s="104"/>
      <c r="F995" s="104"/>
      <c r="G995" s="104"/>
      <c r="H995" s="104"/>
      <c r="I995" s="104"/>
    </row>
    <row r="996" customFormat="false" ht="15.5" hidden="false" customHeight="true" outlineLevel="0" collapsed="false">
      <c r="A996" s="223" t="s">
        <v>796</v>
      </c>
      <c r="B996" s="223"/>
      <c r="C996" s="223"/>
      <c r="D996" s="104"/>
      <c r="E996" s="104"/>
      <c r="F996" s="104"/>
      <c r="G996" s="104"/>
      <c r="H996" s="104"/>
      <c r="I996" s="104"/>
    </row>
    <row r="997" customFormat="false" ht="15.5" hidden="false" customHeight="true" outlineLevel="0" collapsed="false">
      <c r="C997" s="201"/>
      <c r="D997" s="201"/>
      <c r="E997" s="201"/>
      <c r="F997" s="201"/>
      <c r="G997" s="104"/>
      <c r="H997" s="104"/>
      <c r="I997" s="104"/>
    </row>
    <row r="998" customFormat="false" ht="15.5" hidden="false" customHeight="true" outlineLevel="0" collapsed="false">
      <c r="A998" s="78" t="s">
        <v>797</v>
      </c>
      <c r="B998" s="202" t="s">
        <v>798</v>
      </c>
      <c r="C998" s="202"/>
      <c r="D998" s="202"/>
      <c r="E998" s="202"/>
      <c r="F998" s="202"/>
      <c r="G998" s="260"/>
      <c r="H998" s="260"/>
      <c r="I998" s="104"/>
    </row>
    <row r="999" customFormat="false" ht="15.5" hidden="false" customHeight="true" outlineLevel="0" collapsed="false">
      <c r="A999" s="78"/>
      <c r="B999" s="340" t="s">
        <v>799</v>
      </c>
      <c r="C999" s="104"/>
      <c r="D999" s="104"/>
      <c r="E999" s="104"/>
      <c r="F999" s="104"/>
      <c r="G999" s="104"/>
      <c r="H999" s="104"/>
      <c r="I999" s="104"/>
    </row>
    <row r="1000" customFormat="false" ht="15.5" hidden="false" customHeight="true" outlineLevel="0" collapsed="false">
      <c r="A1000" s="78"/>
      <c r="B1000" s="104"/>
      <c r="C1000" s="104"/>
      <c r="D1000" s="104"/>
      <c r="E1000" s="104"/>
      <c r="F1000" s="104"/>
      <c r="G1000" s="104"/>
      <c r="H1000" s="104"/>
      <c r="I1000" s="104"/>
    </row>
    <row r="1001" customFormat="false" ht="15.5" hidden="false" customHeight="true" outlineLevel="0" collapsed="false">
      <c r="A1001" s="78" t="s">
        <v>800</v>
      </c>
      <c r="B1001" s="202" t="s">
        <v>801</v>
      </c>
      <c r="C1001" s="202"/>
      <c r="D1001" s="202"/>
      <c r="E1001" s="202"/>
      <c r="F1001" s="202"/>
      <c r="G1001" s="104"/>
      <c r="H1001" s="104"/>
      <c r="I1001" s="104"/>
    </row>
    <row r="1002" customFormat="false" ht="15.5" hidden="false" customHeight="true" outlineLevel="0" collapsed="false">
      <c r="A1002" s="78"/>
      <c r="B1002" s="202"/>
      <c r="C1002" s="202"/>
      <c r="D1002" s="202"/>
      <c r="E1002" s="202"/>
      <c r="F1002" s="202"/>
      <c r="G1002" s="260"/>
      <c r="H1002" s="260"/>
      <c r="I1002" s="104"/>
    </row>
    <row r="1003" customFormat="false" ht="15.5" hidden="false" customHeight="true" outlineLevel="0" collapsed="false">
      <c r="A1003" s="78"/>
      <c r="B1003" s="104"/>
      <c r="C1003" s="83"/>
      <c r="D1003" s="83"/>
      <c r="E1003" s="83"/>
      <c r="F1003" s="83"/>
      <c r="G1003" s="104"/>
      <c r="H1003" s="104"/>
      <c r="I1003" s="104"/>
    </row>
    <row r="1004" customFormat="false" ht="15.5" hidden="false" customHeight="true" outlineLevel="0" collapsed="false">
      <c r="A1004" s="78"/>
      <c r="B1004" s="202" t="s">
        <v>802</v>
      </c>
      <c r="C1004" s="202"/>
      <c r="D1004" s="202"/>
      <c r="E1004" s="202"/>
      <c r="F1004" s="202"/>
      <c r="G1004" s="104"/>
      <c r="H1004" s="104"/>
      <c r="I1004" s="104"/>
    </row>
    <row r="1005" customFormat="false" ht="15.5" hidden="false" customHeight="true" outlineLevel="0" collapsed="false">
      <c r="A1005" s="78"/>
      <c r="B1005" s="202"/>
      <c r="C1005" s="202"/>
      <c r="D1005" s="202"/>
      <c r="E1005" s="202"/>
      <c r="F1005" s="202"/>
      <c r="G1005" s="260"/>
      <c r="H1005" s="260"/>
      <c r="I1005" s="104"/>
    </row>
    <row r="1006" customFormat="false" ht="15.5" hidden="false" customHeight="true" outlineLevel="0" collapsed="false">
      <c r="A1006" s="78"/>
      <c r="B1006" s="340" t="s">
        <v>803</v>
      </c>
      <c r="C1006" s="104"/>
      <c r="D1006" s="104"/>
      <c r="E1006" s="104"/>
      <c r="F1006" s="104"/>
      <c r="G1006" s="104"/>
      <c r="H1006" s="104"/>
      <c r="I1006" s="104"/>
    </row>
    <row r="1007" customFormat="false" ht="15.5" hidden="false" customHeight="true" outlineLevel="0" collapsed="false">
      <c r="A1007" s="275" t="s">
        <v>804</v>
      </c>
      <c r="B1007" s="275"/>
      <c r="C1007" s="275"/>
      <c r="D1007" s="275"/>
      <c r="E1007" s="275"/>
      <c r="F1007" s="275"/>
      <c r="G1007" s="275"/>
      <c r="H1007" s="275"/>
      <c r="I1007" s="275"/>
    </row>
    <row r="1008" customFormat="false" ht="15.5" hidden="false" customHeight="true" outlineLevel="0" collapsed="false">
      <c r="A1008" s="78"/>
      <c r="B1008" s="104"/>
      <c r="C1008" s="104"/>
      <c r="D1008" s="104"/>
      <c r="E1008" s="104"/>
      <c r="F1008" s="104"/>
      <c r="G1008" s="104"/>
      <c r="H1008" s="104"/>
      <c r="I1008" s="104"/>
    </row>
    <row r="1009" customFormat="false" ht="15.5" hidden="false" customHeight="true" outlineLevel="0" collapsed="false">
      <c r="A1009" s="350" t="s">
        <v>805</v>
      </c>
      <c r="B1009" s="350"/>
      <c r="C1009" s="350"/>
      <c r="D1009" s="104"/>
      <c r="E1009" s="104"/>
      <c r="F1009" s="104"/>
      <c r="G1009" s="104"/>
      <c r="H1009" s="104"/>
      <c r="I1009" s="104"/>
    </row>
    <row r="1010" customFormat="false" ht="15.5" hidden="false" customHeight="true" outlineLevel="0" collapsed="false">
      <c r="A1010" s="351"/>
      <c r="B1010" s="351"/>
      <c r="C1010" s="351"/>
      <c r="D1010" s="104"/>
      <c r="E1010" s="104"/>
      <c r="F1010" s="104"/>
      <c r="G1010" s="104"/>
      <c r="H1010" s="104"/>
      <c r="I1010" s="104"/>
    </row>
    <row r="1011" customFormat="false" ht="15.5" hidden="false" customHeight="true" outlineLevel="0" collapsed="false">
      <c r="A1011" s="78"/>
      <c r="B1011" s="352" t="s">
        <v>806</v>
      </c>
      <c r="C1011" s="352"/>
      <c r="D1011" s="352"/>
      <c r="E1011" s="104"/>
      <c r="F1011" s="104"/>
      <c r="G1011" s="104"/>
      <c r="H1011" s="104"/>
      <c r="I1011" s="104"/>
    </row>
    <row r="1012" customFormat="false" ht="15.5" hidden="false" customHeight="true" outlineLevel="0" collapsed="false">
      <c r="A1012" s="353" t="s">
        <v>807</v>
      </c>
      <c r="B1012" s="353"/>
      <c r="C1012" s="353"/>
      <c r="D1012" s="353"/>
      <c r="E1012" s="353"/>
      <c r="F1012" s="354" t="s">
        <v>808</v>
      </c>
      <c r="G1012" s="354"/>
      <c r="H1012" s="354"/>
      <c r="I1012" s="104"/>
    </row>
    <row r="1013" customFormat="false" ht="15.5" hidden="false" customHeight="true" outlineLevel="0" collapsed="false">
      <c r="A1013" s="353"/>
      <c r="B1013" s="353"/>
      <c r="C1013" s="353"/>
      <c r="D1013" s="353"/>
      <c r="E1013" s="353"/>
      <c r="F1013" s="355" t="s">
        <v>395</v>
      </c>
      <c r="G1013" s="356" t="s">
        <v>809</v>
      </c>
      <c r="H1013" s="357" t="s">
        <v>810</v>
      </c>
      <c r="I1013" s="11"/>
    </row>
    <row r="1014" customFormat="false" ht="15.5" hidden="false" customHeight="true" outlineLevel="0" collapsed="false">
      <c r="A1014" s="358" t="s">
        <v>811</v>
      </c>
      <c r="B1014" s="358"/>
      <c r="C1014" s="358"/>
      <c r="D1014" s="358"/>
      <c r="E1014" s="358"/>
      <c r="F1014" s="359"/>
      <c r="G1014" s="360"/>
      <c r="H1014" s="361"/>
      <c r="I1014" s="362" t="s">
        <v>812</v>
      </c>
    </row>
    <row r="1015" customFormat="false" ht="26" hidden="false" customHeight="true" outlineLevel="0" collapsed="false">
      <c r="A1015" s="363" t="s">
        <v>813</v>
      </c>
      <c r="B1015" s="363"/>
      <c r="C1015" s="363"/>
      <c r="D1015" s="363"/>
      <c r="E1015" s="363"/>
      <c r="F1015" s="363"/>
      <c r="G1015" s="363"/>
      <c r="H1015" s="363"/>
      <c r="I1015" s="364"/>
    </row>
    <row r="1016" customFormat="false" ht="15.5" hidden="false" customHeight="true" outlineLevel="0" collapsed="false">
      <c r="A1016" s="365" t="s">
        <v>814</v>
      </c>
      <c r="B1016" s="365"/>
      <c r="C1016" s="365"/>
      <c r="D1016" s="365"/>
      <c r="E1016" s="365"/>
      <c r="F1016" s="359"/>
      <c r="G1016" s="360"/>
      <c r="H1016" s="361"/>
      <c r="I1016" s="362" t="s">
        <v>815</v>
      </c>
    </row>
    <row r="1017" customFormat="false" ht="15.5" hidden="false" customHeight="true" outlineLevel="0" collapsed="false">
      <c r="A1017" s="363" t="s">
        <v>816</v>
      </c>
      <c r="B1017" s="363"/>
      <c r="C1017" s="363"/>
      <c r="D1017" s="363"/>
      <c r="E1017" s="363"/>
      <c r="F1017" s="363"/>
      <c r="G1017" s="363"/>
      <c r="H1017" s="363"/>
      <c r="I1017" s="364"/>
    </row>
    <row r="1018" customFormat="false" ht="4.25" hidden="false" customHeight="true" outlineLevel="0" collapsed="false">
      <c r="A1018" s="363"/>
      <c r="B1018" s="363"/>
      <c r="C1018" s="363"/>
      <c r="D1018" s="363"/>
      <c r="E1018" s="363"/>
      <c r="F1018" s="363"/>
      <c r="G1018" s="363"/>
      <c r="H1018" s="363"/>
      <c r="I1018" s="364"/>
    </row>
    <row r="1019" customFormat="false" ht="15.5" hidden="false" customHeight="true" outlineLevel="0" collapsed="false">
      <c r="A1019" s="366" t="s">
        <v>817</v>
      </c>
      <c r="B1019" s="366"/>
      <c r="C1019" s="366"/>
      <c r="D1019" s="366"/>
      <c r="E1019" s="366"/>
      <c r="F1019" s="359"/>
      <c r="G1019" s="360"/>
      <c r="H1019" s="361"/>
      <c r="I1019" s="362" t="s">
        <v>812</v>
      </c>
    </row>
    <row r="1020" customFormat="false" ht="15.5" hidden="false" customHeight="true" outlineLevel="0" collapsed="false">
      <c r="A1020" s="363" t="s">
        <v>818</v>
      </c>
      <c r="B1020" s="363"/>
      <c r="C1020" s="363"/>
      <c r="D1020" s="363"/>
      <c r="E1020" s="363"/>
      <c r="F1020" s="363"/>
      <c r="G1020" s="363"/>
      <c r="H1020" s="363"/>
      <c r="I1020" s="362"/>
    </row>
    <row r="1021" customFormat="false" ht="15.5" hidden="false" customHeight="true" outlineLevel="0" collapsed="false">
      <c r="A1021" s="366" t="s">
        <v>819</v>
      </c>
      <c r="B1021" s="366"/>
      <c r="C1021" s="366"/>
      <c r="D1021" s="366"/>
      <c r="E1021" s="366"/>
      <c r="F1021" s="359"/>
      <c r="G1021" s="360"/>
      <c r="H1021" s="361"/>
      <c r="I1021" s="362" t="s">
        <v>815</v>
      </c>
    </row>
    <row r="1022" customFormat="false" ht="38" hidden="false" customHeight="true" outlineLevel="0" collapsed="false">
      <c r="A1022" s="363" t="s">
        <v>820</v>
      </c>
      <c r="B1022" s="363"/>
      <c r="C1022" s="363"/>
      <c r="D1022" s="363"/>
      <c r="E1022" s="363"/>
      <c r="F1022" s="363"/>
      <c r="G1022" s="363"/>
      <c r="H1022" s="363"/>
      <c r="I1022" s="362"/>
    </row>
    <row r="1023" customFormat="false" ht="15.5" hidden="false" customHeight="true" outlineLevel="0" collapsed="false">
      <c r="A1023" s="366" t="s">
        <v>821</v>
      </c>
      <c r="B1023" s="366"/>
      <c r="C1023" s="366"/>
      <c r="D1023" s="366"/>
      <c r="E1023" s="366"/>
      <c r="F1023" s="359"/>
      <c r="G1023" s="360"/>
      <c r="H1023" s="361"/>
      <c r="I1023" s="362" t="s">
        <v>822</v>
      </c>
    </row>
    <row r="1024" customFormat="false" ht="38" hidden="false" customHeight="true" outlineLevel="0" collapsed="false">
      <c r="A1024" s="363" t="s">
        <v>823</v>
      </c>
      <c r="B1024" s="363"/>
      <c r="C1024" s="363"/>
      <c r="D1024" s="363"/>
      <c r="E1024" s="363"/>
      <c r="F1024" s="363"/>
      <c r="G1024" s="363"/>
      <c r="H1024" s="363"/>
      <c r="I1024" s="362"/>
    </row>
    <row r="1025" customFormat="false" ht="3.5" hidden="false" customHeight="true" outlineLevel="0" collapsed="false">
      <c r="A1025" s="363"/>
      <c r="B1025" s="363"/>
      <c r="C1025" s="363"/>
      <c r="D1025" s="363"/>
      <c r="E1025" s="363"/>
      <c r="F1025" s="363"/>
      <c r="G1025" s="363"/>
      <c r="H1025" s="363"/>
      <c r="I1025" s="362"/>
    </row>
    <row r="1026" customFormat="false" ht="15.5" hidden="false" customHeight="true" outlineLevel="0" collapsed="false">
      <c r="A1026" s="366" t="s">
        <v>824</v>
      </c>
      <c r="B1026" s="366"/>
      <c r="C1026" s="366"/>
      <c r="D1026" s="366"/>
      <c r="E1026" s="366"/>
      <c r="F1026" s="359"/>
      <c r="G1026" s="360"/>
      <c r="H1026" s="361"/>
      <c r="I1026" s="362" t="s">
        <v>812</v>
      </c>
    </row>
    <row r="1027" customFormat="false" ht="15.5" hidden="false" customHeight="true" outlineLevel="0" collapsed="false">
      <c r="A1027" s="363" t="s">
        <v>825</v>
      </c>
      <c r="B1027" s="363"/>
      <c r="C1027" s="363"/>
      <c r="D1027" s="363"/>
      <c r="E1027" s="363"/>
      <c r="F1027" s="363"/>
      <c r="G1027" s="363"/>
      <c r="H1027" s="363"/>
      <c r="I1027" s="362"/>
    </row>
    <row r="1028" customFormat="false" ht="15.5" hidden="false" customHeight="true" outlineLevel="0" collapsed="false">
      <c r="A1028" s="366" t="s">
        <v>826</v>
      </c>
      <c r="B1028" s="366"/>
      <c r="C1028" s="366"/>
      <c r="D1028" s="366"/>
      <c r="E1028" s="366"/>
      <c r="F1028" s="359"/>
      <c r="G1028" s="360"/>
      <c r="H1028" s="361"/>
      <c r="I1028" s="362" t="s">
        <v>815</v>
      </c>
    </row>
    <row r="1029" customFormat="false" ht="25.25" hidden="false" customHeight="true" outlineLevel="0" collapsed="false">
      <c r="A1029" s="363" t="s">
        <v>827</v>
      </c>
      <c r="B1029" s="363"/>
      <c r="C1029" s="363"/>
      <c r="D1029" s="363"/>
      <c r="E1029" s="363"/>
      <c r="F1029" s="363"/>
      <c r="G1029" s="363"/>
      <c r="H1029" s="363"/>
      <c r="I1029" s="362"/>
    </row>
    <row r="1030" customFormat="false" ht="5.5" hidden="false" customHeight="true" outlineLevel="0" collapsed="false">
      <c r="A1030" s="367"/>
      <c r="B1030" s="367"/>
      <c r="C1030" s="367"/>
      <c r="D1030" s="367"/>
      <c r="E1030" s="367"/>
      <c r="F1030" s="367"/>
      <c r="G1030" s="367"/>
      <c r="H1030" s="367"/>
      <c r="I1030" s="362"/>
    </row>
    <row r="1031" customFormat="false" ht="15.5" hidden="false" customHeight="true" outlineLevel="0" collapsed="false">
      <c r="A1031" s="366" t="s">
        <v>828</v>
      </c>
      <c r="B1031" s="366"/>
      <c r="C1031" s="366"/>
      <c r="D1031" s="366"/>
      <c r="E1031" s="366"/>
      <c r="F1031" s="359"/>
      <c r="G1031" s="360"/>
      <c r="H1031" s="361"/>
      <c r="I1031" s="362" t="s">
        <v>829</v>
      </c>
    </row>
    <row r="1032" customFormat="false" ht="15.5" hidden="false" customHeight="true" outlineLevel="0" collapsed="false">
      <c r="A1032" s="368" t="s">
        <v>830</v>
      </c>
      <c r="B1032" s="368"/>
      <c r="C1032" s="368"/>
      <c r="D1032" s="368"/>
      <c r="E1032" s="368"/>
      <c r="F1032" s="368"/>
      <c r="G1032" s="368"/>
      <c r="H1032" s="368"/>
      <c r="I1032" s="362"/>
    </row>
    <row r="1033" customFormat="false" ht="15.5" hidden="false" customHeight="true" outlineLevel="0" collapsed="false">
      <c r="A1033" s="369"/>
      <c r="B1033" s="369"/>
      <c r="C1033" s="369"/>
      <c r="D1033" s="314"/>
      <c r="E1033" s="314"/>
      <c r="F1033" s="314"/>
      <c r="G1033" s="314"/>
      <c r="H1033" s="370"/>
      <c r="I1033" s="362"/>
    </row>
    <row r="1034" customFormat="false" ht="15.5" hidden="false" customHeight="true" outlineLevel="0" collapsed="false">
      <c r="A1034" s="369"/>
      <c r="B1034" s="352" t="s">
        <v>831</v>
      </c>
      <c r="C1034" s="352"/>
      <c r="D1034" s="352"/>
      <c r="E1034" s="314"/>
      <c r="F1034" s="314"/>
      <c r="G1034" s="314"/>
      <c r="H1034" s="370"/>
      <c r="I1034" s="362"/>
    </row>
    <row r="1035" customFormat="false" ht="15.5" hidden="false" customHeight="true" outlineLevel="0" collapsed="false">
      <c r="A1035" s="353" t="s">
        <v>807</v>
      </c>
      <c r="B1035" s="353"/>
      <c r="C1035" s="353"/>
      <c r="D1035" s="353"/>
      <c r="E1035" s="353"/>
      <c r="F1035" s="354" t="s">
        <v>808</v>
      </c>
      <c r="G1035" s="354"/>
      <c r="H1035" s="354"/>
      <c r="I1035" s="362"/>
    </row>
    <row r="1036" customFormat="false" ht="15.5" hidden="false" customHeight="true" outlineLevel="0" collapsed="false">
      <c r="A1036" s="353"/>
      <c r="B1036" s="353"/>
      <c r="C1036" s="353"/>
      <c r="D1036" s="353"/>
      <c r="E1036" s="353"/>
      <c r="F1036" s="355" t="s">
        <v>395</v>
      </c>
      <c r="G1036" s="356" t="s">
        <v>809</v>
      </c>
      <c r="H1036" s="357" t="s">
        <v>810</v>
      </c>
      <c r="I1036" s="362"/>
    </row>
    <row r="1037" customFormat="false" ht="15.5" hidden="false" customHeight="true" outlineLevel="0" collapsed="false">
      <c r="A1037" s="366" t="s">
        <v>832</v>
      </c>
      <c r="B1037" s="366"/>
      <c r="C1037" s="366"/>
      <c r="D1037" s="366"/>
      <c r="E1037" s="366"/>
      <c r="F1037" s="359"/>
      <c r="G1037" s="360"/>
      <c r="H1037" s="361"/>
      <c r="I1037" s="362" t="s">
        <v>833</v>
      </c>
    </row>
    <row r="1038" customFormat="false" ht="38" hidden="false" customHeight="true" outlineLevel="0" collapsed="false">
      <c r="A1038" s="363" t="s">
        <v>834</v>
      </c>
      <c r="B1038" s="363"/>
      <c r="C1038" s="363"/>
      <c r="D1038" s="363"/>
      <c r="E1038" s="363"/>
      <c r="F1038" s="363"/>
      <c r="G1038" s="363"/>
      <c r="H1038" s="363"/>
      <c r="I1038" s="362"/>
    </row>
    <row r="1039" customFormat="false" ht="15.5" hidden="false" customHeight="true" outlineLevel="0" collapsed="false">
      <c r="A1039" s="366" t="s">
        <v>835</v>
      </c>
      <c r="B1039" s="366"/>
      <c r="C1039" s="366"/>
      <c r="D1039" s="366"/>
      <c r="E1039" s="366"/>
      <c r="F1039" s="359"/>
      <c r="G1039" s="360"/>
      <c r="H1039" s="361"/>
      <c r="I1039" s="362" t="s">
        <v>833</v>
      </c>
    </row>
    <row r="1040" customFormat="false" ht="15.5" hidden="false" customHeight="true" outlineLevel="0" collapsed="false">
      <c r="A1040" s="366" t="s">
        <v>836</v>
      </c>
      <c r="B1040" s="366"/>
      <c r="C1040" s="366"/>
      <c r="D1040" s="366"/>
      <c r="E1040" s="366"/>
      <c r="F1040" s="359"/>
      <c r="G1040" s="360"/>
      <c r="H1040" s="361"/>
      <c r="I1040" s="362" t="s">
        <v>833</v>
      </c>
    </row>
    <row r="1041" customFormat="false" ht="15.5" hidden="false" customHeight="true" outlineLevel="0" collapsed="false">
      <c r="A1041" s="366" t="s">
        <v>837</v>
      </c>
      <c r="B1041" s="366"/>
      <c r="C1041" s="366"/>
      <c r="D1041" s="366"/>
      <c r="E1041" s="366"/>
      <c r="F1041" s="359"/>
      <c r="G1041" s="360"/>
      <c r="H1041" s="361"/>
      <c r="I1041" s="362" t="s">
        <v>833</v>
      </c>
    </row>
    <row r="1042" customFormat="false" ht="15.5" hidden="false" customHeight="true" outlineLevel="0" collapsed="false">
      <c r="A1042" s="363" t="s">
        <v>838</v>
      </c>
      <c r="B1042" s="363"/>
      <c r="C1042" s="363"/>
      <c r="D1042" s="363"/>
      <c r="E1042" s="363"/>
      <c r="F1042" s="363"/>
      <c r="G1042" s="363"/>
      <c r="H1042" s="363"/>
      <c r="I1042" s="362"/>
    </row>
    <row r="1043" customFormat="false" ht="4.25" hidden="false" customHeight="true" outlineLevel="0" collapsed="false">
      <c r="A1043" s="371"/>
      <c r="B1043" s="371"/>
      <c r="C1043" s="371"/>
      <c r="D1043" s="371"/>
      <c r="E1043" s="371"/>
      <c r="F1043" s="371"/>
      <c r="G1043" s="371"/>
      <c r="H1043" s="371"/>
      <c r="I1043" s="362"/>
    </row>
    <row r="1044" customFormat="false" ht="15.5" hidden="false" customHeight="true" outlineLevel="0" collapsed="false">
      <c r="A1044" s="365" t="s">
        <v>839</v>
      </c>
      <c r="B1044" s="365"/>
      <c r="C1044" s="365"/>
      <c r="D1044" s="365"/>
      <c r="E1044" s="365"/>
      <c r="F1044" s="359"/>
      <c r="G1044" s="360"/>
      <c r="H1044" s="361"/>
      <c r="I1044" s="362" t="s">
        <v>840</v>
      </c>
    </row>
    <row r="1045" customFormat="false" ht="24" hidden="false" customHeight="true" outlineLevel="0" collapsed="false">
      <c r="A1045" s="372" t="s">
        <v>841</v>
      </c>
      <c r="B1045" s="372"/>
      <c r="C1045" s="372"/>
      <c r="D1045" s="372"/>
      <c r="E1045" s="372"/>
      <c r="F1045" s="372"/>
      <c r="G1045" s="372"/>
      <c r="H1045" s="372"/>
      <c r="I1045" s="362"/>
    </row>
    <row r="1046" customFormat="false" ht="15" hidden="false" customHeight="true" outlineLevel="0" collapsed="false">
      <c r="A1046" s="373" t="s">
        <v>842</v>
      </c>
      <c r="B1046" s="373"/>
      <c r="C1046" s="373"/>
      <c r="D1046" s="373"/>
      <c r="E1046" s="373"/>
      <c r="F1046" s="374"/>
      <c r="G1046" s="374"/>
      <c r="H1046" s="375"/>
      <c r="I1046" s="376" t="s">
        <v>843</v>
      </c>
    </row>
    <row r="1047" customFormat="false" ht="62.5" hidden="false" customHeight="true" outlineLevel="0" collapsed="false">
      <c r="A1047" s="377" t="s">
        <v>844</v>
      </c>
      <c r="B1047" s="377"/>
      <c r="C1047" s="377"/>
      <c r="D1047" s="377"/>
      <c r="E1047" s="377"/>
      <c r="F1047" s="377"/>
      <c r="G1047" s="377"/>
      <c r="H1047" s="377"/>
      <c r="I1047" s="376"/>
    </row>
    <row r="1048" customFormat="false" ht="15.5" hidden="false" customHeight="true" outlineLevel="0" collapsed="false">
      <c r="A1048" s="378"/>
      <c r="B1048" s="378"/>
      <c r="C1048" s="378"/>
      <c r="D1048" s="378"/>
      <c r="E1048" s="378"/>
      <c r="F1048" s="378"/>
      <c r="G1048" s="378"/>
      <c r="H1048" s="378"/>
      <c r="I1048" s="379"/>
    </row>
    <row r="1049" customFormat="false" ht="15.5" hidden="false" customHeight="true" outlineLevel="0" collapsed="false">
      <c r="A1049" s="380"/>
      <c r="B1049" s="381" t="s">
        <v>845</v>
      </c>
      <c r="C1049" s="381"/>
      <c r="D1049" s="381"/>
      <c r="E1049" s="380"/>
      <c r="F1049" s="380"/>
      <c r="G1049" s="380"/>
      <c r="H1049" s="382"/>
      <c r="I1049" s="383"/>
    </row>
    <row r="1050" customFormat="false" ht="12.75" hidden="false" customHeight="true" outlineLevel="0" collapsed="false">
      <c r="A1050" s="353" t="s">
        <v>807</v>
      </c>
      <c r="B1050" s="353"/>
      <c r="C1050" s="353"/>
      <c r="D1050" s="353"/>
      <c r="E1050" s="353"/>
      <c r="F1050" s="354" t="s">
        <v>808</v>
      </c>
      <c r="G1050" s="354"/>
      <c r="H1050" s="354"/>
      <c r="I1050" s="383"/>
    </row>
    <row r="1051" customFormat="false" ht="12.75" hidden="false" customHeight="true" outlineLevel="0" collapsed="false">
      <c r="A1051" s="353"/>
      <c r="B1051" s="353"/>
      <c r="C1051" s="353"/>
      <c r="D1051" s="353"/>
      <c r="E1051" s="353"/>
      <c r="F1051" s="355" t="s">
        <v>395</v>
      </c>
      <c r="G1051" s="356" t="s">
        <v>809</v>
      </c>
      <c r="H1051" s="357" t="s">
        <v>810</v>
      </c>
      <c r="I1051" s="383"/>
    </row>
    <row r="1052" customFormat="false" ht="15.5" hidden="false" customHeight="true" outlineLevel="0" collapsed="false">
      <c r="A1052" s="365" t="s">
        <v>846</v>
      </c>
      <c r="B1052" s="365"/>
      <c r="C1052" s="365"/>
      <c r="D1052" s="365"/>
      <c r="E1052" s="365"/>
      <c r="F1052" s="359"/>
      <c r="G1052" s="360"/>
      <c r="H1052" s="361"/>
      <c r="I1052" s="383" t="s">
        <v>847</v>
      </c>
    </row>
    <row r="1053" customFormat="false" ht="99.5" hidden="false" customHeight="true" outlineLevel="0" collapsed="false">
      <c r="A1053" s="363" t="s">
        <v>848</v>
      </c>
      <c r="B1053" s="363"/>
      <c r="C1053" s="363"/>
      <c r="D1053" s="363"/>
      <c r="E1053" s="363"/>
      <c r="F1053" s="363"/>
      <c r="G1053" s="363"/>
      <c r="H1053" s="363"/>
      <c r="I1053" s="383"/>
    </row>
    <row r="1054" customFormat="false" ht="15.5" hidden="false" customHeight="true" outlineLevel="0" collapsed="false">
      <c r="A1054" s="365" t="s">
        <v>849</v>
      </c>
      <c r="B1054" s="365"/>
      <c r="C1054" s="365"/>
      <c r="D1054" s="365"/>
      <c r="E1054" s="365"/>
      <c r="F1054" s="359"/>
      <c r="G1054" s="360"/>
      <c r="H1054" s="361"/>
      <c r="I1054" s="383" t="s">
        <v>850</v>
      </c>
    </row>
    <row r="1055" customFormat="false" ht="38" hidden="false" customHeight="true" outlineLevel="0" collapsed="false">
      <c r="A1055" s="363" t="s">
        <v>851</v>
      </c>
      <c r="B1055" s="363"/>
      <c r="C1055" s="363"/>
      <c r="D1055" s="363"/>
      <c r="E1055" s="363"/>
      <c r="F1055" s="363"/>
      <c r="G1055" s="363"/>
      <c r="H1055" s="363"/>
      <c r="I1055" s="383"/>
    </row>
    <row r="1056" customFormat="false" ht="15.5" hidden="false" customHeight="true" outlineLevel="0" collapsed="false">
      <c r="A1056" s="365" t="s">
        <v>852</v>
      </c>
      <c r="B1056" s="365"/>
      <c r="C1056" s="365"/>
      <c r="D1056" s="365"/>
      <c r="E1056" s="365"/>
      <c r="F1056" s="359"/>
      <c r="G1056" s="360"/>
      <c r="H1056" s="361"/>
      <c r="I1056" s="383" t="s">
        <v>853</v>
      </c>
    </row>
    <row r="1057" customFormat="false" ht="15.5" hidden="false" customHeight="true" outlineLevel="0" collapsed="false">
      <c r="A1057" s="11"/>
      <c r="B1057" s="73"/>
      <c r="C1057" s="73"/>
      <c r="D1057" s="11"/>
      <c r="E1057" s="11"/>
      <c r="F1057" s="11"/>
      <c r="H1057" s="382"/>
      <c r="I1057" s="383"/>
    </row>
    <row r="1058" customFormat="false" ht="15.5" hidden="false" customHeight="true" outlineLevel="0" collapsed="false">
      <c r="A1058" s="11"/>
      <c r="B1058" s="381" t="s">
        <v>854</v>
      </c>
      <c r="C1058" s="381"/>
      <c r="D1058" s="381"/>
      <c r="E1058" s="11"/>
      <c r="F1058" s="11"/>
      <c r="H1058" s="382"/>
      <c r="I1058" s="383"/>
    </row>
    <row r="1059" customFormat="false" ht="12.75" hidden="false" customHeight="true" outlineLevel="0" collapsed="false">
      <c r="A1059" s="353" t="s">
        <v>807</v>
      </c>
      <c r="B1059" s="353"/>
      <c r="C1059" s="353"/>
      <c r="D1059" s="353"/>
      <c r="E1059" s="353"/>
      <c r="F1059" s="354" t="s">
        <v>808</v>
      </c>
      <c r="G1059" s="354"/>
      <c r="H1059" s="354"/>
      <c r="I1059" s="383"/>
    </row>
    <row r="1060" customFormat="false" ht="12.75" hidden="false" customHeight="true" outlineLevel="0" collapsed="false">
      <c r="A1060" s="353"/>
      <c r="B1060" s="353"/>
      <c r="C1060" s="353"/>
      <c r="D1060" s="353"/>
      <c r="E1060" s="353"/>
      <c r="F1060" s="355" t="s">
        <v>395</v>
      </c>
      <c r="G1060" s="356" t="s">
        <v>809</v>
      </c>
      <c r="H1060" s="357" t="s">
        <v>810</v>
      </c>
      <c r="I1060" s="383"/>
    </row>
    <row r="1061" customFormat="false" ht="16" hidden="false" customHeight="true" outlineLevel="0" collapsed="false">
      <c r="A1061" s="365" t="s">
        <v>855</v>
      </c>
      <c r="B1061" s="365"/>
      <c r="C1061" s="365"/>
      <c r="D1061" s="365"/>
      <c r="E1061" s="365"/>
      <c r="F1061" s="359"/>
      <c r="G1061" s="360"/>
      <c r="H1061" s="361"/>
      <c r="I1061" s="383" t="s">
        <v>856</v>
      </c>
    </row>
    <row r="1062" customFormat="false" ht="13" hidden="false" customHeight="true" outlineLevel="0" collapsed="false">
      <c r="A1062" s="363" t="s">
        <v>857</v>
      </c>
      <c r="B1062" s="363"/>
      <c r="C1062" s="363"/>
      <c r="D1062" s="363"/>
      <c r="E1062" s="363"/>
      <c r="F1062" s="363"/>
      <c r="G1062" s="363"/>
      <c r="H1062" s="363"/>
      <c r="I1062" s="383"/>
    </row>
    <row r="1063" customFormat="false" ht="6" hidden="false" customHeight="true" outlineLevel="0" collapsed="false">
      <c r="A1063" s="384"/>
      <c r="B1063" s="384"/>
      <c r="C1063" s="384"/>
      <c r="D1063" s="384"/>
      <c r="E1063" s="384"/>
      <c r="F1063" s="384"/>
      <c r="G1063" s="384"/>
      <c r="H1063" s="384"/>
      <c r="I1063" s="383"/>
    </row>
    <row r="1064" customFormat="false" ht="15.5" hidden="false" customHeight="true" outlineLevel="0" collapsed="false">
      <c r="A1064" s="365" t="s">
        <v>858</v>
      </c>
      <c r="B1064" s="365"/>
      <c r="C1064" s="365"/>
      <c r="D1064" s="365"/>
      <c r="E1064" s="365"/>
      <c r="F1064" s="359"/>
      <c r="G1064" s="360"/>
      <c r="H1064" s="361"/>
      <c r="I1064" s="383" t="s">
        <v>847</v>
      </c>
    </row>
    <row r="1065" customFormat="false" ht="15.5" hidden="false" customHeight="true" outlineLevel="0" collapsed="false">
      <c r="A1065" s="385" t="s">
        <v>859</v>
      </c>
      <c r="B1065" s="385"/>
      <c r="C1065" s="385"/>
      <c r="D1065" s="385"/>
      <c r="E1065" s="385"/>
      <c r="F1065" s="359"/>
      <c r="G1065" s="360"/>
      <c r="H1065" s="361"/>
      <c r="I1065" s="383" t="s">
        <v>847</v>
      </c>
    </row>
    <row r="1066" customFormat="false" ht="15.5" hidden="false" customHeight="true" outlineLevel="0" collapsed="false">
      <c r="A1066" s="78"/>
      <c r="B1066" s="77"/>
      <c r="C1066" s="83"/>
      <c r="D1066" s="83"/>
      <c r="E1066" s="83"/>
      <c r="F1066" s="104"/>
      <c r="G1066" s="104"/>
      <c r="H1066" s="104"/>
      <c r="I1066" s="104"/>
    </row>
    <row r="1067" customFormat="false" ht="15.5" hidden="false" customHeight="true" outlineLevel="0" collapsed="false">
      <c r="A1067" s="350" t="s">
        <v>860</v>
      </c>
      <c r="B1067" s="350"/>
      <c r="C1067" s="350"/>
      <c r="D1067" s="104"/>
      <c r="E1067" s="104"/>
      <c r="F1067" s="104"/>
      <c r="G1067" s="104"/>
      <c r="H1067" s="104"/>
      <c r="I1067" s="104"/>
    </row>
    <row r="1068" customFormat="false" ht="15.5" hidden="false" customHeight="true" outlineLevel="0" collapsed="false">
      <c r="A1068" s="78" t="s">
        <v>829</v>
      </c>
      <c r="B1068" s="202" t="s">
        <v>861</v>
      </c>
      <c r="C1068" s="202"/>
      <c r="D1068" s="202"/>
      <c r="E1068" s="202"/>
      <c r="F1068" s="202"/>
      <c r="G1068" s="104"/>
      <c r="H1068" s="104"/>
      <c r="I1068" s="104"/>
    </row>
    <row r="1069" customFormat="false" ht="15.5" hidden="false" customHeight="true" outlineLevel="0" collapsed="false">
      <c r="A1069" s="78"/>
      <c r="B1069" s="202"/>
      <c r="C1069" s="202"/>
      <c r="D1069" s="202"/>
      <c r="E1069" s="202"/>
      <c r="F1069" s="202"/>
      <c r="G1069" s="260"/>
      <c r="H1069" s="260"/>
      <c r="I1069" s="104"/>
    </row>
    <row r="1070" customFormat="false" ht="15.5" hidden="false" customHeight="true" outlineLevel="0" collapsed="false">
      <c r="A1070" s="78"/>
      <c r="B1070" s="104"/>
      <c r="C1070" s="104"/>
      <c r="D1070" s="104"/>
      <c r="E1070" s="104"/>
      <c r="F1070" s="104"/>
      <c r="G1070" s="104"/>
      <c r="H1070" s="104"/>
      <c r="I1070" s="104"/>
    </row>
    <row r="1071" customFormat="false" ht="15.5" hidden="false" customHeight="true" outlineLevel="0" collapsed="false">
      <c r="A1071" s="78" t="s">
        <v>862</v>
      </c>
      <c r="B1071" s="202" t="s">
        <v>863</v>
      </c>
      <c r="C1071" s="202"/>
      <c r="D1071" s="202"/>
      <c r="E1071" s="202"/>
      <c r="F1071" s="202"/>
      <c r="G1071" s="203" t="s">
        <v>242</v>
      </c>
      <c r="H1071" s="203" t="s">
        <v>243</v>
      </c>
      <c r="I1071" s="104"/>
    </row>
    <row r="1072" customFormat="false" ht="15.5" hidden="false" customHeight="true" outlineLevel="0" collapsed="false">
      <c r="A1072" s="78"/>
      <c r="B1072" s="202"/>
      <c r="C1072" s="202"/>
      <c r="D1072" s="202"/>
      <c r="E1072" s="202"/>
      <c r="F1072" s="202"/>
      <c r="G1072" s="344"/>
      <c r="H1072" s="204"/>
      <c r="I1072" s="104"/>
    </row>
    <row r="1073" customFormat="false" ht="15.5" hidden="false" customHeight="true" outlineLevel="0" collapsed="false">
      <c r="A1073" s="78"/>
      <c r="B1073" s="206" t="s">
        <v>864</v>
      </c>
      <c r="C1073" s="206"/>
      <c r="D1073" s="206"/>
      <c r="E1073" s="206"/>
      <c r="F1073" s="206"/>
      <c r="G1073" s="206"/>
      <c r="H1073" s="206"/>
      <c r="I1073" s="104"/>
    </row>
    <row r="1074" customFormat="false" ht="9" hidden="false" customHeight="true" outlineLevel="0" collapsed="false">
      <c r="A1074" s="78"/>
      <c r="B1074" s="104"/>
      <c r="C1074" s="104"/>
      <c r="D1074" s="104"/>
      <c r="E1074" s="104"/>
      <c r="F1074" s="104"/>
      <c r="G1074" s="104"/>
      <c r="H1074" s="104"/>
      <c r="I1074" s="104"/>
    </row>
    <row r="1075" customFormat="false" ht="15.5" hidden="false" customHeight="true" outlineLevel="0" collapsed="false">
      <c r="A1075" s="350" t="s">
        <v>865</v>
      </c>
      <c r="B1075" s="350"/>
      <c r="C1075" s="350"/>
      <c r="D1075" s="104"/>
      <c r="E1075" s="104"/>
      <c r="F1075" s="104"/>
      <c r="G1075" s="104"/>
      <c r="H1075" s="104"/>
      <c r="I1075" s="104"/>
    </row>
    <row r="1076" customFormat="false" ht="15.5" hidden="false" customHeight="true" outlineLevel="0" collapsed="false">
      <c r="A1076" s="78" t="s">
        <v>866</v>
      </c>
      <c r="B1076" s="199" t="s">
        <v>867</v>
      </c>
      <c r="C1076" s="199"/>
      <c r="D1076" s="199"/>
      <c r="E1076" s="199"/>
      <c r="F1076" s="199"/>
      <c r="G1076" s="199"/>
      <c r="H1076" s="104"/>
      <c r="I1076" s="104"/>
    </row>
    <row r="1077" customFormat="false" ht="11.25" hidden="false" customHeight="true" outlineLevel="0" collapsed="false">
      <c r="A1077" s="78"/>
      <c r="B1077" s="77"/>
      <c r="C1077" s="83"/>
      <c r="D1077" s="83"/>
      <c r="E1077" s="83"/>
      <c r="F1077" s="344"/>
      <c r="G1077" s="104" t="s">
        <v>868</v>
      </c>
      <c r="H1077" s="104"/>
      <c r="I1077" s="104"/>
    </row>
    <row r="1078" customFormat="false" ht="11.25" hidden="false" customHeight="true" outlineLevel="0" collapsed="false">
      <c r="A1078" s="78"/>
      <c r="B1078" s="77"/>
      <c r="C1078" s="83"/>
      <c r="D1078" s="83"/>
      <c r="E1078" s="83"/>
      <c r="F1078" s="344"/>
      <c r="G1078" s="104" t="s">
        <v>869</v>
      </c>
      <c r="H1078" s="104"/>
      <c r="I1078" s="104"/>
    </row>
    <row r="1079" customFormat="false" ht="11.25" hidden="false" customHeight="true" outlineLevel="0" collapsed="false">
      <c r="A1079" s="78"/>
      <c r="B1079" s="77"/>
      <c r="C1079" s="83"/>
      <c r="D1079" s="83"/>
      <c r="E1079" s="83"/>
      <c r="F1079" s="344"/>
      <c r="G1079" s="104" t="s">
        <v>870</v>
      </c>
      <c r="H1079" s="104"/>
      <c r="I1079" s="104"/>
    </row>
    <row r="1080" customFormat="false" ht="11.25" hidden="false" customHeight="true" outlineLevel="0" collapsed="false">
      <c r="A1080" s="78"/>
      <c r="B1080" s="77"/>
      <c r="C1080" s="83"/>
      <c r="D1080" s="83"/>
      <c r="E1080" s="83"/>
      <c r="F1080" s="344"/>
      <c r="G1080" s="104" t="s">
        <v>871</v>
      </c>
      <c r="H1080" s="104"/>
      <c r="I1080" s="104"/>
    </row>
    <row r="1081" customFormat="false" ht="9.75" hidden="false" customHeight="true" outlineLevel="0" collapsed="false">
      <c r="A1081" s="104"/>
      <c r="B1081" s="104"/>
      <c r="C1081" s="83"/>
      <c r="D1081" s="83"/>
      <c r="E1081" s="83"/>
      <c r="F1081" s="104"/>
      <c r="I1081" s="104"/>
    </row>
    <row r="1082" customFormat="false" ht="15.5" hidden="false" customHeight="true" outlineLevel="0" collapsed="false">
      <c r="A1082" s="78" t="s">
        <v>866</v>
      </c>
      <c r="B1082" s="98" t="s">
        <v>872</v>
      </c>
      <c r="C1082" s="83"/>
      <c r="D1082" s="83"/>
      <c r="E1082" s="83"/>
      <c r="F1082" s="104"/>
      <c r="G1082" s="203" t="s">
        <v>242</v>
      </c>
      <c r="H1082" s="203" t="s">
        <v>243</v>
      </c>
      <c r="I1082" s="104"/>
    </row>
    <row r="1083" customFormat="false" ht="15.5" hidden="false" customHeight="true" outlineLevel="0" collapsed="false">
      <c r="A1083" s="78"/>
      <c r="B1083" s="340" t="s">
        <v>873</v>
      </c>
      <c r="C1083" s="83"/>
      <c r="D1083" s="83"/>
      <c r="E1083" s="83"/>
      <c r="F1083" s="104"/>
      <c r="G1083" s="344"/>
      <c r="H1083" s="204"/>
      <c r="I1083" s="104"/>
    </row>
    <row r="1084" customFormat="false" ht="10.5" hidden="false" customHeight="true" outlineLevel="0" collapsed="false">
      <c r="A1084" s="78"/>
      <c r="B1084" s="77"/>
      <c r="C1084" s="83"/>
      <c r="D1084" s="83"/>
      <c r="E1084" s="83"/>
      <c r="F1084" s="104"/>
      <c r="G1084" s="104"/>
      <c r="H1084" s="104"/>
      <c r="I1084" s="104"/>
    </row>
    <row r="1085" customFormat="false" ht="15.5" hidden="false" customHeight="true" outlineLevel="0" collapsed="false">
      <c r="A1085" s="78" t="s">
        <v>866</v>
      </c>
      <c r="B1085" s="202" t="s">
        <v>874</v>
      </c>
      <c r="C1085" s="202"/>
      <c r="D1085" s="202"/>
      <c r="E1085" s="202"/>
      <c r="F1085" s="202"/>
      <c r="G1085" s="203" t="s">
        <v>242</v>
      </c>
      <c r="H1085" s="203" t="s">
        <v>243</v>
      </c>
      <c r="I1085" s="104"/>
    </row>
    <row r="1086" customFormat="false" ht="15.5" hidden="false" customHeight="true" outlineLevel="0" collapsed="false">
      <c r="A1086" s="78"/>
      <c r="B1086" s="202"/>
      <c r="C1086" s="202"/>
      <c r="D1086" s="202"/>
      <c r="E1086" s="202"/>
      <c r="F1086" s="202"/>
      <c r="G1086" s="344"/>
      <c r="H1086" s="204"/>
      <c r="I1086" s="104"/>
    </row>
    <row r="1087" customFormat="false" ht="15.5" hidden="false" customHeight="true" outlineLevel="0" collapsed="false">
      <c r="A1087" s="78"/>
      <c r="B1087" s="386" t="s">
        <v>875</v>
      </c>
      <c r="C1087" s="100"/>
      <c r="D1087" s="100"/>
      <c r="E1087" s="100"/>
      <c r="F1087" s="100"/>
      <c r="G1087" s="100"/>
      <c r="H1087" s="100"/>
      <c r="I1087" s="104"/>
    </row>
    <row r="1088" customFormat="false" ht="9" hidden="false" customHeight="true" outlineLevel="0" collapsed="false">
      <c r="A1088" s="78"/>
      <c r="B1088" s="83"/>
      <c r="C1088" s="83"/>
      <c r="D1088" s="83"/>
      <c r="E1088" s="83"/>
      <c r="F1088" s="104"/>
      <c r="G1088" s="104"/>
      <c r="H1088" s="104"/>
      <c r="I1088" s="104"/>
    </row>
    <row r="1089" customFormat="false" ht="15.5" hidden="false" customHeight="true" outlineLevel="0" collapsed="false">
      <c r="A1089" s="78" t="s">
        <v>866</v>
      </c>
      <c r="B1089" s="246" t="s">
        <v>876</v>
      </c>
      <c r="C1089" s="246"/>
      <c r="D1089" s="246"/>
      <c r="E1089" s="246"/>
      <c r="F1089" s="246"/>
      <c r="G1089" s="344"/>
      <c r="H1089" s="104" t="s">
        <v>877</v>
      </c>
      <c r="I1089" s="104"/>
    </row>
    <row r="1090" customFormat="false" ht="15.5" hidden="false" customHeight="true" outlineLevel="0" collapsed="false">
      <c r="A1090" s="78"/>
      <c r="B1090" s="340" t="s">
        <v>878</v>
      </c>
      <c r="C1090" s="387"/>
      <c r="D1090" s="207"/>
      <c r="E1090" s="388"/>
      <c r="F1090" s="104"/>
      <c r="G1090" s="344"/>
      <c r="H1090" s="104" t="s">
        <v>879</v>
      </c>
      <c r="I1090" s="104"/>
    </row>
    <row r="1091" customFormat="false" ht="15.5" hidden="false" customHeight="true" outlineLevel="0" collapsed="false">
      <c r="A1091" s="78"/>
      <c r="B1091" s="340" t="s">
        <v>880</v>
      </c>
      <c r="C1091" s="387"/>
      <c r="D1091" s="207"/>
      <c r="E1091" s="388"/>
      <c r="F1091" s="104"/>
      <c r="G1091" s="344"/>
      <c r="H1091" s="104" t="s">
        <v>881</v>
      </c>
      <c r="I1091" s="104"/>
    </row>
    <row r="1092" customFormat="false" ht="15.5" hidden="false" customHeight="true" outlineLevel="0" collapsed="false">
      <c r="A1092" s="78"/>
      <c r="B1092" s="340" t="s">
        <v>882</v>
      </c>
      <c r="C1092" s="332"/>
      <c r="D1092" s="207"/>
      <c r="E1092" s="388"/>
      <c r="F1092" s="104"/>
      <c r="G1092" s="104"/>
      <c r="H1092" s="104"/>
      <c r="I1092" s="104"/>
    </row>
    <row r="1093" customFormat="false" ht="15.5" hidden="false" customHeight="true" outlineLevel="0" collapsed="false">
      <c r="A1093" s="78"/>
      <c r="B1093" s="389"/>
      <c r="C1093" s="104"/>
      <c r="D1093" s="104"/>
      <c r="E1093" s="104"/>
      <c r="F1093" s="104"/>
      <c r="G1093" s="203" t="s">
        <v>242</v>
      </c>
      <c r="H1093" s="203" t="s">
        <v>243</v>
      </c>
      <c r="I1093" s="104"/>
    </row>
    <row r="1094" customFormat="false" ht="15.5" hidden="false" customHeight="true" outlineLevel="0" collapsed="false">
      <c r="A1094" s="78" t="s">
        <v>780</v>
      </c>
      <c r="B1094" s="246" t="s">
        <v>883</v>
      </c>
      <c r="C1094" s="246"/>
      <c r="D1094" s="246"/>
      <c r="E1094" s="246"/>
      <c r="F1094" s="246"/>
      <c r="G1094" s="344"/>
      <c r="H1094" s="204"/>
      <c r="I1094" s="104"/>
    </row>
    <row r="1095" customFormat="false" ht="29.5" hidden="false" customHeight="true" outlineLevel="0" collapsed="false">
      <c r="A1095" s="223" t="s">
        <v>884</v>
      </c>
      <c r="B1095" s="223"/>
      <c r="C1095" s="223"/>
      <c r="D1095" s="390"/>
      <c r="E1095" s="391" t="s">
        <v>885</v>
      </c>
      <c r="F1095" s="391"/>
      <c r="G1095" s="392" t="s">
        <v>886</v>
      </c>
      <c r="H1095" s="393" t="s">
        <v>887</v>
      </c>
      <c r="I1095" s="393"/>
    </row>
    <row r="1096" customFormat="false" ht="12.25" hidden="false" customHeight="true" outlineLevel="0" collapsed="false">
      <c r="A1096" s="91"/>
      <c r="B1096" s="390"/>
      <c r="C1096" s="390"/>
      <c r="D1096" s="390"/>
      <c r="E1096" s="104"/>
      <c r="F1096" s="104"/>
      <c r="G1096" s="394" t="s">
        <v>888</v>
      </c>
      <c r="H1096" s="395" t="s">
        <v>888</v>
      </c>
      <c r="I1096" s="395"/>
    </row>
    <row r="1097" customFormat="false" ht="12.25" hidden="false" customHeight="true" outlineLevel="0" collapsed="false">
      <c r="A1097" s="396" t="s">
        <v>889</v>
      </c>
      <c r="B1097" s="396"/>
      <c r="C1097" s="396"/>
      <c r="D1097" s="396"/>
      <c r="E1097" s="396"/>
      <c r="F1097" s="396"/>
      <c r="G1097" s="397"/>
      <c r="H1097" s="398"/>
      <c r="I1097" s="398"/>
    </row>
    <row r="1098" customFormat="false" ht="12.25" hidden="false" customHeight="true" outlineLevel="0" collapsed="false">
      <c r="A1098" s="399" t="s">
        <v>890</v>
      </c>
      <c r="B1098" s="399"/>
      <c r="C1098" s="399"/>
      <c r="D1098" s="399"/>
      <c r="E1098" s="399"/>
      <c r="F1098" s="399"/>
      <c r="G1098" s="400"/>
      <c r="H1098" s="401"/>
      <c r="I1098" s="401"/>
    </row>
    <row r="1099" customFormat="false" ht="12.25" hidden="false" customHeight="true" outlineLevel="0" collapsed="false">
      <c r="A1099" s="399" t="s">
        <v>891</v>
      </c>
      <c r="B1099" s="399"/>
      <c r="C1099" s="399"/>
      <c r="D1099" s="399"/>
      <c r="E1099" s="399"/>
      <c r="F1099" s="399"/>
      <c r="G1099" s="400"/>
      <c r="H1099" s="401"/>
      <c r="I1099" s="401"/>
    </row>
    <row r="1100" customFormat="false" ht="12.25" hidden="false" customHeight="true" outlineLevel="0" collapsed="false">
      <c r="A1100" s="399" t="s">
        <v>892</v>
      </c>
      <c r="B1100" s="399"/>
      <c r="C1100" s="399"/>
      <c r="D1100" s="399"/>
      <c r="E1100" s="399"/>
      <c r="F1100" s="399"/>
      <c r="G1100" s="400"/>
      <c r="H1100" s="401"/>
      <c r="I1100" s="401"/>
    </row>
    <row r="1101" customFormat="false" ht="12.25" hidden="false" customHeight="true" outlineLevel="0" collapsed="false">
      <c r="A1101" s="399" t="s">
        <v>893</v>
      </c>
      <c r="B1101" s="399"/>
      <c r="C1101" s="399"/>
      <c r="D1101" s="399"/>
      <c r="E1101" s="399"/>
      <c r="F1101" s="399"/>
      <c r="G1101" s="400"/>
      <c r="H1101" s="401"/>
      <c r="I1101" s="401"/>
    </row>
    <row r="1102" customFormat="false" ht="12.25" hidden="false" customHeight="true" outlineLevel="0" collapsed="false">
      <c r="A1102" s="402" t="s">
        <v>894</v>
      </c>
      <c r="B1102" s="402"/>
      <c r="C1102" s="402"/>
      <c r="D1102" s="402"/>
      <c r="E1102" s="402"/>
      <c r="F1102" s="402"/>
      <c r="G1102" s="403"/>
      <c r="H1102" s="404"/>
      <c r="I1102" s="404"/>
    </row>
    <row r="1103" customFormat="false" ht="12.25" hidden="false" customHeight="true" outlineLevel="0" collapsed="false">
      <c r="A1103" s="402"/>
      <c r="B1103" s="402"/>
      <c r="C1103" s="402"/>
      <c r="D1103" s="402"/>
      <c r="E1103" s="402"/>
      <c r="F1103" s="402"/>
      <c r="G1103" s="403"/>
      <c r="H1103" s="157"/>
      <c r="I1103" s="405"/>
    </row>
    <row r="1104" customFormat="false" ht="12.25" hidden="false" customHeight="true" outlineLevel="0" collapsed="false">
      <c r="A1104" s="399" t="s">
        <v>895</v>
      </c>
      <c r="B1104" s="399"/>
      <c r="C1104" s="399"/>
      <c r="D1104" s="399"/>
      <c r="E1104" s="399"/>
      <c r="F1104" s="399"/>
      <c r="G1104" s="400"/>
      <c r="H1104" s="215"/>
      <c r="I1104" s="406"/>
    </row>
    <row r="1105" customFormat="false" ht="12.25" hidden="false" customHeight="true" outlineLevel="0" collapsed="false">
      <c r="A1105" s="399" t="s">
        <v>896</v>
      </c>
      <c r="B1105" s="399"/>
      <c r="C1105" s="399"/>
      <c r="D1105" s="399"/>
      <c r="E1105" s="399"/>
      <c r="F1105" s="399"/>
      <c r="G1105" s="400"/>
      <c r="H1105" s="215"/>
      <c r="I1105" s="406"/>
    </row>
    <row r="1106" customFormat="false" ht="12.25" hidden="false" customHeight="true" outlineLevel="0" collapsed="false">
      <c r="A1106" s="399" t="s">
        <v>897</v>
      </c>
      <c r="B1106" s="399"/>
      <c r="C1106" s="399"/>
      <c r="D1106" s="399"/>
      <c r="E1106" s="399"/>
      <c r="F1106" s="399"/>
      <c r="G1106" s="400"/>
      <c r="H1106" s="215"/>
      <c r="I1106" s="406"/>
    </row>
    <row r="1107" customFormat="false" ht="12.25" hidden="false" customHeight="true" outlineLevel="0" collapsed="false">
      <c r="A1107" s="399" t="s">
        <v>897</v>
      </c>
      <c r="B1107" s="399"/>
      <c r="C1107" s="399"/>
      <c r="D1107" s="399"/>
      <c r="E1107" s="399"/>
      <c r="F1107" s="399"/>
      <c r="G1107" s="400"/>
      <c r="H1107" s="215"/>
      <c r="I1107" s="406"/>
    </row>
    <row r="1108" customFormat="false" ht="12.25" hidden="false" customHeight="true" outlineLevel="0" collapsed="false">
      <c r="A1108" s="396" t="s">
        <v>898</v>
      </c>
      <c r="B1108" s="396"/>
      <c r="C1108" s="396"/>
      <c r="D1108" s="396"/>
      <c r="E1108" s="396"/>
      <c r="F1108" s="396"/>
      <c r="G1108" s="397"/>
      <c r="H1108" s="398"/>
      <c r="I1108" s="398"/>
    </row>
    <row r="1109" customFormat="false" ht="12.25" hidden="false" customHeight="true" outlineLevel="0" collapsed="false">
      <c r="A1109" s="399" t="s">
        <v>899</v>
      </c>
      <c r="B1109" s="399"/>
      <c r="C1109" s="399"/>
      <c r="D1109" s="399"/>
      <c r="E1109" s="399"/>
      <c r="F1109" s="399"/>
      <c r="G1109" s="400"/>
      <c r="H1109" s="215"/>
      <c r="I1109" s="406"/>
    </row>
    <row r="1110" customFormat="false" ht="12.25" hidden="false" customHeight="true" outlineLevel="0" collapsed="false">
      <c r="A1110" s="399" t="s">
        <v>900</v>
      </c>
      <c r="B1110" s="399"/>
      <c r="C1110" s="399"/>
      <c r="D1110" s="399"/>
      <c r="E1110" s="399"/>
      <c r="F1110" s="399"/>
      <c r="G1110" s="400"/>
      <c r="H1110" s="215"/>
      <c r="I1110" s="406"/>
    </row>
    <row r="1111" customFormat="false" ht="12.25" hidden="false" customHeight="true" outlineLevel="0" collapsed="false">
      <c r="A1111" s="399" t="s">
        <v>901</v>
      </c>
      <c r="B1111" s="399"/>
      <c r="C1111" s="399"/>
      <c r="D1111" s="399"/>
      <c r="E1111" s="399"/>
      <c r="F1111" s="399"/>
      <c r="G1111" s="400"/>
      <c r="H1111" s="215"/>
      <c r="I1111" s="406"/>
    </row>
    <row r="1112" customFormat="false" ht="12.25" hidden="false" customHeight="true" outlineLevel="0" collapsed="false">
      <c r="A1112" s="396" t="s">
        <v>902</v>
      </c>
      <c r="B1112" s="396"/>
      <c r="C1112" s="396"/>
      <c r="D1112" s="396"/>
      <c r="E1112" s="396"/>
      <c r="F1112" s="396"/>
      <c r="G1112" s="397"/>
      <c r="H1112" s="398"/>
      <c r="I1112" s="398"/>
    </row>
    <row r="1113" customFormat="false" ht="12.25" hidden="false" customHeight="true" outlineLevel="0" collapsed="false">
      <c r="A1113" s="399" t="s">
        <v>903</v>
      </c>
      <c r="B1113" s="399"/>
      <c r="C1113" s="399"/>
      <c r="D1113" s="399"/>
      <c r="E1113" s="399"/>
      <c r="F1113" s="399"/>
      <c r="G1113" s="400"/>
      <c r="H1113" s="215"/>
      <c r="I1113" s="406"/>
    </row>
    <row r="1114" customFormat="false" ht="12.25" hidden="false" customHeight="true" outlineLevel="0" collapsed="false">
      <c r="A1114" s="399" t="s">
        <v>904</v>
      </c>
      <c r="B1114" s="399"/>
      <c r="C1114" s="399"/>
      <c r="D1114" s="399"/>
      <c r="E1114" s="399"/>
      <c r="F1114" s="399"/>
      <c r="G1114" s="400"/>
      <c r="H1114" s="215"/>
      <c r="I1114" s="406"/>
    </row>
    <row r="1115" customFormat="false" ht="12.25" hidden="false" customHeight="true" outlineLevel="0" collapsed="false">
      <c r="A1115" s="399" t="s">
        <v>905</v>
      </c>
      <c r="B1115" s="399"/>
      <c r="C1115" s="399"/>
      <c r="D1115" s="399"/>
      <c r="E1115" s="399"/>
      <c r="F1115" s="399"/>
      <c r="G1115" s="400"/>
      <c r="H1115" s="215"/>
      <c r="I1115" s="406"/>
    </row>
    <row r="1116" customFormat="false" ht="12.25" hidden="false" customHeight="true" outlineLevel="0" collapsed="false">
      <c r="A1116" s="396" t="s">
        <v>906</v>
      </c>
      <c r="B1116" s="396"/>
      <c r="C1116" s="396"/>
      <c r="D1116" s="396"/>
      <c r="E1116" s="396"/>
      <c r="F1116" s="396"/>
      <c r="G1116" s="397"/>
      <c r="H1116" s="398"/>
      <c r="I1116" s="398"/>
    </row>
    <row r="1117" customFormat="false" ht="12.25" hidden="false" customHeight="true" outlineLevel="0" collapsed="false">
      <c r="A1117" s="399" t="s">
        <v>907</v>
      </c>
      <c r="B1117" s="399"/>
      <c r="C1117" s="399"/>
      <c r="D1117" s="399"/>
      <c r="E1117" s="399"/>
      <c r="F1117" s="399"/>
      <c r="G1117" s="400"/>
      <c r="H1117" s="215"/>
      <c r="I1117" s="406"/>
    </row>
    <row r="1118" customFormat="false" ht="12.25" hidden="false" customHeight="true" outlineLevel="0" collapsed="false">
      <c r="A1118" s="399" t="s">
        <v>908</v>
      </c>
      <c r="B1118" s="399"/>
      <c r="C1118" s="399"/>
      <c r="D1118" s="399"/>
      <c r="E1118" s="399"/>
      <c r="F1118" s="399"/>
      <c r="G1118" s="400"/>
      <c r="H1118" s="215"/>
      <c r="I1118" s="406"/>
    </row>
    <row r="1119" customFormat="false" ht="12.25" hidden="false" customHeight="true" outlineLevel="0" collapsed="false">
      <c r="A1119" s="399" t="s">
        <v>909</v>
      </c>
      <c r="B1119" s="399"/>
      <c r="C1119" s="399"/>
      <c r="D1119" s="399"/>
      <c r="E1119" s="399"/>
      <c r="F1119" s="399"/>
      <c r="G1119" s="400"/>
      <c r="H1119" s="215"/>
      <c r="I1119" s="406"/>
    </row>
    <row r="1120" customFormat="false" ht="12.25" hidden="false" customHeight="true" outlineLevel="0" collapsed="false">
      <c r="A1120" s="399" t="s">
        <v>910</v>
      </c>
      <c r="B1120" s="399"/>
      <c r="C1120" s="399"/>
      <c r="D1120" s="399"/>
      <c r="E1120" s="399"/>
      <c r="F1120" s="399"/>
      <c r="G1120" s="400"/>
      <c r="H1120" s="215"/>
      <c r="I1120" s="406"/>
    </row>
    <row r="1121" customFormat="false" ht="12.25" hidden="false" customHeight="true" outlineLevel="0" collapsed="false">
      <c r="A1121" s="399" t="s">
        <v>911</v>
      </c>
      <c r="B1121" s="399"/>
      <c r="C1121" s="399"/>
      <c r="D1121" s="399"/>
      <c r="E1121" s="399"/>
      <c r="F1121" s="399"/>
      <c r="G1121" s="400"/>
      <c r="H1121" s="215"/>
      <c r="I1121" s="406"/>
    </row>
    <row r="1122" customFormat="false" ht="12.25" hidden="false" customHeight="true" outlineLevel="0" collapsed="false">
      <c r="A1122" s="399" t="s">
        <v>912</v>
      </c>
      <c r="B1122" s="399"/>
      <c r="C1122" s="399"/>
      <c r="D1122" s="399"/>
      <c r="E1122" s="399"/>
      <c r="F1122" s="399"/>
      <c r="G1122" s="400"/>
      <c r="H1122" s="215"/>
      <c r="I1122" s="406"/>
    </row>
    <row r="1123" customFormat="false" ht="12.25" hidden="false" customHeight="true" outlineLevel="0" collapsed="false">
      <c r="A1123" s="399" t="s">
        <v>913</v>
      </c>
      <c r="B1123" s="399"/>
      <c r="C1123" s="399"/>
      <c r="D1123" s="399"/>
      <c r="E1123" s="399"/>
      <c r="F1123" s="399"/>
      <c r="G1123" s="400"/>
      <c r="H1123" s="215"/>
      <c r="I1123" s="406"/>
    </row>
    <row r="1124" customFormat="false" ht="12.25" hidden="false" customHeight="true" outlineLevel="0" collapsed="false">
      <c r="A1124" s="407" t="s">
        <v>914</v>
      </c>
      <c r="B1124" s="407"/>
      <c r="C1124" s="407"/>
      <c r="D1124" s="407"/>
      <c r="E1124" s="407"/>
      <c r="F1124" s="407"/>
      <c r="G1124" s="408"/>
      <c r="H1124" s="409"/>
      <c r="I1124" s="410"/>
    </row>
    <row r="1125" customFormat="false" ht="12.25" hidden="false" customHeight="true" outlineLevel="0" collapsed="false">
      <c r="A1125" s="396" t="s">
        <v>915</v>
      </c>
      <c r="B1125" s="396"/>
      <c r="C1125" s="396"/>
      <c r="D1125" s="396"/>
      <c r="E1125" s="396"/>
      <c r="F1125" s="396"/>
      <c r="G1125" s="397"/>
      <c r="H1125" s="398"/>
      <c r="I1125" s="398"/>
    </row>
    <row r="1126" customFormat="false" ht="12.25" hidden="false" customHeight="true" outlineLevel="0" collapsed="false">
      <c r="A1126" s="399" t="s">
        <v>916</v>
      </c>
      <c r="B1126" s="399"/>
      <c r="C1126" s="399"/>
      <c r="D1126" s="399"/>
      <c r="E1126" s="399"/>
      <c r="F1126" s="399"/>
      <c r="G1126" s="400"/>
      <c r="H1126" s="215"/>
      <c r="I1126" s="406"/>
    </row>
    <row r="1127" customFormat="false" ht="12.25" hidden="false" customHeight="true" outlineLevel="0" collapsed="false">
      <c r="A1127" s="399" t="s">
        <v>917</v>
      </c>
      <c r="B1127" s="399"/>
      <c r="C1127" s="399"/>
      <c r="D1127" s="399"/>
      <c r="E1127" s="399"/>
      <c r="F1127" s="399"/>
      <c r="G1127" s="400"/>
      <c r="H1127" s="215"/>
      <c r="I1127" s="406"/>
    </row>
    <row r="1128" customFormat="false" ht="12.25" hidden="false" customHeight="true" outlineLevel="0" collapsed="false">
      <c r="A1128" s="407" t="s">
        <v>918</v>
      </c>
      <c r="B1128" s="407"/>
      <c r="C1128" s="407"/>
      <c r="D1128" s="407"/>
      <c r="E1128" s="407"/>
      <c r="F1128" s="407"/>
      <c r="G1128" s="408"/>
      <c r="H1128" s="409"/>
      <c r="I1128" s="410"/>
    </row>
    <row r="1129" customFormat="false" ht="12.25" hidden="false" customHeight="true" outlineLevel="0" collapsed="false">
      <c r="A1129" s="396" t="s">
        <v>919</v>
      </c>
      <c r="B1129" s="396"/>
      <c r="C1129" s="396"/>
      <c r="D1129" s="396"/>
      <c r="E1129" s="396"/>
      <c r="F1129" s="396"/>
      <c r="G1129" s="397"/>
      <c r="H1129" s="398"/>
      <c r="I1129" s="398"/>
    </row>
    <row r="1130" customFormat="false" ht="12.25" hidden="false" customHeight="true" outlineLevel="0" collapsed="false">
      <c r="A1130" s="399" t="s">
        <v>916</v>
      </c>
      <c r="B1130" s="399"/>
      <c r="C1130" s="399"/>
      <c r="D1130" s="399"/>
      <c r="E1130" s="399"/>
      <c r="F1130" s="399"/>
      <c r="G1130" s="400"/>
      <c r="H1130" s="215"/>
      <c r="I1130" s="406"/>
    </row>
    <row r="1131" customFormat="false" ht="12.25" hidden="false" customHeight="true" outlineLevel="0" collapsed="false">
      <c r="A1131" s="407" t="s">
        <v>920</v>
      </c>
      <c r="B1131" s="407"/>
      <c r="C1131" s="407"/>
      <c r="D1131" s="407"/>
      <c r="E1131" s="407"/>
      <c r="F1131" s="407"/>
      <c r="G1131" s="408"/>
      <c r="H1131" s="409"/>
      <c r="I1131" s="410"/>
    </row>
    <row r="1132" customFormat="false" ht="12.25" hidden="false" customHeight="true" outlineLevel="0" collapsed="false">
      <c r="A1132" s="396" t="s">
        <v>921</v>
      </c>
      <c r="B1132" s="396"/>
      <c r="C1132" s="396"/>
      <c r="D1132" s="396"/>
      <c r="E1132" s="396"/>
      <c r="F1132" s="396"/>
      <c r="G1132" s="397"/>
      <c r="H1132" s="398"/>
      <c r="I1132" s="398"/>
    </row>
    <row r="1133" customFormat="false" ht="12.25" hidden="false" customHeight="true" outlineLevel="0" collapsed="false">
      <c r="A1133" s="399" t="s">
        <v>922</v>
      </c>
      <c r="B1133" s="399"/>
      <c r="C1133" s="399"/>
      <c r="D1133" s="399"/>
      <c r="E1133" s="399"/>
      <c r="F1133" s="399"/>
      <c r="G1133" s="400"/>
      <c r="H1133" s="215"/>
      <c r="I1133" s="406"/>
    </row>
    <row r="1134" customFormat="false" ht="12.25" hidden="false" customHeight="true" outlineLevel="0" collapsed="false">
      <c r="A1134" s="399" t="s">
        <v>917</v>
      </c>
      <c r="B1134" s="399"/>
      <c r="C1134" s="399"/>
      <c r="D1134" s="399"/>
      <c r="E1134" s="399"/>
      <c r="F1134" s="399"/>
      <c r="G1134" s="400"/>
      <c r="H1134" s="215"/>
      <c r="I1134" s="406"/>
    </row>
    <row r="1135" customFormat="false" ht="12.25" hidden="false" customHeight="true" outlineLevel="0" collapsed="false">
      <c r="A1135" s="399" t="s">
        <v>918</v>
      </c>
      <c r="B1135" s="399"/>
      <c r="C1135" s="399"/>
      <c r="D1135" s="399"/>
      <c r="E1135" s="399"/>
      <c r="F1135" s="399"/>
      <c r="G1135" s="400"/>
      <c r="H1135" s="215"/>
      <c r="I1135" s="406"/>
    </row>
    <row r="1136" customFormat="false" ht="12.25" hidden="false" customHeight="true" outlineLevel="0" collapsed="false">
      <c r="A1136" s="407" t="s">
        <v>920</v>
      </c>
      <c r="B1136" s="407"/>
      <c r="C1136" s="407"/>
      <c r="D1136" s="407"/>
      <c r="E1136" s="407"/>
      <c r="F1136" s="407"/>
      <c r="G1136" s="408"/>
      <c r="H1136" s="409"/>
      <c r="I1136" s="410"/>
    </row>
    <row r="1137" customFormat="false" ht="12.25" hidden="false" customHeight="true" outlineLevel="0" collapsed="false">
      <c r="A1137" s="396" t="s">
        <v>923</v>
      </c>
      <c r="B1137" s="396"/>
      <c r="C1137" s="396"/>
      <c r="D1137" s="396"/>
      <c r="E1137" s="396"/>
      <c r="F1137" s="396"/>
      <c r="G1137" s="397"/>
      <c r="H1137" s="398"/>
      <c r="I1137" s="398"/>
    </row>
    <row r="1138" customFormat="false" ht="12.25" hidden="false" customHeight="true" outlineLevel="0" collapsed="false">
      <c r="A1138" s="399" t="s">
        <v>922</v>
      </c>
      <c r="B1138" s="399"/>
      <c r="C1138" s="399"/>
      <c r="D1138" s="399"/>
      <c r="E1138" s="399"/>
      <c r="F1138" s="399"/>
      <c r="G1138" s="400"/>
      <c r="H1138" s="215"/>
      <c r="I1138" s="406"/>
    </row>
    <row r="1139" customFormat="false" ht="12.25" hidden="false" customHeight="true" outlineLevel="0" collapsed="false">
      <c r="A1139" s="399" t="s">
        <v>917</v>
      </c>
      <c r="B1139" s="399"/>
      <c r="C1139" s="399"/>
      <c r="D1139" s="399"/>
      <c r="E1139" s="399"/>
      <c r="F1139" s="399"/>
      <c r="G1139" s="400"/>
      <c r="H1139" s="215"/>
      <c r="I1139" s="406"/>
    </row>
    <row r="1140" customFormat="false" ht="12.25" hidden="false" customHeight="true" outlineLevel="0" collapsed="false">
      <c r="A1140" s="399" t="s">
        <v>918</v>
      </c>
      <c r="B1140" s="399"/>
      <c r="C1140" s="399"/>
      <c r="D1140" s="399"/>
      <c r="E1140" s="399"/>
      <c r="F1140" s="399"/>
      <c r="G1140" s="400"/>
      <c r="H1140" s="215"/>
      <c r="I1140" s="406"/>
    </row>
    <row r="1141" customFormat="false" ht="12.25" hidden="false" customHeight="true" outlineLevel="0" collapsed="false">
      <c r="A1141" s="407" t="s">
        <v>920</v>
      </c>
      <c r="B1141" s="407"/>
      <c r="C1141" s="407"/>
      <c r="D1141" s="407"/>
      <c r="E1141" s="407"/>
      <c r="F1141" s="407"/>
      <c r="G1141" s="408"/>
      <c r="H1141" s="409"/>
      <c r="I1141" s="410"/>
    </row>
    <row r="1142" customFormat="false" ht="12.25" hidden="false" customHeight="true" outlineLevel="0" collapsed="false">
      <c r="A1142" s="396" t="s">
        <v>924</v>
      </c>
      <c r="B1142" s="396"/>
      <c r="C1142" s="396"/>
      <c r="D1142" s="396"/>
      <c r="E1142" s="396"/>
      <c r="F1142" s="396"/>
      <c r="G1142" s="397"/>
      <c r="H1142" s="398"/>
      <c r="I1142" s="398"/>
    </row>
    <row r="1143" customFormat="false" ht="12.25" hidden="false" customHeight="true" outlineLevel="0" collapsed="false">
      <c r="A1143" s="399" t="s">
        <v>916</v>
      </c>
      <c r="B1143" s="399"/>
      <c r="C1143" s="399"/>
      <c r="D1143" s="399"/>
      <c r="E1143" s="399"/>
      <c r="F1143" s="399"/>
      <c r="G1143" s="400"/>
      <c r="H1143" s="215"/>
      <c r="I1143" s="406"/>
    </row>
    <row r="1144" customFormat="false" ht="12.25" hidden="false" customHeight="true" outlineLevel="0" collapsed="false">
      <c r="A1144" s="407" t="s">
        <v>920</v>
      </c>
      <c r="B1144" s="407"/>
      <c r="C1144" s="407"/>
      <c r="D1144" s="407"/>
      <c r="E1144" s="407"/>
      <c r="F1144" s="407"/>
      <c r="G1144" s="408"/>
      <c r="H1144" s="409"/>
      <c r="I1144" s="410"/>
    </row>
    <row r="1145" customFormat="false" ht="12.25" hidden="false" customHeight="true" outlineLevel="0" collapsed="false">
      <c r="A1145" s="396" t="s">
        <v>925</v>
      </c>
      <c r="B1145" s="396"/>
      <c r="C1145" s="396"/>
      <c r="D1145" s="396"/>
      <c r="E1145" s="396"/>
      <c r="F1145" s="396"/>
      <c r="G1145" s="397"/>
      <c r="H1145" s="398"/>
      <c r="I1145" s="398"/>
    </row>
    <row r="1146" customFormat="false" ht="12.25" hidden="false" customHeight="true" outlineLevel="0" collapsed="false">
      <c r="A1146" s="399" t="s">
        <v>916</v>
      </c>
      <c r="B1146" s="399"/>
      <c r="C1146" s="399"/>
      <c r="D1146" s="399"/>
      <c r="E1146" s="399"/>
      <c r="F1146" s="399"/>
      <c r="G1146" s="400"/>
      <c r="H1146" s="215"/>
      <c r="I1146" s="406"/>
    </row>
    <row r="1147" customFormat="false" ht="12.25" hidden="false" customHeight="true" outlineLevel="0" collapsed="false">
      <c r="A1147" s="399" t="s">
        <v>926</v>
      </c>
      <c r="B1147" s="399"/>
      <c r="C1147" s="399"/>
      <c r="D1147" s="399"/>
      <c r="E1147" s="399"/>
      <c r="F1147" s="399"/>
      <c r="G1147" s="400"/>
      <c r="H1147" s="215"/>
      <c r="I1147" s="406"/>
    </row>
    <row r="1148" customFormat="false" ht="12.25" hidden="false" customHeight="true" outlineLevel="0" collapsed="false">
      <c r="A1148" s="407" t="s">
        <v>920</v>
      </c>
      <c r="B1148" s="407"/>
      <c r="C1148" s="407"/>
      <c r="D1148" s="407"/>
      <c r="E1148" s="407"/>
      <c r="F1148" s="407"/>
      <c r="G1148" s="408"/>
      <c r="H1148" s="409"/>
      <c r="I1148" s="410"/>
    </row>
    <row r="1149" customFormat="false" ht="12.25" hidden="false" customHeight="true" outlineLevel="0" collapsed="false">
      <c r="A1149" s="396" t="s">
        <v>927</v>
      </c>
      <c r="B1149" s="396"/>
      <c r="C1149" s="396"/>
      <c r="D1149" s="396"/>
      <c r="E1149" s="396"/>
      <c r="F1149" s="396"/>
      <c r="G1149" s="397"/>
      <c r="H1149" s="398"/>
      <c r="I1149" s="398"/>
    </row>
    <row r="1150" customFormat="false" ht="12.25" hidden="false" customHeight="true" outlineLevel="0" collapsed="false">
      <c r="A1150" s="399" t="s">
        <v>928</v>
      </c>
      <c r="B1150" s="399"/>
      <c r="C1150" s="399"/>
      <c r="D1150" s="399"/>
      <c r="E1150" s="399"/>
      <c r="F1150" s="399"/>
      <c r="G1150" s="400"/>
      <c r="H1150" s="215"/>
      <c r="I1150" s="406"/>
    </row>
    <row r="1151" customFormat="false" ht="12.25" hidden="false" customHeight="true" outlineLevel="0" collapsed="false">
      <c r="A1151" s="407" t="s">
        <v>929</v>
      </c>
      <c r="B1151" s="407"/>
      <c r="C1151" s="407"/>
      <c r="D1151" s="407"/>
      <c r="E1151" s="407"/>
      <c r="F1151" s="407"/>
      <c r="G1151" s="408"/>
      <c r="H1151" s="409"/>
      <c r="I1151" s="410"/>
    </row>
    <row r="1152" customFormat="false" ht="12.25" hidden="false" customHeight="true" outlineLevel="0" collapsed="false">
      <c r="A1152" s="396" t="s">
        <v>930</v>
      </c>
      <c r="B1152" s="396"/>
      <c r="C1152" s="396"/>
      <c r="D1152" s="396"/>
      <c r="E1152" s="396"/>
      <c r="F1152" s="396"/>
      <c r="G1152" s="397"/>
      <c r="H1152" s="398"/>
      <c r="I1152" s="398"/>
    </row>
    <row r="1153" customFormat="false" ht="12.25" hidden="false" customHeight="true" outlineLevel="0" collapsed="false">
      <c r="A1153" s="399" t="s">
        <v>931</v>
      </c>
      <c r="B1153" s="399"/>
      <c r="C1153" s="399"/>
      <c r="D1153" s="399"/>
      <c r="E1153" s="399"/>
      <c r="F1153" s="399"/>
      <c r="G1153" s="400"/>
      <c r="H1153" s="215"/>
      <c r="I1153" s="406"/>
    </row>
    <row r="1154" customFormat="false" ht="12.25" hidden="false" customHeight="true" outlineLevel="0" collapsed="false">
      <c r="A1154" s="407" t="s">
        <v>932</v>
      </c>
      <c r="B1154" s="407"/>
      <c r="C1154" s="407"/>
      <c r="D1154" s="407"/>
      <c r="E1154" s="407"/>
      <c r="F1154" s="407"/>
      <c r="G1154" s="408"/>
      <c r="H1154" s="409"/>
      <c r="I1154" s="410"/>
    </row>
    <row r="1155" customFormat="false" ht="15.5" hidden="false" customHeight="true" outlineLevel="0" collapsed="false">
      <c r="A1155" s="78" t="s">
        <v>933</v>
      </c>
      <c r="B1155" s="207" t="s">
        <v>934</v>
      </c>
      <c r="C1155" s="207"/>
      <c r="D1155" s="207"/>
      <c r="E1155" s="207"/>
      <c r="F1155" s="207"/>
      <c r="G1155" s="260"/>
      <c r="H1155" s="260"/>
      <c r="I1155" s="104"/>
    </row>
    <row r="1156" customFormat="false" ht="15.5" hidden="false" customHeight="true" outlineLevel="0" collapsed="false">
      <c r="A1156" s="78"/>
      <c r="B1156" s="278" t="s">
        <v>935</v>
      </c>
      <c r="C1156" s="104"/>
      <c r="D1156" s="211"/>
      <c r="E1156" s="211"/>
      <c r="F1156" s="211"/>
      <c r="G1156" s="211"/>
      <c r="H1156" s="260"/>
      <c r="I1156" s="104"/>
    </row>
    <row r="1157" customFormat="false" ht="15.5" hidden="false" customHeight="true" outlineLevel="0" collapsed="false">
      <c r="A1157" s="78"/>
      <c r="B1157" s="83"/>
      <c r="C1157" s="390"/>
      <c r="D1157" s="411"/>
      <c r="E1157" s="411"/>
      <c r="F1157" s="411"/>
      <c r="G1157" s="104"/>
      <c r="H1157" s="104"/>
      <c r="I1157" s="104"/>
    </row>
    <row r="1158" customFormat="false" ht="15.5" hidden="false" customHeight="true" outlineLevel="0" collapsed="false">
      <c r="A1158" s="78"/>
      <c r="B1158" s="202" t="s">
        <v>936</v>
      </c>
      <c r="C1158" s="202"/>
      <c r="D1158" s="202"/>
      <c r="E1158" s="202"/>
      <c r="F1158" s="202"/>
      <c r="G1158" s="204"/>
      <c r="H1158" s="104" t="s">
        <v>937</v>
      </c>
      <c r="I1158" s="104"/>
    </row>
    <row r="1159" customFormat="false" ht="15.5" hidden="false" customHeight="true" outlineLevel="0" collapsed="false">
      <c r="A1159" s="78"/>
      <c r="B1159" s="202"/>
      <c r="C1159" s="202"/>
      <c r="D1159" s="202"/>
      <c r="E1159" s="202"/>
      <c r="F1159" s="202"/>
      <c r="G1159" s="204"/>
      <c r="H1159" s="104" t="s">
        <v>938</v>
      </c>
      <c r="I1159" s="104"/>
    </row>
    <row r="1160" customFormat="false" ht="15.5" hidden="false" customHeight="true" outlineLevel="0" collapsed="false">
      <c r="A1160" s="78"/>
      <c r="B1160" s="412" t="s">
        <v>939</v>
      </c>
      <c r="C1160" s="83"/>
      <c r="D1160" s="83"/>
      <c r="E1160" s="211"/>
      <c r="F1160" s="83"/>
      <c r="G1160" s="204"/>
      <c r="H1160" s="104" t="s">
        <v>940</v>
      </c>
      <c r="I1160" s="104"/>
    </row>
    <row r="1161" customFormat="false" ht="15.5" hidden="false" customHeight="true" outlineLevel="0" collapsed="false">
      <c r="A1161" s="78"/>
      <c r="B1161" s="211"/>
      <c r="C1161" s="211"/>
      <c r="D1161" s="211"/>
      <c r="E1161" s="211"/>
      <c r="F1161" s="83"/>
      <c r="G1161" s="204"/>
      <c r="H1161" s="104" t="s">
        <v>941</v>
      </c>
      <c r="I1161" s="104"/>
    </row>
    <row r="1162" customFormat="false" ht="15.5" hidden="false" customHeight="true" outlineLevel="0" collapsed="false">
      <c r="A1162" s="78"/>
      <c r="B1162" s="104"/>
      <c r="C1162" s="104"/>
      <c r="D1162" s="104"/>
      <c r="E1162" s="104"/>
      <c r="F1162" s="104"/>
      <c r="G1162" s="104"/>
      <c r="H1162" s="104"/>
      <c r="I1162" s="104"/>
    </row>
    <row r="1163" customFormat="false" ht="15.5" hidden="false" customHeight="true" outlineLevel="0" collapsed="false">
      <c r="A1163" s="78"/>
      <c r="B1163" s="104"/>
      <c r="C1163" s="250"/>
      <c r="D1163" s="83"/>
      <c r="E1163" s="104"/>
      <c r="F1163" s="104"/>
      <c r="G1163" s="203" t="s">
        <v>242</v>
      </c>
      <c r="H1163" s="203" t="s">
        <v>243</v>
      </c>
      <c r="I1163" s="104"/>
    </row>
    <row r="1164" customFormat="false" ht="15.5" hidden="false" customHeight="true" outlineLevel="0" collapsed="false">
      <c r="A1164" s="78"/>
      <c r="B1164" s="413" t="s">
        <v>942</v>
      </c>
      <c r="C1164" s="413"/>
      <c r="D1164" s="413"/>
      <c r="E1164" s="413"/>
      <c r="F1164" s="413"/>
      <c r="G1164" s="344"/>
      <c r="H1164" s="204"/>
      <c r="I1164" s="104"/>
    </row>
    <row r="1165" customFormat="false" ht="15.5" hidden="false" customHeight="true" outlineLevel="0" collapsed="false">
      <c r="A1165" s="78"/>
      <c r="B1165" s="104"/>
      <c r="C1165" s="104"/>
      <c r="D1165" s="104"/>
      <c r="E1165" s="104"/>
      <c r="F1165" s="104"/>
      <c r="G1165" s="104"/>
      <c r="H1165" s="104"/>
      <c r="I1165" s="104"/>
    </row>
    <row r="1166" customFormat="false" ht="15.5" hidden="false" customHeight="true" outlineLevel="0" collapsed="false">
      <c r="A1166" s="78"/>
      <c r="B1166" s="104"/>
      <c r="C1166" s="104"/>
      <c r="D1166" s="104"/>
      <c r="E1166" s="104"/>
      <c r="F1166" s="104"/>
      <c r="G1166" s="104"/>
      <c r="H1166" s="104"/>
      <c r="I1166" s="104"/>
    </row>
    <row r="1167" customFormat="false" ht="15.5" hidden="false" customHeight="true" outlineLevel="0" collapsed="false">
      <c r="A1167" s="78" t="s">
        <v>943</v>
      </c>
      <c r="B1167" s="207" t="s">
        <v>944</v>
      </c>
      <c r="C1167" s="207"/>
      <c r="D1167" s="207"/>
      <c r="E1167" s="207"/>
      <c r="F1167" s="207"/>
      <c r="G1167" s="260"/>
      <c r="H1167" s="260"/>
      <c r="I1167" s="104"/>
    </row>
    <row r="1168" customFormat="false" ht="15.5" hidden="false" customHeight="true" outlineLevel="0" collapsed="false">
      <c r="A1168" s="78"/>
      <c r="B1168" s="91"/>
      <c r="C1168" s="83"/>
      <c r="D1168" s="83"/>
      <c r="E1168" s="347"/>
      <c r="F1168" s="83"/>
      <c r="G1168" s="104"/>
      <c r="H1168" s="104"/>
      <c r="I1168" s="104"/>
    </row>
    <row r="1169" customFormat="false" ht="15.5" hidden="false" customHeight="true" outlineLevel="0" collapsed="false">
      <c r="A1169" s="78"/>
      <c r="B1169" s="207" t="s">
        <v>945</v>
      </c>
      <c r="C1169" s="207"/>
      <c r="D1169" s="207"/>
      <c r="E1169" s="207"/>
      <c r="F1169" s="207"/>
      <c r="G1169" s="203" t="s">
        <v>242</v>
      </c>
      <c r="H1169" s="203" t="s">
        <v>243</v>
      </c>
      <c r="I1169" s="104"/>
    </row>
    <row r="1170" customFormat="false" ht="15.5" hidden="false" customHeight="true" outlineLevel="0" collapsed="false">
      <c r="A1170" s="78"/>
      <c r="B1170" s="104"/>
      <c r="C1170" s="104"/>
      <c r="D1170" s="104"/>
      <c r="E1170" s="104"/>
      <c r="F1170" s="97" t="s">
        <v>946</v>
      </c>
      <c r="G1170" s="344"/>
      <c r="H1170" s="204"/>
      <c r="I1170" s="104"/>
    </row>
    <row r="1171" customFormat="false" ht="15.5" hidden="false" customHeight="true" outlineLevel="0" collapsed="false">
      <c r="A1171" s="78"/>
      <c r="B1171" s="83"/>
      <c r="C1171" s="104"/>
      <c r="D1171" s="104"/>
      <c r="E1171" s="83"/>
      <c r="F1171" s="97" t="s">
        <v>947</v>
      </c>
      <c r="G1171" s="344"/>
      <c r="H1171" s="204"/>
      <c r="I1171" s="104"/>
    </row>
    <row r="1172" customFormat="false" ht="15.5" hidden="false" customHeight="true" outlineLevel="0" collapsed="false">
      <c r="A1172" s="78"/>
      <c r="B1172" s="83"/>
      <c r="C1172" s="83"/>
      <c r="D1172" s="83"/>
      <c r="E1172" s="78"/>
      <c r="F1172" s="83"/>
      <c r="G1172" s="104"/>
      <c r="H1172" s="104"/>
      <c r="I1172" s="104"/>
    </row>
    <row r="1173" customFormat="false" ht="15.5" hidden="false" customHeight="true" outlineLevel="0" collapsed="false">
      <c r="A1173" s="78"/>
      <c r="B1173" s="202" t="s">
        <v>948</v>
      </c>
      <c r="C1173" s="202"/>
      <c r="D1173" s="202"/>
      <c r="E1173" s="202"/>
      <c r="F1173" s="202"/>
      <c r="G1173" s="203" t="s">
        <v>242</v>
      </c>
      <c r="H1173" s="203" t="s">
        <v>243</v>
      </c>
      <c r="I1173" s="104"/>
    </row>
    <row r="1174" customFormat="false" ht="15.5" hidden="false" customHeight="true" outlineLevel="0" collapsed="false">
      <c r="A1174" s="78"/>
      <c r="B1174" s="202"/>
      <c r="C1174" s="202"/>
      <c r="D1174" s="202"/>
      <c r="E1174" s="202"/>
      <c r="F1174" s="202"/>
      <c r="G1174" s="344"/>
      <c r="H1174" s="204"/>
      <c r="I1174" s="104"/>
    </row>
    <row r="1175" customFormat="false" ht="15.5" hidden="false" customHeight="true" outlineLevel="0" collapsed="false">
      <c r="A1175" s="78"/>
      <c r="B1175" s="104"/>
      <c r="C1175" s="104"/>
      <c r="D1175" s="104"/>
      <c r="E1175" s="104"/>
      <c r="F1175" s="104"/>
      <c r="G1175" s="104"/>
      <c r="H1175" s="104"/>
      <c r="I1175" s="104"/>
    </row>
    <row r="1176" customFormat="false" ht="15.5" hidden="false" customHeight="true" outlineLevel="0" collapsed="false">
      <c r="A1176" s="78"/>
      <c r="B1176" s="104"/>
      <c r="C1176" s="104"/>
      <c r="D1176" s="104"/>
      <c r="E1176" s="104"/>
      <c r="F1176" s="104"/>
      <c r="G1176" s="104"/>
      <c r="H1176" s="104"/>
      <c r="I1176" s="104"/>
    </row>
    <row r="1177" customFormat="false" ht="15.5" hidden="false" customHeight="true" outlineLevel="0" collapsed="false">
      <c r="A1177" s="78"/>
      <c r="B1177" s="104"/>
      <c r="C1177" s="104"/>
      <c r="D1177" s="104"/>
      <c r="E1177" s="104"/>
      <c r="F1177" s="104"/>
      <c r="G1177" s="104"/>
      <c r="H1177" s="104"/>
      <c r="I1177" s="104"/>
    </row>
    <row r="1178" customFormat="false" ht="15.5" hidden="false" customHeight="true" outlineLevel="0" collapsed="false">
      <c r="A1178" s="78"/>
      <c r="B1178" s="104"/>
      <c r="C1178" s="104"/>
      <c r="D1178" s="104"/>
      <c r="E1178" s="104"/>
      <c r="F1178" s="104"/>
      <c r="G1178" s="104"/>
      <c r="H1178" s="104"/>
      <c r="I1178" s="104"/>
    </row>
    <row r="1179" customFormat="false" ht="15.5" hidden="false" customHeight="true" outlineLevel="0" collapsed="false">
      <c r="A1179" s="78"/>
      <c r="B1179" s="104"/>
      <c r="C1179" s="104"/>
      <c r="D1179" s="104"/>
      <c r="E1179" s="104"/>
      <c r="F1179" s="104"/>
      <c r="G1179" s="104"/>
      <c r="H1179" s="104"/>
      <c r="I1179" s="104"/>
    </row>
    <row r="1180" customFormat="false" ht="15.5" hidden="false" customHeight="true" outlineLevel="0" collapsed="false">
      <c r="A1180" s="78"/>
      <c r="B1180" s="104"/>
      <c r="C1180" s="104"/>
      <c r="D1180" s="104"/>
      <c r="E1180" s="104"/>
      <c r="F1180" s="104"/>
      <c r="G1180" s="104"/>
      <c r="H1180" s="104"/>
      <c r="I1180" s="104"/>
    </row>
    <row r="1181" customFormat="false" ht="15.5" hidden="false" customHeight="true" outlineLevel="0" collapsed="false">
      <c r="A1181" s="78"/>
      <c r="B1181" s="104"/>
      <c r="C1181" s="104"/>
      <c r="D1181" s="104"/>
      <c r="E1181" s="104"/>
      <c r="F1181" s="104"/>
      <c r="G1181" s="104"/>
      <c r="H1181" s="104"/>
      <c r="I1181" s="104"/>
    </row>
    <row r="1182" customFormat="false" ht="15.5" hidden="false" customHeight="true" outlineLevel="0" collapsed="false">
      <c r="A1182" s="78"/>
      <c r="B1182" s="104"/>
      <c r="C1182" s="104"/>
      <c r="D1182" s="104"/>
      <c r="E1182" s="104"/>
      <c r="F1182" s="104"/>
      <c r="G1182" s="104"/>
      <c r="H1182" s="104"/>
      <c r="I1182" s="104"/>
    </row>
    <row r="1183" customFormat="false" ht="15.5" hidden="false" customHeight="true" outlineLevel="0" collapsed="false">
      <c r="A1183" s="78"/>
      <c r="B1183" s="104"/>
      <c r="C1183" s="104"/>
      <c r="D1183" s="104"/>
      <c r="E1183" s="104"/>
      <c r="F1183" s="104"/>
      <c r="G1183" s="104"/>
      <c r="H1183" s="104"/>
      <c r="I1183" s="104"/>
    </row>
    <row r="1184" customFormat="false" ht="15.5" hidden="false" customHeight="true" outlineLevel="0" collapsed="false">
      <c r="A1184" s="78"/>
      <c r="B1184" s="104"/>
      <c r="C1184" s="104"/>
      <c r="D1184" s="104"/>
      <c r="E1184" s="104"/>
      <c r="F1184" s="104"/>
      <c r="G1184" s="104"/>
      <c r="H1184" s="104"/>
      <c r="I1184" s="104"/>
    </row>
    <row r="1185" customFormat="false" ht="15.5" hidden="false" customHeight="true" outlineLevel="0" collapsed="false">
      <c r="A1185" s="78"/>
      <c r="B1185" s="104"/>
      <c r="C1185" s="104"/>
      <c r="D1185" s="104"/>
      <c r="E1185" s="104"/>
      <c r="F1185" s="104"/>
      <c r="G1185" s="104"/>
      <c r="H1185" s="104"/>
      <c r="I1185" s="104"/>
    </row>
    <row r="1186" customFormat="false" ht="15.5" hidden="false" customHeight="true" outlineLevel="0" collapsed="false">
      <c r="A1186" s="78"/>
      <c r="B1186" s="104"/>
      <c r="C1186" s="104"/>
      <c r="D1186" s="104"/>
      <c r="E1186" s="104"/>
      <c r="F1186" s="104"/>
      <c r="G1186" s="104"/>
      <c r="H1186" s="104"/>
      <c r="I1186" s="104"/>
    </row>
    <row r="1187" customFormat="false" ht="15.5" hidden="false" customHeight="true" outlineLevel="0" collapsed="false">
      <c r="A1187" s="78"/>
      <c r="B1187" s="104"/>
      <c r="C1187" s="104"/>
      <c r="D1187" s="104"/>
      <c r="E1187" s="104"/>
      <c r="F1187" s="104"/>
      <c r="G1187" s="104"/>
      <c r="H1187" s="104"/>
      <c r="I1187" s="104"/>
    </row>
    <row r="1188" customFormat="false" ht="15.5" hidden="false" customHeight="true" outlineLevel="0" collapsed="false">
      <c r="A1188" s="78"/>
      <c r="B1188" s="104"/>
      <c r="C1188" s="104"/>
      <c r="D1188" s="104"/>
      <c r="E1188" s="104"/>
      <c r="F1188" s="104"/>
      <c r="G1188" s="104"/>
      <c r="H1188" s="104"/>
      <c r="I1188" s="104"/>
    </row>
    <row r="1189" customFormat="false" ht="15.5" hidden="false" customHeight="true" outlineLevel="0" collapsed="false">
      <c r="A1189" s="78"/>
      <c r="B1189" s="104"/>
      <c r="C1189" s="104"/>
      <c r="D1189" s="104"/>
      <c r="E1189" s="104"/>
      <c r="F1189" s="104"/>
      <c r="G1189" s="104"/>
      <c r="H1189" s="104"/>
      <c r="I1189" s="104"/>
    </row>
    <row r="1190" customFormat="false" ht="15.5" hidden="false" customHeight="true" outlineLevel="0" collapsed="false">
      <c r="A1190" s="78"/>
      <c r="B1190" s="104"/>
      <c r="C1190" s="104"/>
      <c r="D1190" s="104"/>
      <c r="E1190" s="104"/>
      <c r="F1190" s="104"/>
      <c r="G1190" s="104"/>
      <c r="H1190" s="104"/>
      <c r="I1190" s="104"/>
    </row>
    <row r="1191" customFormat="false" ht="15.5" hidden="false" customHeight="true" outlineLevel="0" collapsed="false">
      <c r="A1191" s="78"/>
      <c r="B1191" s="104"/>
      <c r="C1191" s="104"/>
      <c r="D1191" s="104"/>
      <c r="E1191" s="104"/>
      <c r="F1191" s="104"/>
      <c r="G1191" s="104"/>
      <c r="H1191" s="104"/>
      <c r="I1191" s="104"/>
    </row>
    <row r="1192" customFormat="false" ht="15.5" hidden="false" customHeight="true" outlineLevel="0" collapsed="false">
      <c r="A1192" s="78"/>
      <c r="B1192" s="104"/>
      <c r="C1192" s="104"/>
      <c r="D1192" s="104"/>
      <c r="E1192" s="104"/>
      <c r="F1192" s="104"/>
      <c r="G1192" s="104"/>
      <c r="H1192" s="104"/>
      <c r="I1192" s="104"/>
    </row>
    <row r="1193" customFormat="false" ht="15.5" hidden="false" customHeight="true" outlineLevel="0" collapsed="false">
      <c r="A1193" s="78"/>
      <c r="B1193" s="104"/>
      <c r="C1193" s="104"/>
      <c r="D1193" s="104"/>
      <c r="E1193" s="104"/>
      <c r="F1193" s="104"/>
      <c r="G1193" s="104"/>
      <c r="H1193" s="104"/>
      <c r="I1193" s="104"/>
    </row>
    <row r="1194" customFormat="false" ht="15.5" hidden="false" customHeight="true" outlineLevel="0" collapsed="false">
      <c r="A1194" s="78"/>
      <c r="B1194" s="104"/>
      <c r="C1194" s="104"/>
      <c r="D1194" s="104"/>
      <c r="E1194" s="104"/>
      <c r="F1194" s="104"/>
      <c r="G1194" s="104"/>
      <c r="H1194" s="104"/>
      <c r="I1194" s="104"/>
    </row>
    <row r="1195" customFormat="false" ht="15.5" hidden="false" customHeight="true" outlineLevel="0" collapsed="false">
      <c r="A1195" s="78"/>
      <c r="B1195" s="104"/>
      <c r="C1195" s="104"/>
      <c r="D1195" s="104"/>
      <c r="E1195" s="104"/>
      <c r="F1195" s="104"/>
      <c r="G1195" s="104"/>
      <c r="H1195" s="104"/>
      <c r="I1195" s="104"/>
    </row>
    <row r="1196" customFormat="false" ht="15.5" hidden="false" customHeight="true" outlineLevel="0" collapsed="false">
      <c r="A1196" s="78"/>
      <c r="B1196" s="104"/>
      <c r="C1196" s="104"/>
      <c r="D1196" s="104"/>
      <c r="E1196" s="104"/>
      <c r="F1196" s="104"/>
      <c r="G1196" s="104"/>
      <c r="H1196" s="104"/>
      <c r="I1196" s="104"/>
    </row>
    <row r="1197" customFormat="false" ht="15.5" hidden="false" customHeight="true" outlineLevel="0" collapsed="false">
      <c r="A1197" s="78"/>
      <c r="B1197" s="104"/>
      <c r="C1197" s="104"/>
      <c r="D1197" s="104"/>
      <c r="E1197" s="104"/>
      <c r="F1197" s="104"/>
      <c r="G1197" s="104"/>
      <c r="H1197" s="104"/>
      <c r="I1197" s="104"/>
    </row>
    <row r="1198" customFormat="false" ht="15.5" hidden="false" customHeight="true" outlineLevel="0" collapsed="false">
      <c r="A1198" s="78"/>
      <c r="B1198" s="104"/>
      <c r="C1198" s="104"/>
      <c r="D1198" s="104"/>
      <c r="E1198" s="104"/>
      <c r="F1198" s="104"/>
      <c r="G1198" s="104"/>
      <c r="H1198" s="104"/>
      <c r="I1198" s="104"/>
    </row>
    <row r="1199" customFormat="false" ht="15.5" hidden="false" customHeight="true" outlineLevel="0" collapsed="false">
      <c r="A1199" s="78"/>
      <c r="B1199" s="104"/>
      <c r="C1199" s="104"/>
      <c r="D1199" s="104"/>
      <c r="E1199" s="104"/>
      <c r="F1199" s="104"/>
      <c r="G1199" s="104"/>
      <c r="H1199" s="104"/>
      <c r="I1199" s="104"/>
    </row>
    <row r="1200" customFormat="false" ht="15.5" hidden="false" customHeight="true" outlineLevel="0" collapsed="false">
      <c r="A1200" s="78"/>
      <c r="B1200" s="104"/>
      <c r="C1200" s="104"/>
      <c r="D1200" s="104"/>
      <c r="E1200" s="104"/>
      <c r="F1200" s="104"/>
      <c r="G1200" s="104"/>
      <c r="H1200" s="104"/>
      <c r="I1200" s="104"/>
    </row>
  </sheetData>
  <mergeCells count="767">
    <mergeCell ref="A1:I1"/>
    <mergeCell ref="F9:G9"/>
    <mergeCell ref="B14:C15"/>
    <mergeCell ref="D14:D15"/>
    <mergeCell ref="E14:E15"/>
    <mergeCell ref="F14:G14"/>
    <mergeCell ref="F15:G15"/>
    <mergeCell ref="B16:C16"/>
    <mergeCell ref="F16:G16"/>
    <mergeCell ref="B17:C17"/>
    <mergeCell ref="B18:C18"/>
    <mergeCell ref="F18:G19"/>
    <mergeCell ref="H18:H19"/>
    <mergeCell ref="I18:I19"/>
    <mergeCell ref="A34:C34"/>
    <mergeCell ref="A35:C35"/>
    <mergeCell ref="A39:I39"/>
    <mergeCell ref="A41:A43"/>
    <mergeCell ref="D41:D43"/>
    <mergeCell ref="E41:E43"/>
    <mergeCell ref="F41:G43"/>
    <mergeCell ref="H41:H43"/>
    <mergeCell ref="A44:C44"/>
    <mergeCell ref="B45:C45"/>
    <mergeCell ref="F45:G45"/>
    <mergeCell ref="F46:G46"/>
    <mergeCell ref="F47:G47"/>
    <mergeCell ref="F48:G48"/>
    <mergeCell ref="F49:G49"/>
    <mergeCell ref="F50:G50"/>
    <mergeCell ref="F51:G51"/>
    <mergeCell ref="F52:G52"/>
    <mergeCell ref="F53:G53"/>
    <mergeCell ref="F54:G54"/>
    <mergeCell ref="A55:C55"/>
    <mergeCell ref="F55:G55"/>
    <mergeCell ref="F56:G56"/>
    <mergeCell ref="F57:G57"/>
    <mergeCell ref="F58:G58"/>
    <mergeCell ref="F59:G59"/>
    <mergeCell ref="F60:G60"/>
    <mergeCell ref="A61:C61"/>
    <mergeCell ref="F61:G61"/>
    <mergeCell ref="F62:G62"/>
    <mergeCell ref="F63:G63"/>
    <mergeCell ref="F64:G64"/>
    <mergeCell ref="F65:G65"/>
    <mergeCell ref="F66:G66"/>
    <mergeCell ref="A67:C67"/>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A82:C82"/>
    <mergeCell ref="F82:G82"/>
    <mergeCell ref="F83:G83"/>
    <mergeCell ref="F85:G85"/>
    <mergeCell ref="F87:G87"/>
    <mergeCell ref="F88:G88"/>
    <mergeCell ref="C89:D89"/>
    <mergeCell ref="E89:F89"/>
    <mergeCell ref="G89:I91"/>
    <mergeCell ref="C90:C91"/>
    <mergeCell ref="D90:D91"/>
    <mergeCell ref="E90:E91"/>
    <mergeCell ref="F90:F91"/>
    <mergeCell ref="A92:B92"/>
    <mergeCell ref="G92:I92"/>
    <mergeCell ref="G93:I93"/>
    <mergeCell ref="G94:I94"/>
    <mergeCell ref="G95:I95"/>
    <mergeCell ref="G96:I96"/>
    <mergeCell ref="G97:I97"/>
    <mergeCell ref="G98:I98"/>
    <mergeCell ref="G99:I99"/>
    <mergeCell ref="G100:I100"/>
    <mergeCell ref="G101:I101"/>
    <mergeCell ref="G102:I102"/>
    <mergeCell ref="G103:I103"/>
    <mergeCell ref="G104:I104"/>
    <mergeCell ref="G105:I105"/>
    <mergeCell ref="G106:I106"/>
    <mergeCell ref="G107:I107"/>
    <mergeCell ref="G108:I108"/>
    <mergeCell ref="G109:I109"/>
    <mergeCell ref="G110:I110"/>
    <mergeCell ref="G111:I111"/>
    <mergeCell ref="G112:I112"/>
    <mergeCell ref="G113:I113"/>
    <mergeCell ref="E114:F114"/>
    <mergeCell ref="G114:I114"/>
    <mergeCell ref="G115:I115"/>
    <mergeCell ref="G116:I116"/>
    <mergeCell ref="G117:I117"/>
    <mergeCell ref="G118:I118"/>
    <mergeCell ref="G119:I119"/>
    <mergeCell ref="G120:I120"/>
    <mergeCell ref="G121:I121"/>
    <mergeCell ref="G122:I122"/>
    <mergeCell ref="G123:I123"/>
    <mergeCell ref="G124:I124"/>
    <mergeCell ref="G125:I125"/>
    <mergeCell ref="G126:I126"/>
    <mergeCell ref="G127:I127"/>
    <mergeCell ref="G128:I128"/>
    <mergeCell ref="G129:I129"/>
    <mergeCell ref="G130:I130"/>
    <mergeCell ref="G131:I131"/>
    <mergeCell ref="G132:I132"/>
    <mergeCell ref="E133:F133"/>
    <mergeCell ref="G133:I133"/>
    <mergeCell ref="D135:E135"/>
    <mergeCell ref="G135:H135"/>
    <mergeCell ref="A136:B139"/>
    <mergeCell ref="C140:D140"/>
    <mergeCell ref="G140:H140"/>
    <mergeCell ref="C141:C142"/>
    <mergeCell ref="D141:D142"/>
    <mergeCell ref="G141:G142"/>
    <mergeCell ref="H141:H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A158:B158"/>
    <mergeCell ref="A159:B159"/>
    <mergeCell ref="A160:B160"/>
    <mergeCell ref="A161:B161"/>
    <mergeCell ref="A162:B162"/>
    <mergeCell ref="A163:B163"/>
    <mergeCell ref="F163:H163"/>
    <mergeCell ref="A164:B164"/>
    <mergeCell ref="F164:H166"/>
    <mergeCell ref="A165:B165"/>
    <mergeCell ref="A166:B166"/>
    <mergeCell ref="A167:B167"/>
    <mergeCell ref="A182:C182"/>
    <mergeCell ref="A187:C187"/>
    <mergeCell ref="B188:F189"/>
    <mergeCell ref="B190:F191"/>
    <mergeCell ref="B192:H192"/>
    <mergeCell ref="B194:F195"/>
    <mergeCell ref="A197:C197"/>
    <mergeCell ref="B198:G198"/>
    <mergeCell ref="B201:F202"/>
    <mergeCell ref="G201:G202"/>
    <mergeCell ref="H201:H202"/>
    <mergeCell ref="B203:F204"/>
    <mergeCell ref="G203:G204"/>
    <mergeCell ref="H203:H204"/>
    <mergeCell ref="B205:F206"/>
    <mergeCell ref="G205:G206"/>
    <mergeCell ref="H205:H206"/>
    <mergeCell ref="B207:F207"/>
    <mergeCell ref="B209:F210"/>
    <mergeCell ref="B212:F212"/>
    <mergeCell ref="E213:F213"/>
    <mergeCell ref="E214:F214"/>
    <mergeCell ref="B216:F216"/>
    <mergeCell ref="A218:D218"/>
    <mergeCell ref="A239:I239"/>
    <mergeCell ref="A241:C241"/>
    <mergeCell ref="G243:I243"/>
    <mergeCell ref="H244:I244"/>
    <mergeCell ref="A245:B245"/>
    <mergeCell ref="H246:I246"/>
    <mergeCell ref="H247:I247"/>
    <mergeCell ref="H248:I248"/>
    <mergeCell ref="H249:I249"/>
    <mergeCell ref="H250:I250"/>
    <mergeCell ref="H251:I251"/>
    <mergeCell ref="H252:I252"/>
    <mergeCell ref="H253:I253"/>
    <mergeCell ref="H254:I254"/>
    <mergeCell ref="H255:I255"/>
    <mergeCell ref="H256:I256"/>
    <mergeCell ref="H257:I257"/>
    <mergeCell ref="A258:B258"/>
    <mergeCell ref="H258:I258"/>
    <mergeCell ref="H259:I259"/>
    <mergeCell ref="H260:I260"/>
    <mergeCell ref="H261:I261"/>
    <mergeCell ref="H262:I262"/>
    <mergeCell ref="H263:I263"/>
    <mergeCell ref="H264:I264"/>
    <mergeCell ref="A265:B265"/>
    <mergeCell ref="H265:I265"/>
    <mergeCell ref="H266:I266"/>
    <mergeCell ref="H267:I267"/>
    <mergeCell ref="H268:I268"/>
    <mergeCell ref="H269:I269"/>
    <mergeCell ref="H270:I270"/>
    <mergeCell ref="H271:I271"/>
    <mergeCell ref="H272:I272"/>
    <mergeCell ref="A273:B273"/>
    <mergeCell ref="H273:I273"/>
    <mergeCell ref="H274:I274"/>
    <mergeCell ref="H275:I275"/>
    <mergeCell ref="H276:I276"/>
    <mergeCell ref="H277:I277"/>
    <mergeCell ref="A278:B278"/>
    <mergeCell ref="H278:I278"/>
    <mergeCell ref="A279:B279"/>
    <mergeCell ref="H279:I279"/>
    <mergeCell ref="A285:C286"/>
    <mergeCell ref="F288:I288"/>
    <mergeCell ref="G289:I289"/>
    <mergeCell ref="A290:B290"/>
    <mergeCell ref="G291:I291"/>
    <mergeCell ref="G292:I292"/>
    <mergeCell ref="G293:I293"/>
    <mergeCell ref="G294:I294"/>
    <mergeCell ref="G295:I295"/>
    <mergeCell ref="G296:I296"/>
    <mergeCell ref="G297:I297"/>
    <mergeCell ref="G298:I298"/>
    <mergeCell ref="G299:I299"/>
    <mergeCell ref="G300:I300"/>
    <mergeCell ref="G301:I301"/>
    <mergeCell ref="G302:I302"/>
    <mergeCell ref="G305:I305"/>
    <mergeCell ref="G306:I306"/>
    <mergeCell ref="A307:B307"/>
    <mergeCell ref="G307:I307"/>
    <mergeCell ref="G308:I308"/>
    <mergeCell ref="G309:I309"/>
    <mergeCell ref="G310:I310"/>
    <mergeCell ref="G311:I311"/>
    <mergeCell ref="G312:I312"/>
    <mergeCell ref="G313:I313"/>
    <mergeCell ref="A314:B314"/>
    <mergeCell ref="G314:I314"/>
    <mergeCell ref="G315:I315"/>
    <mergeCell ref="G316:I316"/>
    <mergeCell ref="G317:I317"/>
    <mergeCell ref="A318:B318"/>
    <mergeCell ref="G318:I318"/>
    <mergeCell ref="G319:I319"/>
    <mergeCell ref="G320:I320"/>
    <mergeCell ref="G321:I321"/>
    <mergeCell ref="G322:I322"/>
    <mergeCell ref="G323:I323"/>
    <mergeCell ref="A324:B324"/>
    <mergeCell ref="G324:I324"/>
    <mergeCell ref="G325:I325"/>
    <mergeCell ref="G326:I326"/>
    <mergeCell ref="G327:I327"/>
    <mergeCell ref="A328:B328"/>
    <mergeCell ref="G328:I328"/>
    <mergeCell ref="A332:C332"/>
    <mergeCell ref="D334:H334"/>
    <mergeCell ref="D335:H335"/>
    <mergeCell ref="D336:H336"/>
    <mergeCell ref="D337:H337"/>
    <mergeCell ref="D338:H338"/>
    <mergeCell ref="A341:C341"/>
    <mergeCell ref="E367:E368"/>
    <mergeCell ref="F367:F368"/>
    <mergeCell ref="G367:G368"/>
    <mergeCell ref="A380:C380"/>
    <mergeCell ref="E381:E382"/>
    <mergeCell ref="F381:F382"/>
    <mergeCell ref="G381:G382"/>
    <mergeCell ref="A382:D383"/>
    <mergeCell ref="H413:H414"/>
    <mergeCell ref="B420:F421"/>
    <mergeCell ref="B424:F424"/>
    <mergeCell ref="B428:F428"/>
    <mergeCell ref="A429:C429"/>
    <mergeCell ref="B431:F433"/>
    <mergeCell ref="G432:G433"/>
    <mergeCell ref="H432:H433"/>
    <mergeCell ref="B436:F437"/>
    <mergeCell ref="B440:D440"/>
    <mergeCell ref="B441:E441"/>
    <mergeCell ref="B442:E442"/>
    <mergeCell ref="B443:E443"/>
    <mergeCell ref="B444:E444"/>
    <mergeCell ref="B445:E445"/>
    <mergeCell ref="B446:E446"/>
    <mergeCell ref="B447:E447"/>
    <mergeCell ref="B449:C449"/>
    <mergeCell ref="B450:E450"/>
    <mergeCell ref="B452:D452"/>
    <mergeCell ref="B456:C456"/>
    <mergeCell ref="B457:E457"/>
    <mergeCell ref="B459:F460"/>
    <mergeCell ref="B462:F463"/>
    <mergeCell ref="B465:E465"/>
    <mergeCell ref="B467:D467"/>
    <mergeCell ref="B471:C471"/>
    <mergeCell ref="B472:F472"/>
    <mergeCell ref="B473:F474"/>
    <mergeCell ref="B476:F477"/>
    <mergeCell ref="B478:F478"/>
    <mergeCell ref="B480:F480"/>
    <mergeCell ref="B482:F483"/>
    <mergeCell ref="B484:F485"/>
    <mergeCell ref="B486:F487"/>
    <mergeCell ref="B489:F490"/>
    <mergeCell ref="A492:C492"/>
    <mergeCell ref="B493:F494"/>
    <mergeCell ref="B496:F497"/>
    <mergeCell ref="B501:F502"/>
    <mergeCell ref="A504:C504"/>
    <mergeCell ref="B505:E506"/>
    <mergeCell ref="B510:F510"/>
    <mergeCell ref="B512:F513"/>
    <mergeCell ref="B515:F516"/>
    <mergeCell ref="B517:F517"/>
    <mergeCell ref="B518:F518"/>
    <mergeCell ref="B519:F519"/>
    <mergeCell ref="B520:F520"/>
    <mergeCell ref="B522:F523"/>
    <mergeCell ref="B527:D527"/>
    <mergeCell ref="A529:B530"/>
    <mergeCell ref="C529:D530"/>
    <mergeCell ref="F529:F530"/>
    <mergeCell ref="G529:G530"/>
    <mergeCell ref="H529:H530"/>
    <mergeCell ref="I529:I530"/>
    <mergeCell ref="A531:B531"/>
    <mergeCell ref="C531:D531"/>
    <mergeCell ref="A532:B532"/>
    <mergeCell ref="C532:D532"/>
    <mergeCell ref="A533:B533"/>
    <mergeCell ref="C533:D533"/>
    <mergeCell ref="A534:B534"/>
    <mergeCell ref="C534:D534"/>
    <mergeCell ref="A535:B535"/>
    <mergeCell ref="C535:D535"/>
    <mergeCell ref="A536:B536"/>
    <mergeCell ref="C536:D536"/>
    <mergeCell ref="A537:B537"/>
    <mergeCell ref="C537:D537"/>
    <mergeCell ref="A538:B538"/>
    <mergeCell ref="C538:D538"/>
    <mergeCell ref="A539:B539"/>
    <mergeCell ref="C539:D539"/>
    <mergeCell ref="A574:I574"/>
    <mergeCell ref="A576:C576"/>
    <mergeCell ref="B578:D578"/>
    <mergeCell ref="B579:F579"/>
    <mergeCell ref="B581:F582"/>
    <mergeCell ref="B584:F585"/>
    <mergeCell ref="B587:D587"/>
    <mergeCell ref="B588:F589"/>
    <mergeCell ref="B593:F593"/>
    <mergeCell ref="B596:H596"/>
    <mergeCell ref="B598:D598"/>
    <mergeCell ref="B599:F599"/>
    <mergeCell ref="B601:F601"/>
    <mergeCell ref="B603:F603"/>
    <mergeCell ref="B606:F606"/>
    <mergeCell ref="B608:D608"/>
    <mergeCell ref="A616:C616"/>
    <mergeCell ref="B618:F619"/>
    <mergeCell ref="B620:H621"/>
    <mergeCell ref="B623:F624"/>
    <mergeCell ref="B625:H628"/>
    <mergeCell ref="A630:C630"/>
    <mergeCell ref="B632:F633"/>
    <mergeCell ref="B637:D637"/>
    <mergeCell ref="F637:G637"/>
    <mergeCell ref="F638:G638"/>
    <mergeCell ref="F639:G639"/>
    <mergeCell ref="H639:I641"/>
    <mergeCell ref="F640:G640"/>
    <mergeCell ref="F641:G641"/>
    <mergeCell ref="F642:G642"/>
    <mergeCell ref="F643:G643"/>
    <mergeCell ref="F644:G644"/>
    <mergeCell ref="F645:G645"/>
    <mergeCell ref="F646:G646"/>
    <mergeCell ref="F647:G647"/>
    <mergeCell ref="B651:F651"/>
    <mergeCell ref="B653:F654"/>
    <mergeCell ref="B655:H655"/>
    <mergeCell ref="B656:F656"/>
    <mergeCell ref="A658:C658"/>
    <mergeCell ref="B660:D660"/>
    <mergeCell ref="B661:F661"/>
    <mergeCell ref="B663:D663"/>
    <mergeCell ref="B667:E667"/>
    <mergeCell ref="F667:G667"/>
    <mergeCell ref="B669:F670"/>
    <mergeCell ref="B672:D672"/>
    <mergeCell ref="B673:F673"/>
    <mergeCell ref="B675:F676"/>
    <mergeCell ref="B678:D678"/>
    <mergeCell ref="B679:F680"/>
    <mergeCell ref="B682:D682"/>
    <mergeCell ref="C683:I683"/>
    <mergeCell ref="C684:I684"/>
    <mergeCell ref="C685:I685"/>
    <mergeCell ref="C686:I686"/>
    <mergeCell ref="B688:F688"/>
    <mergeCell ref="B689:H689"/>
    <mergeCell ref="B691:F693"/>
    <mergeCell ref="G692:G693"/>
    <mergeCell ref="H692:H693"/>
    <mergeCell ref="B695:D695"/>
    <mergeCell ref="B696:F697"/>
    <mergeCell ref="B698:F699"/>
    <mergeCell ref="B701:F703"/>
    <mergeCell ref="B705:D705"/>
    <mergeCell ref="B706:F707"/>
    <mergeCell ref="B709:F710"/>
    <mergeCell ref="B711:H712"/>
    <mergeCell ref="B714:F715"/>
    <mergeCell ref="B716:H720"/>
    <mergeCell ref="A721:C721"/>
    <mergeCell ref="B723:D723"/>
    <mergeCell ref="A726:C726"/>
    <mergeCell ref="E726:G726"/>
    <mergeCell ref="A727:C727"/>
    <mergeCell ref="E727:G727"/>
    <mergeCell ref="A728:C728"/>
    <mergeCell ref="E728:G728"/>
    <mergeCell ref="A729:C729"/>
    <mergeCell ref="E729:G729"/>
    <mergeCell ref="A730:C730"/>
    <mergeCell ref="E730:G730"/>
    <mergeCell ref="A731:C731"/>
    <mergeCell ref="E731:G733"/>
    <mergeCell ref="H731:H733"/>
    <mergeCell ref="B735:F735"/>
    <mergeCell ref="B737:F738"/>
    <mergeCell ref="B740:F741"/>
    <mergeCell ref="B743:E743"/>
    <mergeCell ref="B748:D748"/>
    <mergeCell ref="A749:E749"/>
    <mergeCell ref="B751:F752"/>
    <mergeCell ref="G751:G752"/>
    <mergeCell ref="H751:H752"/>
    <mergeCell ref="B755:F756"/>
    <mergeCell ref="G755:G756"/>
    <mergeCell ref="H755:H756"/>
    <mergeCell ref="A760:E760"/>
    <mergeCell ref="B761:F762"/>
    <mergeCell ref="G761:G762"/>
    <mergeCell ref="H761:H762"/>
    <mergeCell ref="B763:F764"/>
    <mergeCell ref="G763:G764"/>
    <mergeCell ref="H763:H764"/>
    <mergeCell ref="B766:F767"/>
    <mergeCell ref="G766:G767"/>
    <mergeCell ref="H766:H767"/>
    <mergeCell ref="B768:F769"/>
    <mergeCell ref="G768:G769"/>
    <mergeCell ref="H768:H769"/>
    <mergeCell ref="B770:F770"/>
    <mergeCell ref="A771:I771"/>
    <mergeCell ref="A773:C773"/>
    <mergeCell ref="B774:F775"/>
    <mergeCell ref="G774:I775"/>
    <mergeCell ref="B776:C776"/>
    <mergeCell ref="D776:I776"/>
    <mergeCell ref="B777:C777"/>
    <mergeCell ref="D777:I777"/>
    <mergeCell ref="B778:C778"/>
    <mergeCell ref="D778:I778"/>
    <mergeCell ref="B779:C779"/>
    <mergeCell ref="D779:I779"/>
    <mergeCell ref="B781:F782"/>
    <mergeCell ref="G781:I782"/>
    <mergeCell ref="B783:C783"/>
    <mergeCell ref="D783:I783"/>
    <mergeCell ref="B784:C784"/>
    <mergeCell ref="D784:I784"/>
    <mergeCell ref="B785:C785"/>
    <mergeCell ref="D785:I785"/>
    <mergeCell ref="B786:C786"/>
    <mergeCell ref="D786:I786"/>
    <mergeCell ref="B788:F789"/>
    <mergeCell ref="A791:E791"/>
    <mergeCell ref="B792:F793"/>
    <mergeCell ref="B794:F795"/>
    <mergeCell ref="B796:F796"/>
    <mergeCell ref="C797:F797"/>
    <mergeCell ref="C798:F798"/>
    <mergeCell ref="B800:F801"/>
    <mergeCell ref="B802:F802"/>
    <mergeCell ref="A807:C807"/>
    <mergeCell ref="B809:F809"/>
    <mergeCell ref="B810:F810"/>
    <mergeCell ref="B811:F811"/>
    <mergeCell ref="B812:F813"/>
    <mergeCell ref="G812:G813"/>
    <mergeCell ref="H812:H813"/>
    <mergeCell ref="B814:F814"/>
    <mergeCell ref="B816:F817"/>
    <mergeCell ref="B818:I818"/>
    <mergeCell ref="B819:E821"/>
    <mergeCell ref="G819:G820"/>
    <mergeCell ref="H819:H820"/>
    <mergeCell ref="B822:I822"/>
    <mergeCell ref="A824:C824"/>
    <mergeCell ref="A827:F827"/>
    <mergeCell ref="A828:F828"/>
    <mergeCell ref="A829:F830"/>
    <mergeCell ref="G829:G830"/>
    <mergeCell ref="H829:H830"/>
    <mergeCell ref="A831:F831"/>
    <mergeCell ref="A832:F832"/>
    <mergeCell ref="A833:F836"/>
    <mergeCell ref="G833:G836"/>
    <mergeCell ref="H833:H836"/>
    <mergeCell ref="A837:F838"/>
    <mergeCell ref="G837:G838"/>
    <mergeCell ref="H837:H838"/>
    <mergeCell ref="B839:H839"/>
    <mergeCell ref="A841:C841"/>
    <mergeCell ref="G842:G843"/>
    <mergeCell ref="H842:H843"/>
    <mergeCell ref="A843:F843"/>
    <mergeCell ref="A844:A849"/>
    <mergeCell ref="B844:F844"/>
    <mergeCell ref="B845:F847"/>
    <mergeCell ref="G845:G847"/>
    <mergeCell ref="H845:H847"/>
    <mergeCell ref="B848:F849"/>
    <mergeCell ref="G848:G849"/>
    <mergeCell ref="H848:H849"/>
    <mergeCell ref="A850:A851"/>
    <mergeCell ref="B850:F851"/>
    <mergeCell ref="G850:G851"/>
    <mergeCell ref="H850:H851"/>
    <mergeCell ref="B856:F857"/>
    <mergeCell ref="A862:C862"/>
    <mergeCell ref="B864:F864"/>
    <mergeCell ref="B865:F865"/>
    <mergeCell ref="B866:F866"/>
    <mergeCell ref="B870:F870"/>
    <mergeCell ref="B871:H871"/>
    <mergeCell ref="B872:F872"/>
    <mergeCell ref="B873:F873"/>
    <mergeCell ref="B874:F874"/>
    <mergeCell ref="A876:C876"/>
    <mergeCell ref="B878:F878"/>
    <mergeCell ref="B879:F879"/>
    <mergeCell ref="B882:F882"/>
    <mergeCell ref="B883:F883"/>
    <mergeCell ref="B884:H884"/>
    <mergeCell ref="B885:F885"/>
    <mergeCell ref="B886:F886"/>
    <mergeCell ref="B888:F889"/>
    <mergeCell ref="B893:F894"/>
    <mergeCell ref="B895:I895"/>
    <mergeCell ref="B896:F897"/>
    <mergeCell ref="B898:I898"/>
    <mergeCell ref="B899:F901"/>
    <mergeCell ref="A903:C903"/>
    <mergeCell ref="B904:F904"/>
    <mergeCell ref="B905:H905"/>
    <mergeCell ref="B908:F909"/>
    <mergeCell ref="B910:F911"/>
    <mergeCell ref="A912:C912"/>
    <mergeCell ref="B913:F914"/>
    <mergeCell ref="B916:F917"/>
    <mergeCell ref="B926:F927"/>
    <mergeCell ref="B928:F929"/>
    <mergeCell ref="B932:D932"/>
    <mergeCell ref="B934:F935"/>
    <mergeCell ref="G934:G935"/>
    <mergeCell ref="H934:H935"/>
    <mergeCell ref="B936:F937"/>
    <mergeCell ref="G936:G937"/>
    <mergeCell ref="H936:H937"/>
    <mergeCell ref="B939:E939"/>
    <mergeCell ref="B944:F944"/>
    <mergeCell ref="B945:F945"/>
    <mergeCell ref="B947:F947"/>
    <mergeCell ref="B948:F948"/>
    <mergeCell ref="A950:C950"/>
    <mergeCell ref="B951:F952"/>
    <mergeCell ref="B955:F955"/>
    <mergeCell ref="B957:F958"/>
    <mergeCell ref="B959:F959"/>
    <mergeCell ref="B962:F963"/>
    <mergeCell ref="G962:G963"/>
    <mergeCell ref="H962:H963"/>
    <mergeCell ref="A965:C965"/>
    <mergeCell ref="B966:F966"/>
    <mergeCell ref="B967:F967"/>
    <mergeCell ref="B969:F970"/>
    <mergeCell ref="B971:F971"/>
    <mergeCell ref="B973:F975"/>
    <mergeCell ref="G974:G975"/>
    <mergeCell ref="H974:H975"/>
    <mergeCell ref="B977:F978"/>
    <mergeCell ref="B979:H979"/>
    <mergeCell ref="B983:F983"/>
    <mergeCell ref="A985:C985"/>
    <mergeCell ref="A996:C996"/>
    <mergeCell ref="B998:F998"/>
    <mergeCell ref="B1001:F1002"/>
    <mergeCell ref="B1004:F1005"/>
    <mergeCell ref="A1007:I1007"/>
    <mergeCell ref="A1009:C1009"/>
    <mergeCell ref="B1011:D1011"/>
    <mergeCell ref="A1012:E1013"/>
    <mergeCell ref="F1012:H1012"/>
    <mergeCell ref="A1014:E1014"/>
    <mergeCell ref="A1015:H1015"/>
    <mergeCell ref="A1016:E1016"/>
    <mergeCell ref="A1017:H1017"/>
    <mergeCell ref="A1018:H1018"/>
    <mergeCell ref="A1019:E1019"/>
    <mergeCell ref="A1020:H1020"/>
    <mergeCell ref="A1021:E1021"/>
    <mergeCell ref="A1022:H1022"/>
    <mergeCell ref="A1023:E1023"/>
    <mergeCell ref="A1024:H1024"/>
    <mergeCell ref="A1025:H1025"/>
    <mergeCell ref="A1026:E1026"/>
    <mergeCell ref="A1027:H1027"/>
    <mergeCell ref="A1028:E1028"/>
    <mergeCell ref="A1029:H1029"/>
    <mergeCell ref="A1030:H1030"/>
    <mergeCell ref="A1031:E1031"/>
    <mergeCell ref="A1032:H1032"/>
    <mergeCell ref="B1034:D1034"/>
    <mergeCell ref="A1035:E1036"/>
    <mergeCell ref="F1035:H1035"/>
    <mergeCell ref="A1037:E1037"/>
    <mergeCell ref="A1038:H1038"/>
    <mergeCell ref="A1039:E1039"/>
    <mergeCell ref="A1040:E1040"/>
    <mergeCell ref="A1041:E1041"/>
    <mergeCell ref="A1042:H1042"/>
    <mergeCell ref="A1043:H1043"/>
    <mergeCell ref="A1044:E1044"/>
    <mergeCell ref="A1045:H1045"/>
    <mergeCell ref="A1046:E1046"/>
    <mergeCell ref="I1046:I1047"/>
    <mergeCell ref="A1047:H1047"/>
    <mergeCell ref="B1049:D1049"/>
    <mergeCell ref="A1050:E1051"/>
    <mergeCell ref="F1050:H1050"/>
    <mergeCell ref="A1052:E1052"/>
    <mergeCell ref="A1053:H1053"/>
    <mergeCell ref="A1054:E1054"/>
    <mergeCell ref="A1055:H1055"/>
    <mergeCell ref="A1056:E1056"/>
    <mergeCell ref="B1058:D1058"/>
    <mergeCell ref="A1059:E1060"/>
    <mergeCell ref="F1059:H1059"/>
    <mergeCell ref="A1061:E1061"/>
    <mergeCell ref="A1062:H1062"/>
    <mergeCell ref="A1063:H1063"/>
    <mergeCell ref="A1064:E1064"/>
    <mergeCell ref="A1065:E1065"/>
    <mergeCell ref="A1067:C1067"/>
    <mergeCell ref="B1068:F1069"/>
    <mergeCell ref="B1071:F1072"/>
    <mergeCell ref="B1073:H1073"/>
    <mergeCell ref="A1075:C1075"/>
    <mergeCell ref="B1076:G1076"/>
    <mergeCell ref="B1085:F1086"/>
    <mergeCell ref="B1089:F1089"/>
    <mergeCell ref="B1094:F1094"/>
    <mergeCell ref="A1095:C1095"/>
    <mergeCell ref="E1095:F1095"/>
    <mergeCell ref="H1095:I1095"/>
    <mergeCell ref="H1096:I1096"/>
    <mergeCell ref="A1097:F1097"/>
    <mergeCell ref="H1097:I1097"/>
    <mergeCell ref="A1098:F1098"/>
    <mergeCell ref="H1098:I1098"/>
    <mergeCell ref="A1099:F1099"/>
    <mergeCell ref="H1099:I1099"/>
    <mergeCell ref="A1100:F1100"/>
    <mergeCell ref="H1100:I1100"/>
    <mergeCell ref="A1101:F1101"/>
    <mergeCell ref="H1101:I1101"/>
    <mergeCell ref="A1102:F1103"/>
    <mergeCell ref="H1102:I1102"/>
    <mergeCell ref="A1104:F1104"/>
    <mergeCell ref="A1105:F1105"/>
    <mergeCell ref="A1106:F1106"/>
    <mergeCell ref="A1107:F1107"/>
    <mergeCell ref="A1108:F1108"/>
    <mergeCell ref="H1108:I1108"/>
    <mergeCell ref="A1109:F1109"/>
    <mergeCell ref="A1110:F1110"/>
    <mergeCell ref="A1111:F1111"/>
    <mergeCell ref="A1112:F1112"/>
    <mergeCell ref="H1112:I1112"/>
    <mergeCell ref="A1113:F1113"/>
    <mergeCell ref="A1114:F1114"/>
    <mergeCell ref="A1115:F1115"/>
    <mergeCell ref="A1116:F1116"/>
    <mergeCell ref="H1116:I1116"/>
    <mergeCell ref="A1117:F1117"/>
    <mergeCell ref="A1118:F1118"/>
    <mergeCell ref="A1119:F1119"/>
    <mergeCell ref="A1120:F1120"/>
    <mergeCell ref="A1121:F1121"/>
    <mergeCell ref="A1122:F1122"/>
    <mergeCell ref="A1123:F1123"/>
    <mergeCell ref="A1124:F1124"/>
    <mergeCell ref="A1125:F1125"/>
    <mergeCell ref="H1125:I1125"/>
    <mergeCell ref="A1126:F1126"/>
    <mergeCell ref="A1127:F1127"/>
    <mergeCell ref="A1128:F1128"/>
    <mergeCell ref="A1129:F1129"/>
    <mergeCell ref="H1129:I1129"/>
    <mergeCell ref="A1130:F1130"/>
    <mergeCell ref="A1131:F1131"/>
    <mergeCell ref="A1132:F1132"/>
    <mergeCell ref="H1132:I1132"/>
    <mergeCell ref="A1133:F1133"/>
    <mergeCell ref="A1134:F1134"/>
    <mergeCell ref="A1135:F1135"/>
    <mergeCell ref="A1136:F1136"/>
    <mergeCell ref="A1137:F1137"/>
    <mergeCell ref="H1137:I1137"/>
    <mergeCell ref="A1138:F1138"/>
    <mergeCell ref="A1139:F1139"/>
    <mergeCell ref="A1140:F1140"/>
    <mergeCell ref="A1141:F1141"/>
    <mergeCell ref="A1142:F1142"/>
    <mergeCell ref="H1142:I1142"/>
    <mergeCell ref="A1143:F1143"/>
    <mergeCell ref="A1144:F1144"/>
    <mergeCell ref="A1145:F1145"/>
    <mergeCell ref="H1145:I1145"/>
    <mergeCell ref="A1146:F1146"/>
    <mergeCell ref="A1147:F1147"/>
    <mergeCell ref="A1148:F1148"/>
    <mergeCell ref="A1149:F1149"/>
    <mergeCell ref="H1149:I1149"/>
    <mergeCell ref="A1150:F1150"/>
    <mergeCell ref="A1151:F1151"/>
    <mergeCell ref="A1152:F1152"/>
    <mergeCell ref="H1152:I1152"/>
    <mergeCell ref="A1153:F1153"/>
    <mergeCell ref="A1154:F1154"/>
    <mergeCell ref="B1155:F1155"/>
    <mergeCell ref="B1158:F1159"/>
    <mergeCell ref="B1164:F1164"/>
    <mergeCell ref="B1167:F1167"/>
    <mergeCell ref="B1169:F1169"/>
    <mergeCell ref="B1173:F1174"/>
  </mergeCells>
  <dataValidations count="3">
    <dataValidation allowBlank="true" operator="equal" showDropDown="false" showErrorMessage="true" showInputMessage="false" sqref="F951" type="list">
      <formula1>"0,1,2"</formula1>
      <formula2>0</formula2>
    </dataValidation>
    <dataValidation allowBlank="true" operator="equal" showDropDown="false" showErrorMessage="true" showInputMessage="false" sqref="O652" type="list">
      <formula1>"Moins de 20%,Plus de 20%"</formula1>
      <formula2>0</formula2>
    </dataValidation>
    <dataValidation allowBlank="true" operator="equal" showDropDown="false" showErrorMessage="true" showInputMessage="false" sqref="E497 O651 E679 F816 E913 F955 F957 F960 D977 E1056" type="list">
      <formula1>"oui,non"</formula1>
      <formula2>0</formula2>
    </dataValidation>
  </dataValidations>
  <printOptions headings="false" gridLines="false" gridLinesSet="true" horizontalCentered="false" verticalCentered="false"/>
  <pageMargins left="0.7" right="0.7" top="0.75" bottom="0.75" header="0.3"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&amp;CQuestionnaire IDEA version 4 - Juin 2019</oddHeader>
    <oddFooter>&amp;CPage &amp;P</oddFooter>
  </headerFooter>
  <rowBreaks count="7" manualBreakCount="7">
    <brk id="38" man="true" max="16383" min="0"/>
    <brk id="88" man="true" max="16383" min="0"/>
    <brk id="139" man="true" max="16383" min="0"/>
    <brk id="238" man="true" max="16383" min="0"/>
    <brk id="573" man="true" max="16383" min="0"/>
    <brk id="770" man="true" max="16383" min="0"/>
    <brk id="1006" man="true" max="16383" min="0"/>
  </rowBreaks>
  <legacyDrawing r:id="rId2"/>
</worksheet>
</file>

<file path=xl/worksheets/sheet5.xml><?xml version="1.0" encoding="utf-8"?>
<worksheet xmlns="http://schemas.openxmlformats.org/spreadsheetml/2006/main" xmlns:r="http://schemas.openxmlformats.org/officeDocument/2006/relationships">
  <sheetPr filterMode="false">
    <tabColor rgb="FFFF0000"/>
    <pageSetUpPr fitToPage="false"/>
  </sheetPr>
  <dimension ref="A1:IV1347"/>
  <sheetViews>
    <sheetView showFormulas="false" showGridLines="true" showRowColHeaders="true" showZeros="true" rightToLeft="false" tabSelected="true" showOutlineSymbols="true" defaultGridColor="true" view="normal" topLeftCell="A1" colorId="64" zoomScale="61" zoomScaleNormal="61" zoomScalePageLayoutView="100" workbookViewId="0">
      <selection pane="topLeft" activeCell="L19" activeCellId="0" sqref="L19"/>
    </sheetView>
  </sheetViews>
  <sheetFormatPr defaultRowHeight="15" zeroHeight="false" outlineLevelRow="0" outlineLevelCol="0"/>
  <cols>
    <col collapsed="false" customWidth="true" hidden="false" outlineLevel="0" max="1" min="1" style="11" width="33.49"/>
    <col collapsed="false" customWidth="true" hidden="false" outlineLevel="0" max="2" min="2" style="11" width="19.16"/>
    <col collapsed="false" customWidth="true" hidden="false" outlineLevel="0" max="3" min="3" style="11" width="28.66"/>
    <col collapsed="false" customWidth="true" hidden="false" outlineLevel="0" max="4" min="4" style="11" width="18.84"/>
    <col collapsed="false" customWidth="true" hidden="false" outlineLevel="0" max="5" min="5" style="11" width="32.16"/>
    <col collapsed="false" customWidth="true" hidden="false" outlineLevel="0" max="6" min="6" style="11" width="23.83"/>
    <col collapsed="false" customWidth="true" hidden="false" outlineLevel="0" max="7" min="7" style="11" width="27.16"/>
    <col collapsed="false" customWidth="true" hidden="false" outlineLevel="0" max="8" min="8" style="11" width="22.16"/>
    <col collapsed="false" customWidth="true" hidden="false" outlineLevel="0" max="9" min="9" style="11" width="20.17"/>
    <col collapsed="false" customWidth="true" hidden="false" outlineLevel="0" max="10" min="10" style="12" width="26.51"/>
    <col collapsed="false" customWidth="true" hidden="false" outlineLevel="0" max="11" min="11" style="11" width="26.83"/>
    <col collapsed="false" customWidth="true" hidden="false" outlineLevel="0" max="12" min="12" style="11" width="15.83"/>
    <col collapsed="false" customWidth="true" hidden="false" outlineLevel="0" max="13" min="13" style="11" width="43.33"/>
    <col collapsed="false" customWidth="true" hidden="false" outlineLevel="0" max="14" min="14" style="11" width="10.66"/>
    <col collapsed="false" customWidth="true" hidden="false" outlineLevel="0" max="15" min="15" style="11" width="24.16"/>
    <col collapsed="false" customWidth="true" hidden="false" outlineLevel="0" max="16" min="16" style="11" width="23.83"/>
    <col collapsed="false" customWidth="true" hidden="false" outlineLevel="0" max="1025" min="17" style="11" width="10.66"/>
  </cols>
  <sheetData>
    <row r="1" customFormat="false" ht="26.25" hidden="false" customHeight="true" outlineLevel="0" collapsed="false">
      <c r="A1" s="414" t="s">
        <v>949</v>
      </c>
      <c r="B1" s="414"/>
      <c r="C1" s="414"/>
      <c r="D1" s="414"/>
      <c r="E1" s="414"/>
      <c r="F1" s="414"/>
      <c r="G1" s="414"/>
      <c r="H1" s="414"/>
      <c r="I1" s="414"/>
      <c r="J1" s="414"/>
      <c r="K1" s="414"/>
      <c r="L1" s="414"/>
    </row>
    <row r="2" customFormat="false" ht="20" hidden="false" customHeight="true" outlineLevel="0" collapsed="false">
      <c r="A2" s="415"/>
      <c r="B2" s="415"/>
      <c r="C2" s="416"/>
      <c r="D2" s="416"/>
      <c r="E2" s="416"/>
      <c r="F2" s="416"/>
      <c r="G2" s="416"/>
      <c r="H2" s="417"/>
      <c r="I2" s="418"/>
      <c r="J2" s="419"/>
    </row>
    <row r="3" customFormat="false" ht="20" hidden="false" customHeight="true" outlineLevel="0" collapsed="false">
      <c r="A3" s="415"/>
      <c r="B3" s="420" t="s">
        <v>950</v>
      </c>
      <c r="E3" s="421"/>
      <c r="F3" s="416"/>
      <c r="G3" s="416"/>
      <c r="H3" s="417"/>
      <c r="I3" s="418"/>
      <c r="J3" s="419"/>
      <c r="L3" s="11" t="s">
        <v>951</v>
      </c>
    </row>
    <row r="4" customFormat="false" ht="20" hidden="false" customHeight="true" outlineLevel="0" collapsed="false">
      <c r="A4" s="415"/>
      <c r="B4" s="422"/>
      <c r="E4" s="423"/>
      <c r="F4" s="416"/>
      <c r="G4" s="416"/>
    </row>
    <row r="5" customFormat="false" ht="20" hidden="false" customHeight="true" outlineLevel="0" collapsed="false">
      <c r="A5" s="14" t="s">
        <v>83</v>
      </c>
      <c r="B5" s="424"/>
      <c r="C5" s="425"/>
      <c r="E5" s="14" t="s">
        <v>952</v>
      </c>
      <c r="F5" s="426" t="n">
        <v>43810</v>
      </c>
      <c r="G5" s="427"/>
      <c r="H5" s="428" t="s">
        <v>104</v>
      </c>
      <c r="L5" s="429"/>
    </row>
    <row r="6" customFormat="false" ht="20" hidden="false" customHeight="true" outlineLevel="0" collapsed="false">
      <c r="G6" s="430"/>
      <c r="H6" s="431" t="s">
        <v>953</v>
      </c>
      <c r="I6" s="431"/>
      <c r="J6" s="431"/>
      <c r="L6" s="432"/>
      <c r="Q6" s="433"/>
    </row>
    <row r="7" customFormat="false" ht="20" hidden="false" customHeight="true" outlineLevel="0" collapsed="false">
      <c r="A7" s="14" t="s">
        <v>954</v>
      </c>
      <c r="B7" s="434" t="s">
        <v>955</v>
      </c>
      <c r="C7" s="435"/>
      <c r="E7" s="436" t="s">
        <v>956</v>
      </c>
      <c r="F7" s="437" t="n">
        <v>679951226</v>
      </c>
      <c r="H7" s="431"/>
      <c r="I7" s="431"/>
      <c r="J7" s="431"/>
      <c r="L7" s="433"/>
      <c r="M7" s="433"/>
      <c r="N7" s="433"/>
      <c r="O7" s="433"/>
      <c r="P7" s="433"/>
      <c r="Q7" s="433"/>
    </row>
    <row r="8" customFormat="false" ht="20" hidden="false" customHeight="true" outlineLevel="0" collapsed="false">
      <c r="B8" s="438"/>
      <c r="H8" s="431"/>
      <c r="I8" s="431"/>
      <c r="J8" s="431"/>
      <c r="L8" s="433"/>
      <c r="M8" s="433"/>
      <c r="N8" s="433"/>
      <c r="O8" s="433"/>
      <c r="P8" s="433"/>
      <c r="Q8" s="433"/>
    </row>
    <row r="9" customFormat="false" ht="20" hidden="false" customHeight="true" outlineLevel="0" collapsed="false">
      <c r="A9" s="14" t="s">
        <v>87</v>
      </c>
      <c r="B9" s="439" t="s">
        <v>957</v>
      </c>
      <c r="C9" s="439"/>
      <c r="D9" s="439"/>
      <c r="E9" s="435"/>
      <c r="H9" s="431"/>
      <c r="I9" s="431"/>
      <c r="J9" s="431"/>
      <c r="L9" s="433"/>
      <c r="M9" s="433"/>
      <c r="N9" s="433"/>
      <c r="O9" s="433"/>
      <c r="P9" s="433"/>
      <c r="Q9" s="433"/>
    </row>
    <row r="10" customFormat="false" ht="20" hidden="false" customHeight="true" outlineLevel="0" collapsed="false">
      <c r="H10" s="431"/>
      <c r="I10" s="431"/>
      <c r="J10" s="431"/>
      <c r="L10" s="433"/>
      <c r="M10" s="433"/>
      <c r="N10" s="433"/>
      <c r="O10" s="433"/>
      <c r="P10" s="433"/>
      <c r="Q10" s="433"/>
    </row>
    <row r="11" customFormat="false" ht="20" hidden="false" customHeight="true" outlineLevel="0" collapsed="false">
      <c r="A11" s="14" t="s">
        <v>958</v>
      </c>
      <c r="B11" s="440" t="s">
        <v>959</v>
      </c>
      <c r="H11" s="431"/>
      <c r="I11" s="431"/>
      <c r="J11" s="431"/>
      <c r="L11" s="441"/>
      <c r="M11" s="433"/>
      <c r="N11" s="433"/>
      <c r="O11" s="433"/>
      <c r="P11" s="433"/>
      <c r="Q11" s="433"/>
    </row>
    <row r="12" customFormat="false" ht="20" hidden="false" customHeight="true" outlineLevel="0" collapsed="false">
      <c r="A12" s="14"/>
      <c r="G12" s="427"/>
      <c r="H12" s="431"/>
      <c r="I12" s="431"/>
      <c r="J12" s="431"/>
      <c r="L12" s="432"/>
      <c r="M12" s="433"/>
      <c r="N12" s="433"/>
      <c r="O12" s="433"/>
      <c r="P12" s="433"/>
      <c r="Q12" s="433"/>
    </row>
    <row r="13" customFormat="false" ht="20" hidden="false" customHeight="true" outlineLevel="0" collapsed="false">
      <c r="A13" s="14" t="s">
        <v>90</v>
      </c>
      <c r="B13" s="442" t="n">
        <f aca="false">SUM(B14:B21)</f>
        <v>171.12</v>
      </c>
      <c r="C13" s="443" t="s">
        <v>91</v>
      </c>
      <c r="E13" s="14" t="s">
        <v>101</v>
      </c>
      <c r="F13" s="444" t="n">
        <v>9</v>
      </c>
      <c r="G13" s="11" t="s">
        <v>91</v>
      </c>
      <c r="H13" s="431"/>
      <c r="I13" s="431"/>
      <c r="J13" s="431"/>
      <c r="L13" s="432"/>
      <c r="M13" s="433"/>
      <c r="N13" s="433"/>
      <c r="O13" s="433"/>
      <c r="P13" s="433"/>
      <c r="Q13" s="433"/>
    </row>
    <row r="14" customFormat="false" ht="30.75" hidden="false" customHeight="true" outlineLevel="0" collapsed="false">
      <c r="A14" s="445" t="s">
        <v>960</v>
      </c>
      <c r="B14" s="446" t="n">
        <f aca="false">19.15+11.03+7.37+7.27+4.9</f>
        <v>49.72</v>
      </c>
      <c r="C14" s="447" t="s">
        <v>91</v>
      </c>
      <c r="G14" s="427"/>
      <c r="H14" s="431"/>
      <c r="I14" s="431"/>
      <c r="J14" s="431"/>
      <c r="L14" s="432"/>
      <c r="M14" s="433"/>
      <c r="N14" s="433"/>
      <c r="O14" s="433"/>
      <c r="P14" s="433"/>
      <c r="Q14" s="433"/>
    </row>
    <row r="15" customFormat="false" ht="20" hidden="false" customHeight="true" outlineLevel="0" collapsed="false">
      <c r="A15" s="448" t="s">
        <v>961</v>
      </c>
      <c r="B15" s="446" t="n">
        <v>63.93</v>
      </c>
      <c r="C15" s="449" t="s">
        <v>91</v>
      </c>
      <c r="G15" s="427"/>
      <c r="H15" s="431"/>
      <c r="I15" s="431"/>
      <c r="J15" s="431"/>
      <c r="L15" s="432"/>
      <c r="M15" s="433"/>
      <c r="N15" s="433"/>
      <c r="O15" s="433"/>
      <c r="P15" s="433"/>
      <c r="Q15" s="433"/>
    </row>
    <row r="16" customFormat="false" ht="30" hidden="false" customHeight="true" outlineLevel="0" collapsed="false">
      <c r="A16" s="450" t="s">
        <v>962</v>
      </c>
      <c r="B16" s="446" t="n">
        <v>54.8</v>
      </c>
      <c r="C16" s="447" t="s">
        <v>91</v>
      </c>
      <c r="G16" s="427"/>
      <c r="H16" s="431"/>
      <c r="I16" s="431"/>
      <c r="J16" s="431"/>
      <c r="L16" s="432"/>
      <c r="M16" s="433"/>
      <c r="N16" s="433"/>
      <c r="O16" s="433"/>
      <c r="P16" s="433"/>
      <c r="Q16" s="433"/>
    </row>
    <row r="17" customFormat="false" ht="20" hidden="false" customHeight="true" outlineLevel="0" collapsed="false">
      <c r="A17" s="448" t="s">
        <v>94</v>
      </c>
      <c r="B17" s="446"/>
      <c r="C17" s="449" t="s">
        <v>91</v>
      </c>
      <c r="G17" s="427"/>
      <c r="H17" s="431"/>
      <c r="I17" s="431"/>
      <c r="J17" s="431"/>
      <c r="L17" s="432"/>
      <c r="M17" s="433"/>
      <c r="N17" s="433"/>
      <c r="O17" s="433"/>
      <c r="P17" s="433"/>
      <c r="Q17" s="433"/>
      <c r="R17" s="433"/>
    </row>
    <row r="18" customFormat="false" ht="20" hidden="false" customHeight="true" outlineLevel="0" collapsed="false">
      <c r="A18" s="448" t="s">
        <v>95</v>
      </c>
      <c r="B18" s="446"/>
      <c r="C18" s="449" t="s">
        <v>91</v>
      </c>
      <c r="G18" s="427"/>
      <c r="H18" s="451"/>
      <c r="I18" s="451"/>
      <c r="J18" s="451"/>
      <c r="L18" s="432"/>
      <c r="M18" s="433"/>
      <c r="N18" s="433"/>
      <c r="O18" s="433"/>
      <c r="P18" s="433"/>
      <c r="Q18" s="433"/>
      <c r="R18" s="433"/>
    </row>
    <row r="19" customFormat="false" ht="20" hidden="false" customHeight="true" outlineLevel="0" collapsed="false">
      <c r="A19" s="448" t="s">
        <v>97</v>
      </c>
      <c r="B19" s="446"/>
      <c r="C19" s="449" t="s">
        <v>91</v>
      </c>
      <c r="L19" s="433"/>
      <c r="M19" s="433"/>
      <c r="N19" s="433"/>
      <c r="O19" s="433"/>
      <c r="P19" s="433"/>
      <c r="Q19" s="433"/>
      <c r="R19" s="433"/>
    </row>
    <row r="20" customFormat="false" ht="20" hidden="false" customHeight="true" outlineLevel="0" collapsed="false">
      <c r="A20" s="445" t="s">
        <v>963</v>
      </c>
      <c r="B20" s="446"/>
      <c r="C20" s="449" t="s">
        <v>91</v>
      </c>
      <c r="D20" s="11" t="s">
        <v>964</v>
      </c>
      <c r="E20" s="452"/>
      <c r="F20" s="452"/>
      <c r="G20" s="452"/>
      <c r="L20" s="433"/>
      <c r="M20" s="433"/>
      <c r="N20" s="433"/>
      <c r="O20" s="433"/>
      <c r="P20" s="433"/>
      <c r="Q20" s="433"/>
      <c r="R20" s="433"/>
    </row>
    <row r="21" customFormat="false" ht="51" hidden="false" customHeight="true" outlineLevel="0" collapsed="false">
      <c r="A21" s="450" t="s">
        <v>965</v>
      </c>
      <c r="B21" s="446" t="n">
        <v>2.67</v>
      </c>
      <c r="C21" s="447" t="s">
        <v>91</v>
      </c>
      <c r="D21" s="453" t="s">
        <v>964</v>
      </c>
      <c r="E21" s="454" t="s">
        <v>966</v>
      </c>
      <c r="F21" s="455"/>
      <c r="G21" s="455"/>
      <c r="L21" s="433"/>
      <c r="M21" s="433"/>
      <c r="N21" s="433"/>
      <c r="O21" s="433"/>
      <c r="P21" s="433"/>
      <c r="Q21" s="433"/>
      <c r="R21" s="433"/>
    </row>
    <row r="22" customFormat="false" ht="20" hidden="false" customHeight="true" outlineLevel="0" collapsed="false">
      <c r="A22" s="14"/>
      <c r="B22" s="70"/>
      <c r="E22" s="428"/>
      <c r="F22" s="70"/>
      <c r="G22" s="418"/>
      <c r="L22" s="433"/>
      <c r="M22" s="433"/>
      <c r="N22" s="433"/>
      <c r="O22" s="433"/>
      <c r="P22" s="433"/>
      <c r="Q22" s="433"/>
      <c r="R22" s="433"/>
    </row>
    <row r="23" customFormat="false" ht="20" hidden="false" customHeight="true" outlineLevel="0" collapsed="false">
      <c r="A23" s="456" t="s">
        <v>967</v>
      </c>
      <c r="B23" s="457" t="s">
        <v>242</v>
      </c>
      <c r="H23" s="18"/>
      <c r="I23" s="435"/>
      <c r="J23" s="435"/>
      <c r="K23" s="458"/>
      <c r="L23" s="459"/>
      <c r="Q23" s="70"/>
      <c r="R23" s="70"/>
      <c r="S23" s="70"/>
    </row>
    <row r="24" customFormat="false" ht="20" hidden="false" customHeight="true" outlineLevel="0" collapsed="false">
      <c r="L24" s="433"/>
      <c r="M24" s="433"/>
      <c r="N24" s="433"/>
      <c r="O24" s="433"/>
      <c r="P24" s="433"/>
      <c r="R24" s="433"/>
    </row>
    <row r="25" customFormat="false" ht="20" hidden="false" customHeight="true" outlineLevel="0" collapsed="false">
      <c r="B25" s="420" t="s">
        <v>968</v>
      </c>
      <c r="H25" s="460"/>
      <c r="I25" s="460"/>
      <c r="J25" s="461"/>
      <c r="L25" s="11" t="s">
        <v>951</v>
      </c>
    </row>
    <row r="26" customFormat="false" ht="20" hidden="false" customHeight="true" outlineLevel="0" collapsed="false">
      <c r="H26" s="460"/>
      <c r="I26" s="460"/>
      <c r="J26" s="461"/>
    </row>
    <row r="27" customFormat="false" ht="15" hidden="false" customHeight="true" outlineLevel="0" collapsed="false">
      <c r="A27" s="14" t="s">
        <v>106</v>
      </c>
      <c r="B27" s="462" t="n">
        <v>1</v>
      </c>
      <c r="E27" s="463" t="s">
        <v>107</v>
      </c>
      <c r="F27" s="462" t="n">
        <v>1</v>
      </c>
      <c r="G27" s="464" t="s">
        <v>108</v>
      </c>
      <c r="H27" s="464"/>
      <c r="I27" s="464"/>
      <c r="J27" s="465" t="s">
        <v>969</v>
      </c>
    </row>
    <row r="28" customFormat="false" ht="20" hidden="false" customHeight="true" outlineLevel="0" collapsed="false">
      <c r="E28" s="416"/>
      <c r="F28" s="416"/>
      <c r="G28" s="416"/>
      <c r="O28" s="433"/>
      <c r="R28" s="433"/>
    </row>
    <row r="29" customFormat="false" ht="20" hidden="false" customHeight="true" outlineLevel="0" collapsed="false">
      <c r="E29" s="416"/>
      <c r="F29" s="416"/>
      <c r="G29" s="416"/>
      <c r="O29" s="433"/>
      <c r="R29" s="433"/>
    </row>
    <row r="30" customFormat="false" ht="20" hidden="false" customHeight="true" outlineLevel="0" collapsed="false">
      <c r="B30" s="420" t="s">
        <v>970</v>
      </c>
      <c r="E30" s="416"/>
      <c r="G30" s="416"/>
      <c r="I30" s="418"/>
      <c r="J30" s="419"/>
    </row>
    <row r="31" customFormat="false" ht="20" hidden="false" customHeight="true" outlineLevel="0" collapsed="false">
      <c r="B31" s="420"/>
      <c r="E31" s="416"/>
      <c r="G31" s="416"/>
      <c r="I31" s="418"/>
      <c r="J31" s="419"/>
      <c r="Q31" s="466"/>
    </row>
    <row r="32" customFormat="false" ht="20" hidden="false" customHeight="true" outlineLevel="0" collapsed="false">
      <c r="A32" s="467" t="s">
        <v>971</v>
      </c>
      <c r="B32" s="468"/>
      <c r="C32" s="469"/>
      <c r="D32" s="469"/>
      <c r="E32" s="469"/>
      <c r="F32" s="469"/>
      <c r="G32" s="469"/>
      <c r="H32" s="470"/>
      <c r="I32" s="470"/>
      <c r="J32" s="470"/>
      <c r="Q32" s="466"/>
    </row>
    <row r="33" customFormat="false" ht="20" hidden="false" customHeight="true" outlineLevel="0" collapsed="false">
      <c r="A33" s="417"/>
      <c r="B33" s="417"/>
      <c r="C33" s="471"/>
      <c r="D33" s="469"/>
      <c r="E33" s="469"/>
      <c r="F33" s="469"/>
      <c r="G33" s="469"/>
      <c r="H33" s="469"/>
      <c r="I33" s="469"/>
      <c r="J33" s="472"/>
      <c r="L33" s="11" t="s">
        <v>972</v>
      </c>
      <c r="Q33" s="466"/>
    </row>
    <row r="34" customFormat="false" ht="48.75" hidden="false" customHeight="true" outlineLevel="0" collapsed="false">
      <c r="A34" s="473" t="s">
        <v>973</v>
      </c>
      <c r="B34" s="474" t="s">
        <v>974</v>
      </c>
      <c r="C34" s="474"/>
      <c r="D34" s="473" t="s">
        <v>975</v>
      </c>
      <c r="E34" s="475" t="s">
        <v>976</v>
      </c>
      <c r="F34" s="475"/>
      <c r="G34" s="476" t="s">
        <v>113</v>
      </c>
      <c r="H34" s="477" t="s">
        <v>977</v>
      </c>
      <c r="I34" s="477" t="s">
        <v>978</v>
      </c>
      <c r="J34" s="478" t="s">
        <v>979</v>
      </c>
      <c r="P34" s="466"/>
    </row>
    <row r="35" customFormat="false" ht="37.5" hidden="false" customHeight="true" outlineLevel="0" collapsed="false">
      <c r="A35" s="473"/>
      <c r="B35" s="474"/>
      <c r="C35" s="474"/>
      <c r="D35" s="473"/>
      <c r="E35" s="479" t="s">
        <v>980</v>
      </c>
      <c r="F35" s="480" t="s">
        <v>981</v>
      </c>
      <c r="G35" s="476"/>
      <c r="H35" s="477"/>
      <c r="I35" s="477"/>
      <c r="J35" s="478"/>
      <c r="P35" s="466"/>
    </row>
    <row r="36" customFormat="false" ht="20" hidden="false" customHeight="true" outlineLevel="0" collapsed="false">
      <c r="A36" s="481" t="s">
        <v>982</v>
      </c>
      <c r="B36" s="482"/>
      <c r="C36" s="483"/>
      <c r="D36" s="484"/>
      <c r="E36" s="485"/>
      <c r="F36" s="486"/>
      <c r="G36" s="487" t="s">
        <v>983</v>
      </c>
      <c r="H36" s="488" t="s">
        <v>983</v>
      </c>
      <c r="I36" s="489" t="s">
        <v>984</v>
      </c>
      <c r="J36" s="490" t="n">
        <f aca="false">SUM(J37:J46)</f>
        <v>141.3</v>
      </c>
      <c r="P36" s="466"/>
    </row>
    <row r="37" customFormat="false" ht="20" hidden="false" customHeight="true" outlineLevel="0" collapsed="false">
      <c r="A37" s="491" t="s">
        <v>985</v>
      </c>
      <c r="B37" s="492" t="s">
        <v>4</v>
      </c>
      <c r="C37" s="492"/>
      <c r="D37" s="493"/>
      <c r="E37" s="494"/>
      <c r="F37" s="495"/>
      <c r="G37" s="496"/>
      <c r="H37" s="497"/>
      <c r="I37" s="498" t="n">
        <v>1.05</v>
      </c>
      <c r="J37" s="499" t="n">
        <f aca="false">D37*(G37/12)*I37</f>
        <v>0</v>
      </c>
    </row>
    <row r="38" customFormat="false" ht="20" hidden="false" customHeight="true" outlineLevel="0" collapsed="false">
      <c r="A38" s="500"/>
      <c r="B38" s="501" t="s">
        <v>6</v>
      </c>
      <c r="C38" s="501"/>
      <c r="D38" s="493" t="n">
        <v>108</v>
      </c>
      <c r="E38" s="494" t="s">
        <v>986</v>
      </c>
      <c r="F38" s="495"/>
      <c r="G38" s="496" t="n">
        <v>12</v>
      </c>
      <c r="H38" s="497" t="n">
        <v>8</v>
      </c>
      <c r="I38" s="498" t="n">
        <v>0.85</v>
      </c>
      <c r="J38" s="499" t="n">
        <f aca="false">D38*(G38/12)*I38</f>
        <v>91.8</v>
      </c>
    </row>
    <row r="39" customFormat="false" ht="20" hidden="false" customHeight="true" outlineLevel="0" collapsed="false">
      <c r="A39" s="500"/>
      <c r="B39" s="501" t="s">
        <v>987</v>
      </c>
      <c r="C39" s="501"/>
      <c r="D39" s="493" t="n">
        <v>3</v>
      </c>
      <c r="E39" s="494"/>
      <c r="F39" s="495"/>
      <c r="G39" s="496" t="n">
        <v>12</v>
      </c>
      <c r="H39" s="497" t="n">
        <v>8</v>
      </c>
      <c r="I39" s="498" t="n">
        <v>0.8</v>
      </c>
      <c r="J39" s="499" t="n">
        <f aca="false">D39*(G39/12)*I39</f>
        <v>2.4</v>
      </c>
    </row>
    <row r="40" customFormat="false" ht="20" hidden="false" customHeight="true" outlineLevel="0" collapsed="false">
      <c r="A40" s="500"/>
      <c r="B40" s="501" t="s">
        <v>988</v>
      </c>
      <c r="C40" s="501"/>
      <c r="D40" s="493"/>
      <c r="E40" s="494"/>
      <c r="F40" s="495"/>
      <c r="G40" s="496"/>
      <c r="H40" s="497"/>
      <c r="I40" s="498" t="n">
        <v>0.2</v>
      </c>
      <c r="J40" s="499" t="n">
        <f aca="false">D40*(G40/12)*I40</f>
        <v>0</v>
      </c>
    </row>
    <row r="41" customFormat="false" ht="20" hidden="false" customHeight="true" outlineLevel="0" collapsed="false">
      <c r="A41" s="502" t="s">
        <v>989</v>
      </c>
      <c r="B41" s="501" t="s">
        <v>990</v>
      </c>
      <c r="C41" s="501"/>
      <c r="D41" s="503" t="n">
        <v>25</v>
      </c>
      <c r="E41" s="504" t="s">
        <v>986</v>
      </c>
      <c r="F41" s="495"/>
      <c r="G41" s="496" t="n">
        <v>12</v>
      </c>
      <c r="H41" s="497" t="n">
        <v>8</v>
      </c>
      <c r="I41" s="498" t="n">
        <v>0.3</v>
      </c>
      <c r="J41" s="499" t="n">
        <f aca="false">D41*(G41/12)*I41</f>
        <v>7.5</v>
      </c>
    </row>
    <row r="42" customFormat="false" ht="20" hidden="false" customHeight="true" outlineLevel="0" collapsed="false">
      <c r="A42" s="500"/>
      <c r="B42" s="505" t="s">
        <v>991</v>
      </c>
      <c r="C42" s="505"/>
      <c r="D42" s="503"/>
      <c r="E42" s="504"/>
      <c r="F42" s="495"/>
      <c r="G42" s="496"/>
      <c r="H42" s="497"/>
      <c r="I42" s="506" t="n">
        <v>0.6</v>
      </c>
      <c r="J42" s="499" t="n">
        <f aca="false">D42*(G42/12)*I42</f>
        <v>0</v>
      </c>
    </row>
    <row r="43" customFormat="false" ht="20" hidden="false" customHeight="true" outlineLevel="0" collapsed="false">
      <c r="A43" s="500"/>
      <c r="B43" s="505" t="s">
        <v>992</v>
      </c>
      <c r="C43" s="505"/>
      <c r="D43" s="503" t="n">
        <v>12</v>
      </c>
      <c r="E43" s="504" t="s">
        <v>986</v>
      </c>
      <c r="F43" s="495"/>
      <c r="G43" s="496" t="n">
        <v>12</v>
      </c>
      <c r="H43" s="497" t="n">
        <v>8</v>
      </c>
      <c r="I43" s="506" t="n">
        <v>0.7</v>
      </c>
      <c r="J43" s="499" t="n">
        <f aca="false">D43*(G43/12)*I43</f>
        <v>8.4</v>
      </c>
    </row>
    <row r="44" customFormat="false" ht="20" hidden="false" customHeight="true" outlineLevel="0" collapsed="false">
      <c r="A44" s="500"/>
      <c r="B44" s="505" t="s">
        <v>993</v>
      </c>
      <c r="C44" s="505"/>
      <c r="D44" s="493" t="n">
        <v>34</v>
      </c>
      <c r="E44" s="494"/>
      <c r="F44" s="495"/>
      <c r="G44" s="496" t="n">
        <v>12</v>
      </c>
      <c r="H44" s="497" t="n">
        <v>8</v>
      </c>
      <c r="I44" s="506" t="n">
        <v>0.3</v>
      </c>
      <c r="J44" s="499" t="n">
        <f aca="false">D44*(G44/12)*I44</f>
        <v>10.2</v>
      </c>
    </row>
    <row r="45" customFormat="false" ht="20" hidden="false" customHeight="true" outlineLevel="0" collapsed="false">
      <c r="A45" s="500"/>
      <c r="B45" s="505" t="s">
        <v>994</v>
      </c>
      <c r="C45" s="505"/>
      <c r="D45" s="493" t="n">
        <v>35</v>
      </c>
      <c r="E45" s="494" t="s">
        <v>986</v>
      </c>
      <c r="F45" s="495"/>
      <c r="G45" s="496" t="n">
        <v>12</v>
      </c>
      <c r="H45" s="497" t="n">
        <v>8</v>
      </c>
      <c r="I45" s="506" t="n">
        <v>0.6</v>
      </c>
      <c r="J45" s="499" t="n">
        <f aca="false">D45*(G45/12)*I45</f>
        <v>21</v>
      </c>
    </row>
    <row r="46" customFormat="false" ht="20" hidden="false" customHeight="true" outlineLevel="0" collapsed="false">
      <c r="A46" s="500"/>
      <c r="B46" s="505" t="s">
        <v>995</v>
      </c>
      <c r="C46" s="505"/>
      <c r="D46" s="493"/>
      <c r="E46" s="494"/>
      <c r="F46" s="495"/>
      <c r="G46" s="496"/>
      <c r="H46" s="497"/>
      <c r="I46" s="506" t="n">
        <v>0.8</v>
      </c>
      <c r="J46" s="499" t="n">
        <f aca="false">D46*(G46/12)*I46</f>
        <v>0</v>
      </c>
      <c r="N46" s="433"/>
    </row>
    <row r="47" customFormat="false" ht="20" hidden="false" customHeight="true" outlineLevel="0" collapsed="false">
      <c r="A47" s="481" t="s">
        <v>996</v>
      </c>
      <c r="B47" s="507"/>
      <c r="C47" s="507"/>
      <c r="D47" s="508"/>
      <c r="E47" s="509"/>
      <c r="F47" s="510"/>
      <c r="G47" s="511"/>
      <c r="H47" s="509"/>
      <c r="I47" s="509"/>
      <c r="J47" s="512" t="n">
        <f aca="false">SUM(J48:J52)</f>
        <v>12.9</v>
      </c>
      <c r="N47" s="433"/>
    </row>
    <row r="48" customFormat="false" ht="20" hidden="false" customHeight="true" outlineLevel="0" collapsed="false">
      <c r="A48" s="500"/>
      <c r="B48" s="501" t="s">
        <v>997</v>
      </c>
      <c r="C48" s="501"/>
      <c r="D48" s="493"/>
      <c r="E48" s="494"/>
      <c r="F48" s="495"/>
      <c r="G48" s="496"/>
      <c r="H48" s="497"/>
      <c r="I48" s="498" t="n">
        <v>0.1</v>
      </c>
      <c r="J48" s="499" t="n">
        <f aca="false">D48*(G48/12)*I48</f>
        <v>0</v>
      </c>
    </row>
    <row r="49" customFormat="false" ht="20" hidden="false" customHeight="true" outlineLevel="0" collapsed="false">
      <c r="A49" s="500"/>
      <c r="B49" s="501" t="s">
        <v>998</v>
      </c>
      <c r="C49" s="501"/>
      <c r="D49" s="493" t="n">
        <v>123</v>
      </c>
      <c r="E49" s="494" t="s">
        <v>999</v>
      </c>
      <c r="F49" s="495"/>
      <c r="G49" s="496" t="n">
        <v>12</v>
      </c>
      <c r="H49" s="497" t="n">
        <v>11</v>
      </c>
      <c r="I49" s="498" t="n">
        <v>0.1</v>
      </c>
      <c r="J49" s="499" t="n">
        <f aca="false">D49*(G49/12)*I49</f>
        <v>12.3</v>
      </c>
    </row>
    <row r="50" customFormat="false" ht="20" hidden="false" customHeight="true" outlineLevel="0" collapsed="false">
      <c r="A50" s="500"/>
      <c r="B50" s="501" t="s">
        <v>1000</v>
      </c>
      <c r="C50" s="501"/>
      <c r="D50" s="493"/>
      <c r="E50" s="494"/>
      <c r="F50" s="495"/>
      <c r="G50" s="496"/>
      <c r="H50" s="497"/>
      <c r="I50" s="498" t="n">
        <v>0.05</v>
      </c>
      <c r="J50" s="499" t="n">
        <f aca="false">D50*(G50/12)*I50</f>
        <v>0</v>
      </c>
    </row>
    <row r="51" customFormat="false" ht="20" hidden="false" customHeight="true" outlineLevel="0" collapsed="false">
      <c r="A51" s="500"/>
      <c r="B51" s="501" t="s">
        <v>1001</v>
      </c>
      <c r="C51" s="501"/>
      <c r="D51" s="493" t="n">
        <v>6</v>
      </c>
      <c r="E51" s="494"/>
      <c r="F51" s="495"/>
      <c r="G51" s="496" t="n">
        <v>12</v>
      </c>
      <c r="H51" s="497" t="n">
        <v>11</v>
      </c>
      <c r="I51" s="498" t="n">
        <v>0.1</v>
      </c>
      <c r="J51" s="499" t="n">
        <f aca="false">D51*(G51/12)*I51</f>
        <v>0.6</v>
      </c>
    </row>
    <row r="52" customFormat="false" ht="20" hidden="false" customHeight="true" outlineLevel="0" collapsed="false">
      <c r="A52" s="500"/>
      <c r="B52" s="501" t="s">
        <v>1002</v>
      </c>
      <c r="C52" s="501"/>
      <c r="D52" s="493"/>
      <c r="E52" s="494"/>
      <c r="F52" s="495"/>
      <c r="G52" s="513"/>
      <c r="H52" s="497"/>
      <c r="I52" s="498" t="n">
        <v>0.03</v>
      </c>
      <c r="J52" s="499" t="n">
        <f aca="false">D52*(G52/12)*I52</f>
        <v>0</v>
      </c>
    </row>
    <row r="53" customFormat="false" ht="20" hidden="false" customHeight="true" outlineLevel="0" collapsed="false">
      <c r="A53" s="481" t="s">
        <v>1003</v>
      </c>
      <c r="B53" s="514"/>
      <c r="C53" s="514"/>
      <c r="D53" s="515"/>
      <c r="E53" s="516"/>
      <c r="F53" s="517"/>
      <c r="G53" s="518"/>
      <c r="H53" s="516"/>
      <c r="I53" s="519"/>
      <c r="J53" s="512" t="n">
        <f aca="false">SUM(J54:J58)</f>
        <v>0</v>
      </c>
    </row>
    <row r="54" customFormat="false" ht="20" hidden="false" customHeight="true" outlineLevel="0" collapsed="false">
      <c r="A54" s="500"/>
      <c r="B54" s="501" t="s">
        <v>131</v>
      </c>
      <c r="C54" s="501"/>
      <c r="D54" s="493"/>
      <c r="E54" s="494"/>
      <c r="F54" s="495"/>
      <c r="G54" s="496"/>
      <c r="H54" s="497"/>
      <c r="I54" s="498" t="n">
        <v>0.31</v>
      </c>
      <c r="J54" s="499" t="n">
        <f aca="false">D54*(G54/12)*I54</f>
        <v>0</v>
      </c>
    </row>
    <row r="55" customFormat="false" ht="20" hidden="false" customHeight="true" outlineLevel="0" collapsed="false">
      <c r="A55" s="500"/>
      <c r="B55" s="501" t="s">
        <v>132</v>
      </c>
      <c r="C55" s="501"/>
      <c r="D55" s="493"/>
      <c r="E55" s="494"/>
      <c r="F55" s="495"/>
      <c r="G55" s="496"/>
      <c r="H55" s="497"/>
      <c r="I55" s="498" t="n">
        <v>0.26</v>
      </c>
      <c r="J55" s="499" t="n">
        <f aca="false">D55*(G55/12)*I55</f>
        <v>0</v>
      </c>
    </row>
    <row r="56" customFormat="false" ht="20" hidden="false" customHeight="true" outlineLevel="0" collapsed="false">
      <c r="A56" s="500"/>
      <c r="B56" s="501" t="s">
        <v>133</v>
      </c>
      <c r="C56" s="501"/>
      <c r="D56" s="493"/>
      <c r="E56" s="494"/>
      <c r="F56" s="495"/>
      <c r="G56" s="496"/>
      <c r="H56" s="497"/>
      <c r="I56" s="498" t="n">
        <v>0.14</v>
      </c>
      <c r="J56" s="499" t="n">
        <f aca="false">D56*(G56/12)*I56</f>
        <v>0</v>
      </c>
    </row>
    <row r="57" customFormat="false" ht="20" hidden="false" customHeight="true" outlineLevel="0" collapsed="false">
      <c r="A57" s="500"/>
      <c r="B57" s="501" t="s">
        <v>134</v>
      </c>
      <c r="C57" s="501"/>
      <c r="D57" s="493"/>
      <c r="E57" s="494"/>
      <c r="F57" s="495"/>
      <c r="G57" s="496"/>
      <c r="H57" s="497"/>
      <c r="I57" s="498" t="n">
        <v>0.055</v>
      </c>
      <c r="J57" s="499" t="n">
        <f aca="false">D57*(G57/12)*I57</f>
        <v>0</v>
      </c>
    </row>
    <row r="58" customFormat="false" ht="20" hidden="false" customHeight="true" outlineLevel="0" collapsed="false">
      <c r="A58" s="500"/>
      <c r="B58" s="501" t="s">
        <v>135</v>
      </c>
      <c r="C58" s="501"/>
      <c r="D58" s="493"/>
      <c r="E58" s="494"/>
      <c r="F58" s="495"/>
      <c r="G58" s="496"/>
      <c r="H58" s="497"/>
      <c r="I58" s="498" t="n">
        <v>0.26</v>
      </c>
      <c r="J58" s="499" t="n">
        <f aca="false">D58*(G58/12)*I58</f>
        <v>0</v>
      </c>
      <c r="N58" s="433"/>
    </row>
    <row r="59" customFormat="false" ht="20" hidden="false" customHeight="true" outlineLevel="0" collapsed="false">
      <c r="A59" s="481" t="s">
        <v>1004</v>
      </c>
      <c r="B59" s="514"/>
      <c r="C59" s="514"/>
      <c r="D59" s="515"/>
      <c r="E59" s="516"/>
      <c r="F59" s="517"/>
      <c r="G59" s="518"/>
      <c r="H59" s="516"/>
      <c r="I59" s="519"/>
      <c r="J59" s="512" t="n">
        <f aca="false">SUM(J60:J73)</f>
        <v>0</v>
      </c>
    </row>
    <row r="60" customFormat="false" ht="20" hidden="false" customHeight="true" outlineLevel="0" collapsed="false">
      <c r="A60" s="500"/>
      <c r="B60" s="501" t="s">
        <v>137</v>
      </c>
      <c r="C60" s="501"/>
      <c r="D60" s="493"/>
      <c r="E60" s="494"/>
      <c r="F60" s="495"/>
      <c r="G60" s="496"/>
      <c r="H60" s="497"/>
      <c r="I60" s="498" t="n">
        <v>0.0096</v>
      </c>
      <c r="J60" s="499" t="n">
        <f aca="false">D60*(G60/12)*I60</f>
        <v>0</v>
      </c>
    </row>
    <row r="61" customFormat="false" ht="20" hidden="false" customHeight="true" outlineLevel="0" collapsed="false">
      <c r="A61" s="500"/>
      <c r="B61" s="501" t="s">
        <v>138</v>
      </c>
      <c r="C61" s="501"/>
      <c r="D61" s="493"/>
      <c r="E61" s="494"/>
      <c r="F61" s="495"/>
      <c r="G61" s="496"/>
      <c r="H61" s="497"/>
      <c r="I61" s="498" t="n">
        <v>0.009</v>
      </c>
      <c r="J61" s="499" t="n">
        <f aca="false">D61*(G61/12)*I61</f>
        <v>0</v>
      </c>
    </row>
    <row r="62" customFormat="false" ht="20" hidden="false" customHeight="true" outlineLevel="0" collapsed="false">
      <c r="A62" s="500"/>
      <c r="B62" s="501" t="s">
        <v>139</v>
      </c>
      <c r="C62" s="501"/>
      <c r="D62" s="493"/>
      <c r="E62" s="494"/>
      <c r="F62" s="495"/>
      <c r="G62" s="496"/>
      <c r="H62" s="497"/>
      <c r="I62" s="498" t="n">
        <v>0.008</v>
      </c>
      <c r="J62" s="499" t="n">
        <f aca="false">D62*(G62/12)*I62</f>
        <v>0</v>
      </c>
    </row>
    <row r="63" customFormat="false" ht="20" hidden="false" customHeight="true" outlineLevel="0" collapsed="false">
      <c r="A63" s="500"/>
      <c r="B63" s="501" t="s">
        <v>140</v>
      </c>
      <c r="C63" s="501"/>
      <c r="D63" s="493"/>
      <c r="E63" s="494"/>
      <c r="F63" s="495"/>
      <c r="G63" s="496"/>
      <c r="H63" s="497"/>
      <c r="I63" s="498" t="n">
        <v>0.008</v>
      </c>
      <c r="J63" s="499" t="n">
        <f aca="false">D63*(G63/12)*I63</f>
        <v>0</v>
      </c>
    </row>
    <row r="64" customFormat="false" ht="20" hidden="false" customHeight="true" outlineLevel="0" collapsed="false">
      <c r="A64" s="500"/>
      <c r="B64" s="501" t="s">
        <v>141</v>
      </c>
      <c r="C64" s="501"/>
      <c r="D64" s="493"/>
      <c r="E64" s="494"/>
      <c r="F64" s="495"/>
      <c r="G64" s="496"/>
      <c r="H64" s="497"/>
      <c r="I64" s="498" t="n">
        <v>0.01</v>
      </c>
      <c r="J64" s="499" t="n">
        <f aca="false">D64*(G64/12)*I64</f>
        <v>0</v>
      </c>
      <c r="N64" s="433"/>
    </row>
    <row r="65" customFormat="false" ht="20" hidden="false" customHeight="true" outlineLevel="0" collapsed="false">
      <c r="A65" s="500"/>
      <c r="B65" s="501" t="s">
        <v>1005</v>
      </c>
      <c r="C65" s="501"/>
      <c r="D65" s="493"/>
      <c r="E65" s="494"/>
      <c r="F65" s="495"/>
      <c r="G65" s="496"/>
      <c r="H65" s="497"/>
      <c r="I65" s="498" t="n">
        <v>0.01</v>
      </c>
      <c r="J65" s="499" t="n">
        <f aca="false">D65*(G65/12)*I65</f>
        <v>0</v>
      </c>
    </row>
    <row r="66" customFormat="false" ht="20" hidden="false" customHeight="true" outlineLevel="0" collapsed="false">
      <c r="A66" s="500"/>
      <c r="B66" s="501" t="s">
        <v>143</v>
      </c>
      <c r="C66" s="501"/>
      <c r="D66" s="493"/>
      <c r="E66" s="494"/>
      <c r="F66" s="495"/>
      <c r="G66" s="496"/>
      <c r="H66" s="497"/>
      <c r="I66" s="498" t="n">
        <v>0.1</v>
      </c>
      <c r="J66" s="499" t="n">
        <f aca="false">D66*(G66/12)*I66</f>
        <v>0</v>
      </c>
    </row>
    <row r="67" customFormat="false" ht="20" hidden="false" customHeight="true" outlineLevel="0" collapsed="false">
      <c r="A67" s="500"/>
      <c r="B67" s="501" t="s">
        <v>144</v>
      </c>
      <c r="C67" s="501"/>
      <c r="D67" s="493"/>
      <c r="E67" s="494"/>
      <c r="F67" s="495"/>
      <c r="G67" s="496"/>
      <c r="H67" s="497"/>
      <c r="I67" s="498" t="n">
        <v>0.0131</v>
      </c>
      <c r="J67" s="499" t="n">
        <f aca="false">D67*(G67/12)*I67</f>
        <v>0</v>
      </c>
    </row>
    <row r="68" customFormat="false" ht="20" hidden="false" customHeight="true" outlineLevel="0" collapsed="false">
      <c r="A68" s="500"/>
      <c r="B68" s="501" t="s">
        <v>145</v>
      </c>
      <c r="C68" s="501"/>
      <c r="D68" s="493"/>
      <c r="E68" s="494"/>
      <c r="F68" s="495"/>
      <c r="G68" s="496"/>
      <c r="H68" s="497"/>
      <c r="I68" s="498" t="n">
        <v>0.0152</v>
      </c>
      <c r="J68" s="499" t="n">
        <f aca="false">D68*(G68/12)*I68</f>
        <v>0</v>
      </c>
    </row>
    <row r="69" customFormat="false" ht="20" hidden="false" customHeight="true" outlineLevel="0" collapsed="false">
      <c r="A69" s="500"/>
      <c r="B69" s="501" t="s">
        <v>146</v>
      </c>
      <c r="C69" s="501"/>
      <c r="D69" s="493"/>
      <c r="E69" s="494"/>
      <c r="F69" s="495"/>
      <c r="G69" s="496"/>
      <c r="H69" s="497"/>
      <c r="I69" s="498" t="n">
        <v>0.015</v>
      </c>
      <c r="J69" s="499" t="n">
        <f aca="false">D69*(G69/12)*I69</f>
        <v>0</v>
      </c>
    </row>
    <row r="70" customFormat="false" ht="20" hidden="false" customHeight="true" outlineLevel="0" collapsed="false">
      <c r="A70" s="500"/>
      <c r="B70" s="501" t="s">
        <v>147</v>
      </c>
      <c r="C70" s="501"/>
      <c r="D70" s="493"/>
      <c r="E70" s="494"/>
      <c r="F70" s="495"/>
      <c r="G70" s="496"/>
      <c r="H70" s="497"/>
      <c r="I70" s="498" t="n">
        <v>0.0055</v>
      </c>
      <c r="J70" s="499" t="n">
        <f aca="false">D70*(G70/12)*I70</f>
        <v>0</v>
      </c>
      <c r="M70" s="433"/>
      <c r="N70" s="433"/>
    </row>
    <row r="71" customFormat="false" ht="20" hidden="false" customHeight="true" outlineLevel="0" collapsed="false">
      <c r="A71" s="500"/>
      <c r="B71" s="501" t="s">
        <v>148</v>
      </c>
      <c r="C71" s="501"/>
      <c r="D71" s="493"/>
      <c r="E71" s="494"/>
      <c r="F71" s="495"/>
      <c r="G71" s="496"/>
      <c r="H71" s="497"/>
      <c r="I71" s="498" t="n">
        <v>0.02</v>
      </c>
      <c r="J71" s="499" t="n">
        <f aca="false">D71*(G71/12)*I71</f>
        <v>0</v>
      </c>
      <c r="M71" s="520"/>
      <c r="N71" s="520"/>
    </row>
    <row r="72" customFormat="false" ht="20" hidden="false" customHeight="true" outlineLevel="0" collapsed="false">
      <c r="A72" s="500"/>
      <c r="B72" s="501" t="s">
        <v>149</v>
      </c>
      <c r="C72" s="501"/>
      <c r="D72" s="493"/>
      <c r="E72" s="494"/>
      <c r="F72" s="495"/>
      <c r="G72" s="496"/>
      <c r="H72" s="497"/>
      <c r="I72" s="498" t="n">
        <v>0.02</v>
      </c>
      <c r="J72" s="499" t="n">
        <f aca="false">D72*(G72/12)*I72</f>
        <v>0</v>
      </c>
      <c r="M72" s="433"/>
      <c r="N72" s="433"/>
    </row>
    <row r="73" customFormat="false" ht="20" hidden="false" customHeight="true" outlineLevel="0" collapsed="false">
      <c r="A73" s="500"/>
      <c r="B73" s="501" t="s">
        <v>150</v>
      </c>
      <c r="C73" s="501"/>
      <c r="D73" s="493"/>
      <c r="E73" s="494"/>
      <c r="F73" s="495"/>
      <c r="G73" s="496"/>
      <c r="H73" s="497"/>
      <c r="I73" s="498" t="n">
        <v>0.02</v>
      </c>
      <c r="J73" s="499" t="n">
        <f aca="false">D73*(G73/12)*I73</f>
        <v>0</v>
      </c>
      <c r="M73" s="433"/>
    </row>
    <row r="74" customFormat="false" ht="20" hidden="false" customHeight="true" outlineLevel="0" collapsed="false">
      <c r="A74" s="481" t="s">
        <v>1006</v>
      </c>
      <c r="B74" s="507"/>
      <c r="C74" s="507"/>
      <c r="D74" s="508"/>
      <c r="E74" s="509"/>
      <c r="F74" s="510"/>
      <c r="G74" s="511"/>
      <c r="H74" s="509"/>
      <c r="I74" s="509"/>
      <c r="J74" s="512" t="n">
        <f aca="false">SUM(J75:J78)</f>
        <v>0</v>
      </c>
      <c r="M74" s="433"/>
    </row>
    <row r="75" customFormat="false" ht="20" hidden="false" customHeight="true" outlineLevel="0" collapsed="false">
      <c r="A75" s="521"/>
      <c r="B75" s="501" t="s">
        <v>152</v>
      </c>
      <c r="C75" s="501"/>
      <c r="D75" s="493"/>
      <c r="E75" s="494"/>
      <c r="F75" s="495"/>
      <c r="G75" s="496"/>
      <c r="H75" s="497"/>
      <c r="I75" s="506" t="n">
        <v>0.6</v>
      </c>
      <c r="J75" s="499" t="n">
        <f aca="false">D75*(G75/12)*I75</f>
        <v>0</v>
      </c>
      <c r="M75" s="433"/>
    </row>
    <row r="76" customFormat="false" ht="20" hidden="false" customHeight="true" outlineLevel="0" collapsed="false">
      <c r="A76" s="521"/>
      <c r="B76" s="501" t="s">
        <v>153</v>
      </c>
      <c r="C76" s="522"/>
      <c r="D76" s="493"/>
      <c r="E76" s="494"/>
      <c r="F76" s="495"/>
      <c r="G76" s="496"/>
      <c r="H76" s="497"/>
      <c r="I76" s="506" t="n">
        <v>0.6</v>
      </c>
      <c r="J76" s="499" t="n">
        <f aca="false">D76*(G76/12)*I76</f>
        <v>0</v>
      </c>
      <c r="M76" s="433"/>
    </row>
    <row r="77" customFormat="false" ht="20" hidden="false" customHeight="true" outlineLevel="0" collapsed="false">
      <c r="A77" s="521"/>
      <c r="B77" s="501" t="s">
        <v>1007</v>
      </c>
      <c r="C77" s="522"/>
      <c r="D77" s="493"/>
      <c r="E77" s="494"/>
      <c r="F77" s="495"/>
      <c r="G77" s="496"/>
      <c r="H77" s="497"/>
      <c r="I77" s="497"/>
      <c r="J77" s="499" t="n">
        <f aca="false">D77*(G77/12)*I77</f>
        <v>0</v>
      </c>
      <c r="M77" s="433"/>
    </row>
    <row r="78" customFormat="false" ht="20" hidden="false" customHeight="true" outlineLevel="0" collapsed="false">
      <c r="A78" s="521"/>
      <c r="B78" s="501" t="s">
        <v>155</v>
      </c>
      <c r="C78" s="522"/>
      <c r="D78" s="493"/>
      <c r="E78" s="494"/>
      <c r="F78" s="495"/>
      <c r="G78" s="496"/>
      <c r="H78" s="497"/>
      <c r="I78" s="497"/>
      <c r="J78" s="499" t="n">
        <f aca="false">D78*(G78/12)*I78</f>
        <v>0</v>
      </c>
    </row>
    <row r="79" customFormat="false" ht="20" hidden="false" customHeight="true" outlineLevel="0" collapsed="false">
      <c r="A79" s="481" t="s">
        <v>1008</v>
      </c>
      <c r="B79" s="523"/>
      <c r="C79" s="524"/>
      <c r="D79" s="515"/>
      <c r="E79" s="516"/>
      <c r="F79" s="517"/>
      <c r="G79" s="518"/>
      <c r="H79" s="516"/>
      <c r="I79" s="525"/>
      <c r="J79" s="512" t="n">
        <f aca="false">SUM(J80:J81)</f>
        <v>0</v>
      </c>
    </row>
    <row r="80" customFormat="false" ht="20" hidden="false" customHeight="true" outlineLevel="0" collapsed="false">
      <c r="A80" s="526" t="s">
        <v>1009</v>
      </c>
      <c r="B80" s="527" t="s">
        <v>1010</v>
      </c>
      <c r="C80" s="527"/>
      <c r="D80" s="493"/>
      <c r="E80" s="494"/>
      <c r="F80" s="495"/>
      <c r="G80" s="496"/>
      <c r="H80" s="497"/>
      <c r="I80" s="497"/>
      <c r="J80" s="528" t="n">
        <f aca="false">D80*(G80/12)*I80</f>
        <v>0</v>
      </c>
      <c r="M80" s="469"/>
      <c r="N80" s="418"/>
      <c r="O80" s="418"/>
      <c r="P80" s="418"/>
      <c r="Q80" s="418"/>
      <c r="R80" s="418"/>
    </row>
    <row r="81" s="70" customFormat="true" ht="20" hidden="false" customHeight="true" outlineLevel="0" collapsed="false">
      <c r="A81" s="529" t="s">
        <v>1009</v>
      </c>
      <c r="B81" s="530" t="s">
        <v>1010</v>
      </c>
      <c r="C81" s="530"/>
      <c r="D81" s="531"/>
      <c r="E81" s="532"/>
      <c r="F81" s="533"/>
      <c r="G81" s="534"/>
      <c r="H81" s="535"/>
      <c r="I81" s="535"/>
      <c r="J81" s="536" t="n">
        <f aca="false">D81*(G81/12)*I81</f>
        <v>0</v>
      </c>
      <c r="M81" s="469"/>
      <c r="N81" s="418"/>
      <c r="O81" s="418"/>
      <c r="P81" s="418"/>
      <c r="Q81" s="418"/>
      <c r="R81" s="418"/>
    </row>
    <row r="82" s="70" customFormat="true" ht="20" hidden="false" customHeight="true" outlineLevel="0" collapsed="false">
      <c r="A82" s="537"/>
      <c r="B82" s="538"/>
      <c r="C82" s="538"/>
      <c r="D82" s="539"/>
      <c r="E82" s="539"/>
      <c r="F82" s="540"/>
      <c r="G82" s="541"/>
      <c r="H82" s="542"/>
      <c r="I82" s="542"/>
      <c r="J82" s="542"/>
      <c r="K82" s="543"/>
      <c r="L82" s="544"/>
      <c r="M82" s="11"/>
      <c r="P82" s="469"/>
      <c r="Q82" s="418"/>
      <c r="R82" s="418"/>
      <c r="S82" s="418"/>
      <c r="T82" s="418"/>
      <c r="U82" s="418"/>
    </row>
    <row r="83" customFormat="false" ht="20" hidden="false" customHeight="true" outlineLevel="0" collapsed="false">
      <c r="A83" s="70"/>
      <c r="B83" s="545"/>
      <c r="C83" s="546"/>
      <c r="D83" s="547" t="s">
        <v>1011</v>
      </c>
      <c r="F83" s="548" t="s">
        <v>1012</v>
      </c>
      <c r="H83" s="549" t="s">
        <v>1013</v>
      </c>
      <c r="I83" s="550" t="n">
        <f aca="false">J79+J59+J53+J47+J36+J74</f>
        <v>154.2</v>
      </c>
      <c r="J83" s="382"/>
      <c r="K83" s="472"/>
      <c r="L83" s="419"/>
      <c r="M83" s="551"/>
      <c r="N83" s="418"/>
      <c r="O83" s="418"/>
      <c r="P83" s="418"/>
    </row>
    <row r="84" customFormat="false" ht="20" hidden="false" customHeight="true" outlineLevel="0" collapsed="false">
      <c r="A84" s="552"/>
      <c r="B84" s="552"/>
      <c r="C84" s="69"/>
      <c r="D84" s="550" t="n">
        <f aca="false">SUM(D37:D81)</f>
        <v>346</v>
      </c>
      <c r="E84" s="548"/>
      <c r="F84" s="550" t="n">
        <f aca="false">SUM(F37:F81)</f>
        <v>0</v>
      </c>
      <c r="H84" s="463" t="s">
        <v>1014</v>
      </c>
      <c r="I84" s="550" t="n">
        <f aca="false">J36+J47+J74</f>
        <v>154.2</v>
      </c>
      <c r="J84" s="433"/>
      <c r="K84" s="553"/>
      <c r="L84" s="554"/>
      <c r="M84" s="554"/>
      <c r="N84" s="472"/>
      <c r="O84" s="472"/>
      <c r="P84" s="472"/>
    </row>
    <row r="85" customFormat="false" ht="20" hidden="false" customHeight="true" outlineLevel="0" collapsed="false">
      <c r="A85" s="552"/>
      <c r="B85" s="552"/>
      <c r="C85" s="69"/>
      <c r="D85" s="547" t="s">
        <v>1015</v>
      </c>
      <c r="E85" s="69"/>
      <c r="F85" s="548" t="s">
        <v>1016</v>
      </c>
      <c r="H85" s="555" t="s">
        <v>1017</v>
      </c>
      <c r="I85" s="550" t="n">
        <f aca="false">J59+J53</f>
        <v>0</v>
      </c>
      <c r="J85" s="433"/>
      <c r="K85" s="470"/>
      <c r="L85" s="553"/>
      <c r="M85" s="554"/>
      <c r="N85" s="554"/>
      <c r="O85" s="417"/>
      <c r="P85" s="418"/>
    </row>
    <row r="86" customFormat="false" ht="20" hidden="false" customHeight="true" outlineLevel="0" collapsed="false">
      <c r="C86" s="469"/>
      <c r="D86" s="550" t="n">
        <f aca="false">SUM(D37:D38,D48:D49,D54,D60,D65,D76,D78)</f>
        <v>231</v>
      </c>
      <c r="E86" s="469"/>
      <c r="F86" s="550" t="n">
        <f aca="false">SUM(F37:F38,F48:F49,F54,F60,F65,F76,F78)</f>
        <v>0</v>
      </c>
      <c r="G86" s="469"/>
      <c r="H86" s="470"/>
      <c r="J86" s="470"/>
      <c r="N86" s="470"/>
      <c r="O86" s="553"/>
      <c r="P86" s="554"/>
      <c r="Q86" s="554"/>
      <c r="R86" s="418"/>
      <c r="S86" s="418"/>
    </row>
    <row r="87" customFormat="false" ht="20" hidden="false" customHeight="true" outlineLevel="0" collapsed="false">
      <c r="C87" s="469"/>
      <c r="D87" s="469"/>
      <c r="E87" s="469"/>
      <c r="F87" s="469"/>
      <c r="G87" s="469"/>
      <c r="H87" s="470"/>
      <c r="J87" s="470"/>
      <c r="N87" s="470"/>
      <c r="O87" s="553"/>
      <c r="P87" s="554"/>
      <c r="Q87" s="554"/>
      <c r="R87" s="418"/>
      <c r="S87" s="418"/>
    </row>
    <row r="88" customFormat="false" ht="20" hidden="false" customHeight="true" outlineLevel="0" collapsed="false">
      <c r="A88" s="467" t="s">
        <v>1018</v>
      </c>
      <c r="B88" s="420"/>
      <c r="C88" s="469"/>
      <c r="D88" s="469"/>
      <c r="E88" s="469"/>
      <c r="F88" s="469"/>
      <c r="G88" s="469"/>
      <c r="H88" s="470"/>
      <c r="I88" s="470"/>
      <c r="J88" s="470"/>
      <c r="L88" s="11" t="s">
        <v>1019</v>
      </c>
      <c r="N88" s="470"/>
      <c r="O88" s="553"/>
      <c r="P88" s="554"/>
      <c r="Q88" s="554"/>
      <c r="R88" s="418"/>
      <c r="S88" s="418"/>
    </row>
    <row r="89" s="470" customFormat="true" ht="20" hidden="false" customHeight="true" outlineLevel="0" collapsed="false">
      <c r="A89" s="469"/>
      <c r="B89" s="469"/>
      <c r="C89" s="469"/>
      <c r="D89" s="469"/>
      <c r="E89" s="469"/>
      <c r="F89" s="469"/>
      <c r="G89" s="556"/>
      <c r="H89" s="556"/>
      <c r="I89" s="418"/>
      <c r="J89" s="557"/>
      <c r="K89" s="558"/>
      <c r="L89" s="469"/>
      <c r="M89" s="469"/>
      <c r="O89" s="553"/>
      <c r="P89" s="554"/>
      <c r="Q89" s="554"/>
      <c r="R89" s="418"/>
      <c r="S89" s="418"/>
      <c r="T89" s="559"/>
      <c r="W89" s="553"/>
      <c r="X89" s="554"/>
      <c r="Y89" s="554"/>
    </row>
    <row r="90" customFormat="false" ht="20" hidden="false" customHeight="true" outlineLevel="0" collapsed="false">
      <c r="A90" s="560"/>
      <c r="B90" s="561"/>
      <c r="C90" s="562" t="s">
        <v>168</v>
      </c>
      <c r="D90" s="563"/>
      <c r="E90" s="563"/>
      <c r="F90" s="562" t="s">
        <v>169</v>
      </c>
      <c r="G90" s="564"/>
      <c r="J90" s="558"/>
      <c r="K90" s="469"/>
      <c r="L90" s="469"/>
      <c r="M90" s="554"/>
      <c r="N90" s="554"/>
      <c r="O90" s="418"/>
      <c r="P90" s="418"/>
      <c r="Q90" s="565"/>
      <c r="T90" s="553"/>
      <c r="U90" s="554"/>
      <c r="V90" s="554"/>
    </row>
    <row r="91" s="469" customFormat="true" ht="20" hidden="false" customHeight="true" outlineLevel="0" collapsed="false">
      <c r="A91" s="566" t="s">
        <v>1020</v>
      </c>
      <c r="B91" s="567" t="s">
        <v>171</v>
      </c>
      <c r="C91" s="568"/>
      <c r="D91" s="569" t="s">
        <v>1021</v>
      </c>
      <c r="E91" s="570" t="s">
        <v>1022</v>
      </c>
      <c r="F91" s="571"/>
      <c r="G91" s="572" t="s">
        <v>173</v>
      </c>
      <c r="J91" s="573"/>
      <c r="K91" s="472"/>
      <c r="L91" s="472"/>
      <c r="M91" s="554"/>
      <c r="N91" s="554"/>
      <c r="O91" s="418"/>
      <c r="P91" s="418"/>
      <c r="Q91" s="418"/>
      <c r="R91" s="418"/>
      <c r="S91" s="418"/>
      <c r="T91" s="470"/>
      <c r="U91" s="553"/>
      <c r="V91" s="554"/>
      <c r="W91" s="554"/>
    </row>
    <row r="92" s="472" customFormat="true" ht="20" hidden="false" customHeight="true" outlineLevel="0" collapsed="false">
      <c r="A92" s="566"/>
      <c r="B92" s="567" t="s">
        <v>174</v>
      </c>
      <c r="C92" s="568"/>
      <c r="D92" s="569" t="s">
        <v>1021</v>
      </c>
      <c r="E92" s="570" t="s">
        <v>1022</v>
      </c>
      <c r="F92" s="571"/>
      <c r="G92" s="572" t="s">
        <v>173</v>
      </c>
      <c r="J92" s="574"/>
      <c r="K92" s="419"/>
      <c r="L92" s="470"/>
      <c r="M92" s="575"/>
      <c r="N92" s="575"/>
      <c r="O92" s="418"/>
      <c r="P92" s="418"/>
    </row>
    <row r="93" s="469" customFormat="true" ht="20" hidden="false" customHeight="true" outlineLevel="0" collapsed="false">
      <c r="A93" s="566"/>
      <c r="B93" s="567" t="s">
        <v>175</v>
      </c>
      <c r="C93" s="568"/>
      <c r="D93" s="569" t="s">
        <v>1021</v>
      </c>
      <c r="E93" s="570" t="s">
        <v>1022</v>
      </c>
      <c r="F93" s="571"/>
      <c r="G93" s="572" t="s">
        <v>173</v>
      </c>
      <c r="J93" s="576"/>
      <c r="K93" s="565"/>
      <c r="L93" s="565"/>
      <c r="M93" s="575"/>
      <c r="N93" s="575"/>
      <c r="O93" s="418"/>
      <c r="P93" s="418"/>
      <c r="Q93" s="418"/>
      <c r="R93" s="418"/>
      <c r="S93" s="418"/>
      <c r="T93" s="418"/>
      <c r="U93" s="418"/>
      <c r="V93" s="418"/>
    </row>
    <row r="94" customFormat="false" ht="20" hidden="false" customHeight="true" outlineLevel="0" collapsed="false">
      <c r="A94" s="566"/>
      <c r="B94" s="577"/>
      <c r="C94" s="578"/>
      <c r="D94" s="579"/>
      <c r="E94" s="580"/>
      <c r="F94" s="581"/>
      <c r="G94" s="582"/>
      <c r="J94" s="576"/>
      <c r="K94" s="565"/>
      <c r="L94" s="565"/>
      <c r="M94" s="583"/>
      <c r="N94" s="583"/>
      <c r="O94" s="418"/>
      <c r="P94" s="418"/>
      <c r="Q94" s="418"/>
      <c r="R94" s="418"/>
      <c r="S94" s="418"/>
      <c r="T94" s="418"/>
      <c r="U94" s="418"/>
      <c r="V94" s="418"/>
    </row>
    <row r="95" customFormat="false" ht="20" hidden="false" customHeight="true" outlineLevel="0" collapsed="false">
      <c r="A95" s="584"/>
      <c r="B95" s="585"/>
      <c r="C95" s="585"/>
      <c r="D95" s="585"/>
      <c r="E95" s="585"/>
      <c r="F95" s="585"/>
      <c r="G95" s="585"/>
      <c r="J95" s="418"/>
      <c r="K95" s="586"/>
      <c r="L95" s="418"/>
      <c r="M95" s="565"/>
      <c r="N95" s="565"/>
      <c r="O95" s="418"/>
      <c r="P95" s="418"/>
      <c r="Q95" s="418"/>
      <c r="R95" s="587"/>
      <c r="S95" s="587"/>
      <c r="T95" s="587"/>
      <c r="U95" s="418"/>
      <c r="V95" s="418"/>
      <c r="W95" s="418"/>
    </row>
    <row r="96" customFormat="false" ht="48.75" hidden="false" customHeight="true" outlineLevel="0" collapsed="false">
      <c r="A96" s="588" t="s">
        <v>1023</v>
      </c>
      <c r="B96" s="589" t="s">
        <v>1024</v>
      </c>
      <c r="C96" s="589" t="s">
        <v>1025</v>
      </c>
      <c r="D96" s="590" t="s">
        <v>1026</v>
      </c>
      <c r="E96" s="591" t="s">
        <v>1027</v>
      </c>
      <c r="G96" s="588" t="s">
        <v>1028</v>
      </c>
      <c r="H96" s="589" t="s">
        <v>1029</v>
      </c>
      <c r="I96" s="589" t="s">
        <v>1025</v>
      </c>
      <c r="J96" s="590" t="s">
        <v>1030</v>
      </c>
      <c r="K96" s="591" t="s">
        <v>296</v>
      </c>
      <c r="L96" s="591"/>
      <c r="M96" s="592"/>
      <c r="N96" s="592"/>
      <c r="O96" s="418"/>
      <c r="P96" s="418"/>
      <c r="Q96" s="418"/>
      <c r="R96" s="587"/>
      <c r="S96" s="587"/>
      <c r="T96" s="587"/>
      <c r="U96" s="418"/>
      <c r="V96" s="418"/>
      <c r="W96" s="418"/>
    </row>
    <row r="97" customFormat="false" ht="20" hidden="false" customHeight="true" outlineLevel="0" collapsed="false">
      <c r="A97" s="593"/>
      <c r="B97" s="594"/>
      <c r="C97" s="569" t="s">
        <v>540</v>
      </c>
      <c r="D97" s="569" t="s">
        <v>1031</v>
      </c>
      <c r="E97" s="572"/>
      <c r="G97" s="593"/>
      <c r="H97" s="569"/>
      <c r="I97" s="569" t="s">
        <v>540</v>
      </c>
      <c r="J97" s="569" t="s">
        <v>1031</v>
      </c>
      <c r="K97" s="572"/>
      <c r="L97" s="572"/>
      <c r="M97" s="592"/>
      <c r="N97" s="592"/>
      <c r="O97" s="418"/>
      <c r="P97" s="418"/>
      <c r="Q97" s="418"/>
      <c r="R97" s="587"/>
      <c r="S97" s="587"/>
      <c r="T97" s="587"/>
      <c r="U97" s="418"/>
      <c r="V97" s="418"/>
      <c r="W97" s="418"/>
    </row>
    <row r="98" customFormat="false" ht="20" hidden="false" customHeight="true" outlineLevel="0" collapsed="false">
      <c r="A98" s="481" t="s">
        <v>1032</v>
      </c>
      <c r="B98" s="595"/>
      <c r="C98" s="595"/>
      <c r="D98" s="596"/>
      <c r="E98" s="597"/>
      <c r="G98" s="481" t="s">
        <v>1032</v>
      </c>
      <c r="H98" s="595"/>
      <c r="I98" s="595"/>
      <c r="J98" s="595"/>
      <c r="K98" s="598"/>
      <c r="L98" s="598"/>
      <c r="M98" s="592"/>
      <c r="N98" s="592"/>
      <c r="O98" s="418"/>
      <c r="P98" s="418"/>
      <c r="Q98" s="418"/>
      <c r="R98" s="587"/>
      <c r="S98" s="587"/>
      <c r="T98" s="587"/>
      <c r="U98" s="418"/>
      <c r="V98" s="418"/>
      <c r="W98" s="418"/>
    </row>
    <row r="99" customFormat="false" ht="20" hidden="false" customHeight="true" outlineLevel="0" collapsed="false">
      <c r="A99" s="599" t="s">
        <v>1033</v>
      </c>
      <c r="B99" s="571"/>
      <c r="C99" s="571"/>
      <c r="D99" s="600" t="n">
        <f aca="false">C99*B99/1000</f>
        <v>0</v>
      </c>
      <c r="E99" s="601"/>
      <c r="G99" s="599" t="s">
        <v>1033</v>
      </c>
      <c r="H99" s="494" t="n">
        <v>18</v>
      </c>
      <c r="I99" s="494" t="n">
        <v>430</v>
      </c>
      <c r="J99" s="600" t="n">
        <f aca="false">I99*H99/1000</f>
        <v>7.74</v>
      </c>
      <c r="K99" s="602" t="s">
        <v>1034</v>
      </c>
      <c r="L99" s="602"/>
      <c r="M99" s="592"/>
      <c r="Q99" s="418"/>
      <c r="R99" s="587"/>
      <c r="S99" s="587"/>
      <c r="T99" s="587"/>
      <c r="U99" s="418"/>
      <c r="V99" s="418"/>
      <c r="W99" s="418"/>
    </row>
    <row r="100" customFormat="false" ht="20" hidden="false" customHeight="true" outlineLevel="0" collapsed="false">
      <c r="A100" s="599" t="s">
        <v>1035</v>
      </c>
      <c r="B100" s="571"/>
      <c r="C100" s="571"/>
      <c r="D100" s="600" t="n">
        <f aca="false">C100*B100/1000</f>
        <v>0</v>
      </c>
      <c r="E100" s="601"/>
      <c r="G100" s="599" t="s">
        <v>1035</v>
      </c>
      <c r="H100" s="494" t="n">
        <v>35</v>
      </c>
      <c r="I100" s="494" t="n">
        <v>400</v>
      </c>
      <c r="J100" s="600" t="n">
        <f aca="false">I100*H100/1000</f>
        <v>14</v>
      </c>
      <c r="K100" s="602" t="s">
        <v>1034</v>
      </c>
      <c r="L100" s="602"/>
      <c r="M100" s="592"/>
      <c r="N100" s="592"/>
      <c r="O100" s="418"/>
      <c r="P100" s="418"/>
      <c r="Q100" s="418"/>
      <c r="R100" s="587"/>
      <c r="S100" s="587"/>
      <c r="T100" s="587"/>
      <c r="U100" s="418"/>
      <c r="V100" s="418"/>
      <c r="W100" s="418"/>
    </row>
    <row r="101" customFormat="false" ht="20" hidden="false" customHeight="true" outlineLevel="0" collapsed="false">
      <c r="A101" s="599" t="s">
        <v>1036</v>
      </c>
      <c r="B101" s="571"/>
      <c r="C101" s="571"/>
      <c r="D101" s="600" t="n">
        <f aca="false">C101*B101/1000</f>
        <v>0</v>
      </c>
      <c r="E101" s="601"/>
      <c r="G101" s="599" t="s">
        <v>1036</v>
      </c>
      <c r="H101" s="603" t="n">
        <v>45</v>
      </c>
      <c r="I101" s="494" t="n">
        <v>380</v>
      </c>
      <c r="J101" s="600" t="n">
        <f aca="false">I101*H101/1000</f>
        <v>17.1</v>
      </c>
      <c r="K101" s="602" t="s">
        <v>1034</v>
      </c>
      <c r="L101" s="602"/>
      <c r="M101" s="592"/>
      <c r="N101" s="592"/>
      <c r="O101" s="418"/>
      <c r="P101" s="418"/>
      <c r="Q101" s="418"/>
      <c r="R101" s="587"/>
      <c r="S101" s="587"/>
      <c r="T101" s="587"/>
      <c r="U101" s="418"/>
      <c r="V101" s="418"/>
      <c r="W101" s="418"/>
    </row>
    <row r="102" customFormat="false" ht="20" hidden="false" customHeight="true" outlineLevel="0" collapsed="false">
      <c r="A102" s="599" t="s">
        <v>1037</v>
      </c>
      <c r="B102" s="571"/>
      <c r="C102" s="571"/>
      <c r="D102" s="600" t="n">
        <f aca="false">C102*B102/1000</f>
        <v>0</v>
      </c>
      <c r="E102" s="601"/>
      <c r="G102" s="599" t="s">
        <v>1037</v>
      </c>
      <c r="H102" s="494"/>
      <c r="I102" s="494"/>
      <c r="J102" s="600" t="n">
        <f aca="false">I102*H102/1000</f>
        <v>0</v>
      </c>
      <c r="K102" s="602"/>
      <c r="L102" s="602"/>
      <c r="M102" s="592"/>
      <c r="N102" s="592"/>
      <c r="O102" s="418"/>
      <c r="P102" s="418"/>
      <c r="Q102" s="418"/>
      <c r="R102" s="587"/>
      <c r="S102" s="587"/>
      <c r="T102" s="587"/>
      <c r="U102" s="418"/>
      <c r="V102" s="418"/>
      <c r="W102" s="418"/>
    </row>
    <row r="103" customFormat="false" ht="20" hidden="false" customHeight="true" outlineLevel="0" collapsed="false">
      <c r="A103" s="599" t="s">
        <v>1038</v>
      </c>
      <c r="B103" s="571" t="n">
        <v>1</v>
      </c>
      <c r="C103" s="571"/>
      <c r="D103" s="600" t="n">
        <f aca="false">C103*B103/1000</f>
        <v>0</v>
      </c>
      <c r="E103" s="601" t="s">
        <v>1039</v>
      </c>
      <c r="G103" s="599" t="s">
        <v>1038</v>
      </c>
      <c r="H103" s="494"/>
      <c r="I103" s="494"/>
      <c r="J103" s="600" t="n">
        <f aca="false">I103*H103/1000</f>
        <v>0</v>
      </c>
      <c r="K103" s="602"/>
      <c r="L103" s="602"/>
      <c r="M103" s="592"/>
      <c r="N103" s="592"/>
      <c r="O103" s="418"/>
      <c r="P103" s="418"/>
      <c r="Q103" s="418"/>
      <c r="R103" s="587"/>
      <c r="S103" s="587"/>
      <c r="T103" s="587"/>
      <c r="U103" s="418"/>
      <c r="V103" s="418"/>
      <c r="W103" s="418"/>
    </row>
    <row r="104" customFormat="false" ht="20" hidden="false" customHeight="true" outlineLevel="0" collapsed="false">
      <c r="A104" s="599" t="s">
        <v>1040</v>
      </c>
      <c r="B104" s="571"/>
      <c r="C104" s="571"/>
      <c r="D104" s="600" t="n">
        <f aca="false">C104*B104/1000</f>
        <v>0</v>
      </c>
      <c r="E104" s="601"/>
      <c r="G104" s="599" t="s">
        <v>1040</v>
      </c>
      <c r="H104" s="494"/>
      <c r="I104" s="494"/>
      <c r="J104" s="600" t="n">
        <f aca="false">I104*H104/1000</f>
        <v>0</v>
      </c>
      <c r="K104" s="602"/>
      <c r="L104" s="602"/>
      <c r="M104" s="592"/>
      <c r="N104" s="592"/>
      <c r="O104" s="604"/>
      <c r="P104" s="604"/>
      <c r="Q104" s="418"/>
      <c r="R104" s="587"/>
      <c r="S104" s="587"/>
      <c r="T104" s="587"/>
      <c r="U104" s="418"/>
      <c r="V104" s="418"/>
      <c r="W104" s="418"/>
    </row>
    <row r="105" customFormat="false" ht="20" hidden="false" customHeight="true" outlineLevel="0" collapsed="false">
      <c r="A105" s="599" t="s">
        <v>1041</v>
      </c>
      <c r="B105" s="571"/>
      <c r="C105" s="571"/>
      <c r="D105" s="600" t="n">
        <f aca="false">C105*B105/1000</f>
        <v>0</v>
      </c>
      <c r="E105" s="601"/>
      <c r="G105" s="599" t="s">
        <v>1041</v>
      </c>
      <c r="H105" s="494"/>
      <c r="I105" s="494"/>
      <c r="J105" s="600" t="n">
        <f aca="false">I105*H105/1000</f>
        <v>0</v>
      </c>
      <c r="K105" s="602"/>
      <c r="L105" s="602"/>
      <c r="M105" s="592"/>
      <c r="N105" s="592"/>
      <c r="O105" s="604"/>
      <c r="P105" s="604"/>
      <c r="Q105" s="418"/>
      <c r="R105" s="587"/>
      <c r="S105" s="587"/>
      <c r="T105" s="587"/>
      <c r="U105" s="418"/>
      <c r="V105" s="418"/>
      <c r="W105" s="418"/>
    </row>
    <row r="106" customFormat="false" ht="20" hidden="false" customHeight="true" outlineLevel="0" collapsed="false">
      <c r="A106" s="599" t="s">
        <v>1042</v>
      </c>
      <c r="B106" s="571"/>
      <c r="C106" s="571"/>
      <c r="D106" s="600" t="n">
        <f aca="false">C106*B106/1000</f>
        <v>0</v>
      </c>
      <c r="E106" s="601"/>
      <c r="G106" s="599" t="s">
        <v>1042</v>
      </c>
      <c r="H106" s="494"/>
      <c r="I106" s="494"/>
      <c r="J106" s="600" t="n">
        <f aca="false">I106*H106/1000</f>
        <v>0</v>
      </c>
      <c r="K106" s="602"/>
      <c r="L106" s="602"/>
      <c r="M106" s="592"/>
      <c r="N106" s="592"/>
      <c r="O106" s="604"/>
      <c r="P106" s="604"/>
      <c r="Q106" s="418"/>
      <c r="R106" s="587"/>
      <c r="S106" s="587"/>
      <c r="T106" s="587"/>
      <c r="U106" s="418"/>
      <c r="V106" s="418"/>
      <c r="W106" s="418"/>
    </row>
    <row r="107" s="469" customFormat="true" ht="20" hidden="false" customHeight="true" outlineLevel="0" collapsed="false">
      <c r="A107" s="481" t="s">
        <v>1043</v>
      </c>
      <c r="B107" s="595"/>
      <c r="C107" s="595"/>
      <c r="D107" s="596"/>
      <c r="E107" s="597"/>
      <c r="G107" s="481" t="s">
        <v>1043</v>
      </c>
      <c r="H107" s="595"/>
      <c r="I107" s="595"/>
      <c r="J107" s="605"/>
      <c r="K107" s="598"/>
      <c r="L107" s="598"/>
      <c r="M107" s="592"/>
      <c r="N107" s="592"/>
      <c r="O107" s="604"/>
      <c r="P107" s="604"/>
      <c r="Q107" s="418"/>
      <c r="R107" s="587"/>
      <c r="S107" s="587"/>
      <c r="T107" s="587"/>
      <c r="U107" s="418"/>
      <c r="V107" s="418"/>
      <c r="W107" s="418"/>
    </row>
    <row r="108" customFormat="false" ht="20" hidden="false" customHeight="true" outlineLevel="0" collapsed="false">
      <c r="A108" s="599" t="s">
        <v>1044</v>
      </c>
      <c r="B108" s="571"/>
      <c r="C108" s="571"/>
      <c r="D108" s="600" t="n">
        <f aca="false">C108*B108/1000</f>
        <v>0</v>
      </c>
      <c r="E108" s="601"/>
      <c r="F108" s="469"/>
      <c r="G108" s="599" t="s">
        <v>1044</v>
      </c>
      <c r="H108" s="494"/>
      <c r="I108" s="494"/>
      <c r="J108" s="600" t="n">
        <f aca="false">I108*H108/1000</f>
        <v>0</v>
      </c>
      <c r="K108" s="602"/>
      <c r="L108" s="602"/>
      <c r="M108" s="592"/>
      <c r="N108" s="592"/>
      <c r="O108" s="604"/>
      <c r="P108" s="604"/>
      <c r="Q108" s="418"/>
      <c r="R108" s="587"/>
      <c r="S108" s="587"/>
      <c r="T108" s="587"/>
      <c r="U108" s="418"/>
      <c r="V108" s="418"/>
      <c r="W108" s="418"/>
    </row>
    <row r="109" customFormat="false" ht="20" hidden="false" customHeight="true" outlineLevel="0" collapsed="false">
      <c r="A109" s="599" t="s">
        <v>1045</v>
      </c>
      <c r="B109" s="571"/>
      <c r="C109" s="571"/>
      <c r="D109" s="600" t="n">
        <f aca="false">C109*B109/1000</f>
        <v>0</v>
      </c>
      <c r="E109" s="601"/>
      <c r="F109" s="469"/>
      <c r="G109" s="599" t="s">
        <v>1045</v>
      </c>
      <c r="H109" s="494" t="n">
        <v>80</v>
      </c>
      <c r="I109" s="494" t="n">
        <v>19</v>
      </c>
      <c r="J109" s="600" t="n">
        <f aca="false">I109*H109/1000</f>
        <v>1.52</v>
      </c>
      <c r="K109" s="602" t="s">
        <v>1034</v>
      </c>
      <c r="L109" s="602"/>
      <c r="M109" s="592"/>
      <c r="N109" s="592"/>
      <c r="O109" s="604"/>
      <c r="P109" s="604"/>
      <c r="Q109" s="418"/>
      <c r="R109" s="587"/>
      <c r="S109" s="587"/>
      <c r="T109" s="587"/>
      <c r="U109" s="418"/>
      <c r="V109" s="418"/>
      <c r="W109" s="418"/>
    </row>
    <row r="110" customFormat="false" ht="20" hidden="false" customHeight="true" outlineLevel="0" collapsed="false">
      <c r="A110" s="599" t="s">
        <v>1046</v>
      </c>
      <c r="B110" s="571"/>
      <c r="C110" s="571"/>
      <c r="D110" s="600" t="n">
        <f aca="false">C110*B110/1000</f>
        <v>0</v>
      </c>
      <c r="E110" s="601"/>
      <c r="F110" s="469"/>
      <c r="G110" s="599" t="s">
        <v>1046</v>
      </c>
      <c r="H110" s="494"/>
      <c r="I110" s="494"/>
      <c r="J110" s="600" t="n">
        <f aca="false">I110*H110/1000</f>
        <v>0</v>
      </c>
      <c r="K110" s="602"/>
      <c r="L110" s="602"/>
      <c r="M110" s="592"/>
      <c r="N110" s="592"/>
      <c r="O110" s="604"/>
      <c r="P110" s="604"/>
      <c r="Q110" s="418"/>
      <c r="R110" s="587"/>
      <c r="S110" s="587"/>
      <c r="T110" s="587"/>
      <c r="U110" s="418"/>
      <c r="V110" s="418"/>
      <c r="W110" s="418"/>
    </row>
    <row r="111" customFormat="false" ht="20" hidden="false" customHeight="true" outlineLevel="0" collapsed="false">
      <c r="A111" s="606" t="s">
        <v>1047</v>
      </c>
      <c r="B111" s="607"/>
      <c r="C111" s="571"/>
      <c r="D111" s="600" t="n">
        <f aca="false">C111*B111/1000</f>
        <v>0</v>
      </c>
      <c r="E111" s="601"/>
      <c r="F111" s="469"/>
      <c r="G111" s="606" t="s">
        <v>1047</v>
      </c>
      <c r="H111" s="494"/>
      <c r="I111" s="494"/>
      <c r="J111" s="600" t="n">
        <f aca="false">I111*H111/1000</f>
        <v>0</v>
      </c>
      <c r="K111" s="602"/>
      <c r="L111" s="602"/>
      <c r="M111" s="592"/>
      <c r="N111" s="592"/>
      <c r="O111" s="604"/>
      <c r="P111" s="604"/>
      <c r="Q111" s="604"/>
      <c r="R111" s="587"/>
      <c r="S111" s="587"/>
      <c r="T111" s="587"/>
      <c r="U111" s="418"/>
      <c r="V111" s="418"/>
      <c r="W111" s="418"/>
    </row>
    <row r="112" customFormat="false" ht="20" hidden="false" customHeight="true" outlineLevel="0" collapsed="false">
      <c r="A112" s="481" t="s">
        <v>1048</v>
      </c>
      <c r="B112" s="595"/>
      <c r="C112" s="595"/>
      <c r="D112" s="605"/>
      <c r="E112" s="597"/>
      <c r="F112" s="469"/>
      <c r="G112" s="481" t="s">
        <v>1048</v>
      </c>
      <c r="H112" s="595"/>
      <c r="I112" s="595"/>
      <c r="J112" s="605"/>
      <c r="K112" s="598"/>
      <c r="L112" s="598"/>
      <c r="M112" s="592"/>
      <c r="N112" s="592"/>
      <c r="O112" s="418"/>
      <c r="P112" s="418"/>
      <c r="Q112" s="604"/>
      <c r="R112" s="587"/>
      <c r="S112" s="587"/>
      <c r="T112" s="587"/>
      <c r="U112" s="418"/>
      <c r="V112" s="418"/>
      <c r="W112" s="418"/>
    </row>
    <row r="113" customFormat="false" ht="20" hidden="false" customHeight="true" outlineLevel="0" collapsed="false">
      <c r="A113" s="599" t="s">
        <v>131</v>
      </c>
      <c r="B113" s="571"/>
      <c r="C113" s="571"/>
      <c r="D113" s="600" t="n">
        <f aca="false">C113*B113/1000</f>
        <v>0</v>
      </c>
      <c r="E113" s="601"/>
      <c r="F113" s="469"/>
      <c r="G113" s="599" t="s">
        <v>131</v>
      </c>
      <c r="H113" s="494"/>
      <c r="I113" s="494"/>
      <c r="J113" s="600" t="n">
        <f aca="false">I113*H113/1000</f>
        <v>0</v>
      </c>
      <c r="K113" s="602"/>
      <c r="L113" s="602"/>
      <c r="M113" s="592"/>
      <c r="N113" s="592"/>
      <c r="O113" s="604"/>
      <c r="P113" s="604"/>
      <c r="Q113" s="604"/>
      <c r="R113" s="587"/>
      <c r="S113" s="587"/>
      <c r="T113" s="587"/>
      <c r="U113" s="418"/>
      <c r="V113" s="418"/>
      <c r="W113" s="418"/>
    </row>
    <row r="114" customFormat="false" ht="20" hidden="false" customHeight="true" outlineLevel="0" collapsed="false">
      <c r="A114" s="599" t="s">
        <v>1049</v>
      </c>
      <c r="B114" s="571"/>
      <c r="C114" s="571"/>
      <c r="D114" s="600" t="n">
        <f aca="false">C114*B114/1000</f>
        <v>0</v>
      </c>
      <c r="E114" s="601"/>
      <c r="F114" s="469"/>
      <c r="G114" s="599" t="s">
        <v>1049</v>
      </c>
      <c r="H114" s="494"/>
      <c r="I114" s="494"/>
      <c r="J114" s="600" t="n">
        <f aca="false">I114*H114/1000</f>
        <v>0</v>
      </c>
      <c r="K114" s="602"/>
      <c r="L114" s="602"/>
      <c r="M114" s="592"/>
      <c r="N114" s="592"/>
      <c r="O114" s="604"/>
      <c r="P114" s="604"/>
      <c r="Q114" s="604"/>
      <c r="R114" s="587"/>
      <c r="S114" s="587"/>
      <c r="T114" s="587"/>
      <c r="U114" s="418"/>
      <c r="V114" s="418"/>
      <c r="W114" s="418"/>
    </row>
    <row r="115" customFormat="false" ht="20" hidden="false" customHeight="true" outlineLevel="0" collapsed="false">
      <c r="A115" s="599" t="s">
        <v>133</v>
      </c>
      <c r="B115" s="571"/>
      <c r="C115" s="571"/>
      <c r="D115" s="600" t="n">
        <f aca="false">C115*B115/1000</f>
        <v>0</v>
      </c>
      <c r="E115" s="601"/>
      <c r="F115" s="469"/>
      <c r="G115" s="599" t="s">
        <v>133</v>
      </c>
      <c r="H115" s="494"/>
      <c r="I115" s="494"/>
      <c r="J115" s="600" t="n">
        <f aca="false">I115*H115/1000</f>
        <v>0</v>
      </c>
      <c r="K115" s="602"/>
      <c r="L115" s="602"/>
      <c r="M115" s="592"/>
      <c r="N115" s="592"/>
      <c r="O115" s="604"/>
      <c r="P115" s="604"/>
      <c r="Q115" s="604"/>
      <c r="R115" s="587"/>
      <c r="S115" s="587"/>
      <c r="T115" s="587"/>
      <c r="U115" s="418"/>
      <c r="V115" s="418"/>
      <c r="W115" s="418"/>
    </row>
    <row r="116" customFormat="false" ht="20" hidden="false" customHeight="true" outlineLevel="0" collapsed="false">
      <c r="A116" s="599" t="s">
        <v>1050</v>
      </c>
      <c r="B116" s="571"/>
      <c r="C116" s="571"/>
      <c r="D116" s="600" t="n">
        <f aca="false">C116*B116/1000</f>
        <v>0</v>
      </c>
      <c r="E116" s="601"/>
      <c r="F116" s="469"/>
      <c r="G116" s="599" t="s">
        <v>1050</v>
      </c>
      <c r="H116" s="494"/>
      <c r="I116" s="494"/>
      <c r="J116" s="600" t="n">
        <f aca="false">I116*H116/1000</f>
        <v>0</v>
      </c>
      <c r="K116" s="602"/>
      <c r="L116" s="602"/>
      <c r="M116" s="592"/>
      <c r="N116" s="592"/>
      <c r="O116" s="604"/>
      <c r="P116" s="604"/>
      <c r="Q116" s="604"/>
      <c r="R116" s="587"/>
      <c r="S116" s="587"/>
      <c r="T116" s="587"/>
      <c r="U116" s="418"/>
      <c r="V116" s="418"/>
      <c r="W116" s="418"/>
    </row>
    <row r="117" customFormat="false" ht="20" hidden="false" customHeight="true" outlineLevel="0" collapsed="false">
      <c r="A117" s="599" t="s">
        <v>1051</v>
      </c>
      <c r="B117" s="571"/>
      <c r="C117" s="571"/>
      <c r="D117" s="600" t="n">
        <f aca="false">C117*B117/1000</f>
        <v>0</v>
      </c>
      <c r="E117" s="601"/>
      <c r="F117" s="469"/>
      <c r="G117" s="599" t="s">
        <v>1051</v>
      </c>
      <c r="H117" s="494"/>
      <c r="I117" s="494"/>
      <c r="J117" s="600" t="n">
        <f aca="false">I117*H117/1000</f>
        <v>0</v>
      </c>
      <c r="K117" s="602"/>
      <c r="L117" s="602"/>
      <c r="M117" s="592"/>
      <c r="N117" s="592"/>
      <c r="O117" s="604"/>
      <c r="P117" s="604"/>
      <c r="Q117" s="604"/>
      <c r="R117" s="587"/>
      <c r="S117" s="587"/>
      <c r="T117" s="587"/>
      <c r="U117" s="418"/>
      <c r="V117" s="418"/>
      <c r="W117" s="418"/>
    </row>
    <row r="118" customFormat="false" ht="20" hidden="false" customHeight="true" outlineLevel="0" collapsed="false">
      <c r="A118" s="481" t="s">
        <v>1004</v>
      </c>
      <c r="B118" s="595"/>
      <c r="C118" s="595"/>
      <c r="D118" s="605"/>
      <c r="E118" s="597"/>
      <c r="F118" s="469"/>
      <c r="G118" s="481" t="s">
        <v>1004</v>
      </c>
      <c r="H118" s="595"/>
      <c r="I118" s="595"/>
      <c r="J118" s="605"/>
      <c r="K118" s="598"/>
      <c r="L118" s="598"/>
      <c r="M118" s="592"/>
      <c r="N118" s="592"/>
      <c r="O118" s="604"/>
      <c r="P118" s="604"/>
      <c r="Q118" s="604"/>
      <c r="R118" s="587"/>
      <c r="S118" s="587"/>
      <c r="T118" s="587"/>
      <c r="U118" s="418"/>
      <c r="V118" s="418"/>
      <c r="W118" s="418"/>
    </row>
    <row r="119" customFormat="false" ht="20" hidden="false" customHeight="true" outlineLevel="0" collapsed="false">
      <c r="A119" s="608" t="s">
        <v>926</v>
      </c>
      <c r="B119" s="607"/>
      <c r="C119" s="571"/>
      <c r="D119" s="600" t="n">
        <f aca="false">C119*B119/1000</f>
        <v>0</v>
      </c>
      <c r="E119" s="601"/>
      <c r="F119" s="469"/>
      <c r="G119" s="608" t="s">
        <v>926</v>
      </c>
      <c r="H119" s="494"/>
      <c r="I119" s="494"/>
      <c r="J119" s="600" t="n">
        <f aca="false">I119*H119/1000</f>
        <v>0</v>
      </c>
      <c r="K119" s="602"/>
      <c r="L119" s="602"/>
      <c r="M119" s="592"/>
      <c r="N119" s="592"/>
      <c r="O119" s="418"/>
      <c r="P119" s="418"/>
      <c r="Q119" s="604"/>
      <c r="R119" s="587"/>
      <c r="S119" s="587"/>
      <c r="T119" s="587"/>
      <c r="U119" s="418"/>
      <c r="V119" s="418"/>
      <c r="W119" s="418"/>
    </row>
    <row r="120" customFormat="false" ht="20" hidden="false" customHeight="true" outlineLevel="0" collapsed="false">
      <c r="A120" s="606" t="s">
        <v>1052</v>
      </c>
      <c r="B120" s="607"/>
      <c r="C120" s="571"/>
      <c r="D120" s="600" t="n">
        <f aca="false">C120*B120/1000</f>
        <v>0</v>
      </c>
      <c r="E120" s="601"/>
      <c r="F120" s="469"/>
      <c r="G120" s="606" t="s">
        <v>1052</v>
      </c>
      <c r="H120" s="494"/>
      <c r="I120" s="494"/>
      <c r="J120" s="600" t="n">
        <f aca="false">I120*H120/1000</f>
        <v>0</v>
      </c>
      <c r="K120" s="602"/>
      <c r="L120" s="602"/>
      <c r="M120" s="592"/>
      <c r="N120" s="592"/>
      <c r="O120" s="604"/>
      <c r="P120" s="604"/>
      <c r="Q120" s="418"/>
      <c r="R120" s="587"/>
      <c r="S120" s="587"/>
      <c r="T120" s="587"/>
      <c r="U120" s="418"/>
      <c r="V120" s="418"/>
      <c r="W120" s="418"/>
    </row>
    <row r="121" customFormat="false" ht="20" hidden="false" customHeight="true" outlineLevel="0" collapsed="false">
      <c r="A121" s="606" t="s">
        <v>1053</v>
      </c>
      <c r="B121" s="607"/>
      <c r="C121" s="571"/>
      <c r="D121" s="600" t="n">
        <f aca="false">C121*B121/1000</f>
        <v>0</v>
      </c>
      <c r="E121" s="601"/>
      <c r="F121" s="469"/>
      <c r="G121" s="606" t="s">
        <v>1053</v>
      </c>
      <c r="H121" s="494"/>
      <c r="I121" s="494"/>
      <c r="J121" s="600" t="n">
        <f aca="false">I121*H121/1000</f>
        <v>0</v>
      </c>
      <c r="K121" s="602"/>
      <c r="L121" s="602"/>
      <c r="M121" s="592"/>
      <c r="N121" s="592"/>
      <c r="O121" s="604"/>
      <c r="P121" s="604"/>
      <c r="Q121" s="604"/>
      <c r="R121" s="587"/>
      <c r="S121" s="587"/>
      <c r="T121" s="587"/>
      <c r="U121" s="418"/>
      <c r="V121" s="418"/>
      <c r="W121" s="418"/>
    </row>
    <row r="122" customFormat="false" ht="20" hidden="false" customHeight="true" outlineLevel="0" collapsed="false">
      <c r="A122" s="606" t="s">
        <v>1054</v>
      </c>
      <c r="B122" s="607"/>
      <c r="C122" s="571"/>
      <c r="D122" s="600" t="n">
        <f aca="false">C122*B122/1000</f>
        <v>0</v>
      </c>
      <c r="E122" s="601"/>
      <c r="F122" s="469"/>
      <c r="G122" s="606" t="s">
        <v>1054</v>
      </c>
      <c r="H122" s="494"/>
      <c r="I122" s="494"/>
      <c r="J122" s="600" t="n">
        <f aca="false">I122*H122/1000</f>
        <v>0</v>
      </c>
      <c r="K122" s="602"/>
      <c r="L122" s="602"/>
      <c r="M122" s="592"/>
      <c r="N122" s="592"/>
      <c r="O122" s="604"/>
      <c r="P122" s="604"/>
      <c r="Q122" s="604"/>
      <c r="R122" s="587"/>
      <c r="S122" s="587"/>
      <c r="T122" s="587"/>
      <c r="U122" s="418"/>
      <c r="V122" s="418"/>
      <c r="W122" s="418"/>
    </row>
    <row r="123" customFormat="false" ht="20" hidden="false" customHeight="true" outlineLevel="0" collapsed="false">
      <c r="A123" s="606" t="s">
        <v>1055</v>
      </c>
      <c r="B123" s="607"/>
      <c r="C123" s="571"/>
      <c r="D123" s="600" t="n">
        <f aca="false">C123*B123/1000</f>
        <v>0</v>
      </c>
      <c r="E123" s="601"/>
      <c r="F123" s="469"/>
      <c r="G123" s="606" t="s">
        <v>1055</v>
      </c>
      <c r="H123" s="494"/>
      <c r="I123" s="494"/>
      <c r="J123" s="600" t="n">
        <f aca="false">I123*H123/1000</f>
        <v>0</v>
      </c>
      <c r="K123" s="602"/>
      <c r="L123" s="602"/>
      <c r="M123" s="592"/>
      <c r="N123" s="592"/>
      <c r="O123" s="604"/>
      <c r="P123" s="604"/>
      <c r="Q123" s="604"/>
      <c r="R123" s="587"/>
      <c r="S123" s="587"/>
      <c r="T123" s="587"/>
      <c r="U123" s="418"/>
      <c r="V123" s="418"/>
      <c r="W123" s="418"/>
    </row>
    <row r="124" customFormat="false" ht="20" hidden="false" customHeight="true" outlineLevel="0" collapsed="false">
      <c r="A124" s="606" t="s">
        <v>1056</v>
      </c>
      <c r="B124" s="607"/>
      <c r="C124" s="571"/>
      <c r="D124" s="600" t="n">
        <f aca="false">C124*B124/1000</f>
        <v>0</v>
      </c>
      <c r="E124" s="601"/>
      <c r="F124" s="469"/>
      <c r="G124" s="606" t="s">
        <v>1056</v>
      </c>
      <c r="H124" s="494"/>
      <c r="I124" s="494"/>
      <c r="J124" s="600" t="n">
        <f aca="false">I124*H124/1000</f>
        <v>0</v>
      </c>
      <c r="K124" s="602"/>
      <c r="L124" s="602"/>
      <c r="M124" s="592"/>
      <c r="N124" s="592"/>
      <c r="O124" s="604"/>
      <c r="P124" s="604"/>
      <c r="Q124" s="604"/>
      <c r="R124" s="587"/>
      <c r="S124" s="587"/>
      <c r="T124" s="587"/>
      <c r="U124" s="418"/>
      <c r="V124" s="418"/>
      <c r="W124" s="418"/>
    </row>
    <row r="125" customFormat="false" ht="20" hidden="false" customHeight="true" outlineLevel="0" collapsed="false">
      <c r="A125" s="606" t="s">
        <v>1057</v>
      </c>
      <c r="B125" s="607"/>
      <c r="C125" s="571"/>
      <c r="D125" s="600" t="n">
        <f aca="false">C125*B125/1000</f>
        <v>0</v>
      </c>
      <c r="E125" s="601"/>
      <c r="F125" s="469"/>
      <c r="G125" s="606" t="s">
        <v>1057</v>
      </c>
      <c r="H125" s="494"/>
      <c r="I125" s="494"/>
      <c r="J125" s="600" t="n">
        <f aca="false">I125*H125/1000</f>
        <v>0</v>
      </c>
      <c r="K125" s="602"/>
      <c r="L125" s="602"/>
      <c r="M125" s="592"/>
      <c r="N125" s="592"/>
      <c r="O125" s="604"/>
      <c r="P125" s="604"/>
      <c r="Q125" s="604"/>
      <c r="R125" s="587"/>
      <c r="S125" s="587"/>
      <c r="T125" s="587"/>
      <c r="U125" s="418"/>
      <c r="V125" s="418"/>
      <c r="W125" s="418"/>
    </row>
    <row r="126" customFormat="false" ht="20" hidden="false" customHeight="true" outlineLevel="0" collapsed="false">
      <c r="A126" s="606" t="s">
        <v>1058</v>
      </c>
      <c r="B126" s="607"/>
      <c r="C126" s="571"/>
      <c r="D126" s="600" t="n">
        <f aca="false">C126*B126/1000</f>
        <v>0</v>
      </c>
      <c r="E126" s="601"/>
      <c r="F126" s="469"/>
      <c r="G126" s="606" t="s">
        <v>1058</v>
      </c>
      <c r="H126" s="494"/>
      <c r="I126" s="494"/>
      <c r="J126" s="600" t="n">
        <f aca="false">I126*H126/1000</f>
        <v>0</v>
      </c>
      <c r="K126" s="602"/>
      <c r="L126" s="602"/>
      <c r="M126" s="592"/>
      <c r="N126" s="592"/>
      <c r="O126" s="604"/>
      <c r="P126" s="604"/>
      <c r="Q126" s="604"/>
      <c r="R126" s="587"/>
      <c r="S126" s="587"/>
      <c r="T126" s="587"/>
      <c r="U126" s="418"/>
      <c r="V126" s="418"/>
      <c r="W126" s="418"/>
    </row>
    <row r="127" customFormat="false" ht="20" hidden="false" customHeight="true" outlineLevel="0" collapsed="false">
      <c r="A127" s="606" t="s">
        <v>1059</v>
      </c>
      <c r="B127" s="607"/>
      <c r="C127" s="571"/>
      <c r="D127" s="600" t="n">
        <f aca="false">C127*B127/1000</f>
        <v>0</v>
      </c>
      <c r="E127" s="601"/>
      <c r="F127" s="469"/>
      <c r="G127" s="606" t="s">
        <v>1059</v>
      </c>
      <c r="H127" s="494"/>
      <c r="I127" s="494"/>
      <c r="J127" s="600" t="n">
        <f aca="false">I127*H127/1000</f>
        <v>0</v>
      </c>
      <c r="K127" s="602"/>
      <c r="L127" s="602"/>
      <c r="M127" s="592"/>
      <c r="N127" s="592"/>
      <c r="O127" s="604"/>
      <c r="P127" s="604"/>
      <c r="Q127" s="418"/>
      <c r="R127" s="587"/>
      <c r="S127" s="587"/>
      <c r="T127" s="587"/>
      <c r="U127" s="418"/>
      <c r="V127" s="418"/>
      <c r="W127" s="418"/>
    </row>
    <row r="128" customFormat="false" ht="20" hidden="false" customHeight="true" outlineLevel="0" collapsed="false">
      <c r="A128" s="599" t="s">
        <v>1060</v>
      </c>
      <c r="B128" s="571"/>
      <c r="C128" s="571"/>
      <c r="D128" s="600" t="n">
        <f aca="false">C128*B128/1000</f>
        <v>0</v>
      </c>
      <c r="E128" s="601"/>
      <c r="F128" s="469"/>
      <c r="G128" s="599" t="s">
        <v>1060</v>
      </c>
      <c r="H128" s="494"/>
      <c r="I128" s="494"/>
      <c r="J128" s="600" t="n">
        <f aca="false">I128*H128/1000</f>
        <v>0</v>
      </c>
      <c r="K128" s="602"/>
      <c r="L128" s="602"/>
      <c r="M128" s="592"/>
      <c r="N128" s="592"/>
      <c r="O128" s="604"/>
      <c r="P128" s="604"/>
      <c r="Q128" s="604"/>
      <c r="R128" s="587"/>
      <c r="S128" s="587"/>
      <c r="T128" s="587"/>
      <c r="U128" s="418"/>
      <c r="V128" s="418"/>
      <c r="W128" s="418"/>
    </row>
    <row r="129" customFormat="false" ht="20" hidden="false" customHeight="true" outlineLevel="0" collapsed="false">
      <c r="A129" s="481" t="s">
        <v>1061</v>
      </c>
      <c r="B129" s="595"/>
      <c r="C129" s="595"/>
      <c r="D129" s="605"/>
      <c r="E129" s="597"/>
      <c r="G129" s="609" t="s">
        <v>1061</v>
      </c>
      <c r="H129" s="610"/>
      <c r="I129" s="610"/>
      <c r="J129" s="611"/>
      <c r="K129" s="612"/>
      <c r="L129" s="612"/>
      <c r="M129" s="592"/>
      <c r="N129" s="592"/>
      <c r="O129" s="604"/>
      <c r="P129" s="604"/>
      <c r="Q129" s="604"/>
      <c r="R129" s="587"/>
      <c r="S129" s="587"/>
      <c r="T129" s="587"/>
      <c r="U129" s="418"/>
      <c r="V129" s="418"/>
      <c r="W129" s="418"/>
    </row>
    <row r="130" customFormat="false" ht="20" hidden="false" customHeight="true" outlineLevel="0" collapsed="false">
      <c r="A130" s="166" t="s">
        <v>1062</v>
      </c>
      <c r="B130" s="607"/>
      <c r="C130" s="571"/>
      <c r="D130" s="600" t="n">
        <f aca="false">C130*B130/1000</f>
        <v>0</v>
      </c>
      <c r="E130" s="601"/>
      <c r="G130" s="613" t="s">
        <v>1062</v>
      </c>
      <c r="H130" s="614"/>
      <c r="I130" s="614"/>
      <c r="J130" s="615" t="n">
        <f aca="false">I130*H130/1000</f>
        <v>0</v>
      </c>
      <c r="K130" s="616"/>
      <c r="L130" s="616"/>
      <c r="M130" s="592"/>
      <c r="N130" s="592"/>
      <c r="O130" s="604"/>
      <c r="P130" s="604"/>
      <c r="Q130" s="604"/>
      <c r="R130" s="587"/>
      <c r="S130" s="587"/>
      <c r="T130" s="587"/>
      <c r="U130" s="418"/>
      <c r="V130" s="418"/>
      <c r="W130" s="418"/>
    </row>
    <row r="131" customFormat="false" ht="20" hidden="false" customHeight="true" outlineLevel="0" collapsed="false">
      <c r="A131" s="126" t="s">
        <v>167</v>
      </c>
      <c r="B131" s="617"/>
      <c r="C131" s="618"/>
      <c r="D131" s="600" t="n">
        <f aca="false">C131*B131/1000</f>
        <v>0</v>
      </c>
      <c r="E131" s="619"/>
      <c r="G131" s="620" t="s">
        <v>167</v>
      </c>
      <c r="H131" s="621"/>
      <c r="I131" s="621"/>
      <c r="J131" s="600" t="n">
        <f aca="false">I131*H131/1000</f>
        <v>0</v>
      </c>
      <c r="K131" s="602"/>
      <c r="L131" s="602"/>
      <c r="M131" s="592"/>
      <c r="N131" s="592"/>
      <c r="O131" s="604"/>
      <c r="P131" s="604"/>
      <c r="Q131" s="604"/>
      <c r="R131" s="587"/>
      <c r="S131" s="587"/>
      <c r="T131" s="587"/>
      <c r="U131" s="418"/>
      <c r="V131" s="418"/>
      <c r="W131" s="418"/>
    </row>
    <row r="132" customFormat="false" ht="20" hidden="false" customHeight="true" outlineLevel="0" collapsed="false">
      <c r="A132" s="126" t="s">
        <v>156</v>
      </c>
      <c r="B132" s="617"/>
      <c r="C132" s="618"/>
      <c r="D132" s="600" t="n">
        <f aca="false">C132*B132/1000</f>
        <v>0</v>
      </c>
      <c r="E132" s="619"/>
      <c r="G132" s="620" t="s">
        <v>156</v>
      </c>
      <c r="H132" s="621"/>
      <c r="I132" s="621"/>
      <c r="J132" s="600" t="n">
        <f aca="false">I132*H132/1000</f>
        <v>0</v>
      </c>
      <c r="K132" s="602"/>
      <c r="L132" s="602"/>
      <c r="M132" s="592"/>
      <c r="N132" s="592"/>
      <c r="O132" s="604"/>
      <c r="P132" s="604"/>
      <c r="Q132" s="604"/>
      <c r="R132" s="587"/>
      <c r="S132" s="587"/>
      <c r="T132" s="587"/>
      <c r="U132" s="418"/>
      <c r="V132" s="418"/>
      <c r="W132" s="418"/>
    </row>
    <row r="133" customFormat="false" ht="20" hidden="false" customHeight="true" outlineLevel="0" collapsed="false">
      <c r="A133" s="622" t="s">
        <v>1063</v>
      </c>
      <c r="B133" s="617" t="n">
        <v>2</v>
      </c>
      <c r="C133" s="618"/>
      <c r="D133" s="600" t="n">
        <f aca="false">C133*B133/1000</f>
        <v>0</v>
      </c>
      <c r="E133" s="619" t="s">
        <v>1039</v>
      </c>
      <c r="G133" s="622"/>
      <c r="H133" s="621"/>
      <c r="I133" s="621"/>
      <c r="J133" s="600" t="n">
        <f aca="false">I133*H133/1000</f>
        <v>0</v>
      </c>
      <c r="K133" s="602"/>
      <c r="L133" s="602"/>
      <c r="M133" s="592"/>
      <c r="N133" s="592"/>
      <c r="O133" s="604"/>
      <c r="P133" s="604"/>
      <c r="Q133" s="604"/>
      <c r="R133" s="587"/>
      <c r="S133" s="587"/>
      <c r="T133" s="587"/>
      <c r="U133" s="418"/>
      <c r="V133" s="418"/>
      <c r="W133" s="418"/>
    </row>
    <row r="134" customFormat="false" ht="20" hidden="false" customHeight="true" outlineLevel="0" collapsed="false">
      <c r="A134" s="623"/>
      <c r="B134" s="581"/>
      <c r="C134" s="581"/>
      <c r="D134" s="624" t="n">
        <f aca="false">C134*B134/1000</f>
        <v>0</v>
      </c>
      <c r="E134" s="625"/>
      <c r="G134" s="623"/>
      <c r="H134" s="532"/>
      <c r="I134" s="532"/>
      <c r="J134" s="624" t="n">
        <f aca="false">I134*H134/1000</f>
        <v>0</v>
      </c>
      <c r="K134" s="626"/>
      <c r="L134" s="626"/>
      <c r="M134" s="592"/>
      <c r="N134" s="592"/>
      <c r="O134" s="604"/>
      <c r="P134" s="604"/>
      <c r="Q134" s="604"/>
      <c r="R134" s="587"/>
      <c r="S134" s="587"/>
      <c r="T134" s="587"/>
      <c r="U134" s="418"/>
      <c r="V134" s="418"/>
      <c r="W134" s="418"/>
    </row>
    <row r="135" customFormat="false" ht="20" hidden="false" customHeight="true" outlineLevel="0" collapsed="false">
      <c r="A135" s="627"/>
      <c r="B135" s="628"/>
      <c r="C135" s="443"/>
      <c r="D135" s="443"/>
      <c r="E135" s="629"/>
      <c r="F135" s="630"/>
      <c r="G135" s="631"/>
      <c r="H135" s="632"/>
      <c r="K135" s="418"/>
      <c r="L135" s="586"/>
      <c r="M135" s="418"/>
      <c r="R135" s="604"/>
      <c r="S135" s="587"/>
      <c r="T135" s="587"/>
      <c r="U135" s="587"/>
      <c r="V135" s="418"/>
      <c r="W135" s="418"/>
      <c r="X135" s="418"/>
    </row>
    <row r="136" customFormat="false" ht="20" hidden="false" customHeight="true" outlineLevel="0" collapsed="false">
      <c r="A136" s="14" t="s">
        <v>1064</v>
      </c>
      <c r="B136" s="633"/>
      <c r="C136" s="634" t="n">
        <f aca="false">SUMIF(E99:E134,"Locale",B99:B134)</f>
        <v>3</v>
      </c>
      <c r="D136" s="11" t="s">
        <v>1065</v>
      </c>
      <c r="E136" s="556"/>
      <c r="F136" s="556"/>
      <c r="G136" s="635"/>
      <c r="H136" s="636"/>
      <c r="K136" s="418"/>
      <c r="L136" s="586"/>
      <c r="M136" s="418"/>
      <c r="R136" s="604"/>
      <c r="S136" s="587"/>
      <c r="T136" s="587"/>
      <c r="U136" s="587"/>
      <c r="V136" s="418"/>
      <c r="W136" s="418"/>
      <c r="X136" s="418"/>
    </row>
    <row r="137" s="556" customFormat="true" ht="20" hidden="false" customHeight="true" outlineLevel="0" collapsed="false">
      <c r="A137" s="637"/>
      <c r="B137" s="314"/>
      <c r="C137" s="314"/>
      <c r="D137" s="638"/>
      <c r="E137" s="314"/>
      <c r="F137" s="314"/>
      <c r="G137" s="639"/>
      <c r="H137" s="640"/>
      <c r="I137" s="19"/>
      <c r="J137" s="641"/>
      <c r="K137" s="418"/>
      <c r="L137" s="586"/>
      <c r="M137" s="418"/>
      <c r="T137" s="604"/>
      <c r="U137" s="587"/>
      <c r="V137" s="587"/>
      <c r="W137" s="587"/>
      <c r="X137" s="418"/>
      <c r="Y137" s="418"/>
      <c r="Z137" s="418"/>
    </row>
    <row r="138" customFormat="false" ht="20" hidden="false" customHeight="true" outlineLevel="0" collapsed="false">
      <c r="A138" s="642"/>
      <c r="B138" s="642"/>
      <c r="C138" s="642"/>
      <c r="D138" s="638"/>
      <c r="E138" s="643"/>
      <c r="F138" s="643"/>
      <c r="G138" s="642"/>
      <c r="H138" s="642"/>
      <c r="I138" s="642"/>
      <c r="J138" s="641"/>
      <c r="K138" s="418"/>
      <c r="L138" s="586"/>
      <c r="M138" s="418"/>
      <c r="T138" s="604"/>
      <c r="U138" s="587"/>
      <c r="V138" s="587"/>
      <c r="W138" s="587"/>
      <c r="X138" s="418"/>
      <c r="Y138" s="418"/>
      <c r="Z138" s="418"/>
    </row>
    <row r="139" customFormat="false" ht="20" hidden="false" customHeight="true" outlineLevel="0" collapsed="false">
      <c r="G139" s="644"/>
      <c r="H139" s="645"/>
      <c r="I139" s="644"/>
      <c r="J139" s="646"/>
      <c r="K139" s="418"/>
      <c r="L139" s="586"/>
      <c r="M139" s="418"/>
      <c r="T139" s="604"/>
      <c r="U139" s="587"/>
      <c r="V139" s="587"/>
      <c r="W139" s="587"/>
      <c r="X139" s="418"/>
      <c r="Y139" s="418"/>
      <c r="Z139" s="418"/>
    </row>
    <row r="140" customFormat="false" ht="20" hidden="false" customHeight="true" outlineLevel="0" collapsed="false">
      <c r="A140" s="467" t="s">
        <v>1066</v>
      </c>
      <c r="B140" s="443"/>
      <c r="C140" s="443"/>
      <c r="D140" s="466"/>
      <c r="E140" s="629"/>
      <c r="F140" s="647"/>
      <c r="G140" s="644"/>
      <c r="H140" s="645"/>
      <c r="I140" s="644"/>
      <c r="J140" s="646"/>
      <c r="K140" s="418"/>
      <c r="L140" s="586" t="s">
        <v>1067</v>
      </c>
      <c r="M140" s="418"/>
      <c r="T140" s="604"/>
      <c r="U140" s="587"/>
      <c r="V140" s="587"/>
      <c r="W140" s="587"/>
      <c r="X140" s="418"/>
      <c r="Y140" s="418"/>
      <c r="Z140" s="418"/>
    </row>
    <row r="141" customFormat="false" ht="20" hidden="false" customHeight="true" outlineLevel="0" collapsed="false">
      <c r="A141" s="443"/>
      <c r="B141" s="443"/>
      <c r="C141" s="443"/>
      <c r="D141" s="466"/>
      <c r="E141" s="648"/>
      <c r="F141" s="630"/>
      <c r="G141" s="649"/>
      <c r="H141" s="645"/>
      <c r="I141" s="644"/>
      <c r="J141" s="646"/>
      <c r="K141" s="418"/>
      <c r="L141" s="586"/>
      <c r="M141" s="418"/>
      <c r="T141" s="604"/>
      <c r="U141" s="587"/>
      <c r="V141" s="587"/>
      <c r="W141" s="587"/>
      <c r="X141" s="418"/>
      <c r="Y141" s="418"/>
      <c r="Z141" s="418"/>
    </row>
    <row r="142" customFormat="false" ht="49.5" hidden="false" customHeight="true" outlineLevel="0" collapsed="false">
      <c r="A142" s="650" t="s">
        <v>1068</v>
      </c>
      <c r="B142" s="650"/>
      <c r="C142" s="651" t="s">
        <v>1069</v>
      </c>
      <c r="D142" s="591" t="s">
        <v>1027</v>
      </c>
      <c r="H142" s="652" t="s">
        <v>1070</v>
      </c>
      <c r="I142" s="651" t="s">
        <v>1071</v>
      </c>
      <c r="J142" s="591" t="s">
        <v>1027</v>
      </c>
      <c r="K142" s="469"/>
    </row>
    <row r="143" customFormat="false" ht="15" hidden="false" customHeight="true" outlineLevel="0" collapsed="false">
      <c r="A143" s="653"/>
      <c r="B143" s="653"/>
      <c r="C143" s="654" t="s">
        <v>1072</v>
      </c>
      <c r="D143" s="572"/>
      <c r="H143" s="653"/>
      <c r="I143" s="654" t="s">
        <v>1073</v>
      </c>
      <c r="J143" s="572"/>
      <c r="K143" s="469"/>
    </row>
    <row r="144" customFormat="false" ht="20" hidden="false" customHeight="true" outlineLevel="0" collapsed="false">
      <c r="A144" s="655" t="s">
        <v>1074</v>
      </c>
      <c r="B144" s="656" t="n">
        <f aca="false">SUM(C145:C147)</f>
        <v>0</v>
      </c>
      <c r="C144" s="657"/>
      <c r="D144" s="658"/>
      <c r="H144" s="606" t="s">
        <v>181</v>
      </c>
      <c r="I144" s="659"/>
      <c r="J144" s="601"/>
      <c r="K144" s="469"/>
    </row>
    <row r="145" customFormat="false" ht="20" hidden="false" customHeight="true" outlineLevel="0" collapsed="false">
      <c r="A145" s="660" t="s">
        <v>92</v>
      </c>
      <c r="B145" s="661" t="s">
        <v>182</v>
      </c>
      <c r="C145" s="662"/>
      <c r="D145" s="601"/>
      <c r="H145" s="606" t="s">
        <v>183</v>
      </c>
      <c r="I145" s="659"/>
      <c r="J145" s="601"/>
      <c r="K145" s="469"/>
    </row>
    <row r="146" customFormat="false" ht="20" hidden="false" customHeight="true" outlineLevel="0" collapsed="false">
      <c r="A146" s="660"/>
      <c r="B146" s="661" t="s">
        <v>184</v>
      </c>
      <c r="C146" s="662"/>
      <c r="D146" s="601"/>
      <c r="H146" s="606" t="s">
        <v>185</v>
      </c>
      <c r="I146" s="659"/>
      <c r="J146" s="601"/>
      <c r="K146" s="469"/>
    </row>
    <row r="147" customFormat="false" ht="20" hidden="false" customHeight="true" outlineLevel="0" collapsed="false">
      <c r="A147" s="660"/>
      <c r="B147" s="661" t="s">
        <v>186</v>
      </c>
      <c r="C147" s="662"/>
      <c r="D147" s="601"/>
      <c r="H147" s="606" t="s">
        <v>187</v>
      </c>
      <c r="I147" s="659"/>
      <c r="J147" s="601"/>
      <c r="K147" s="469"/>
    </row>
    <row r="148" customFormat="false" ht="20" hidden="false" customHeight="true" outlineLevel="0" collapsed="false">
      <c r="A148" s="655" t="s">
        <v>1075</v>
      </c>
      <c r="B148" s="661"/>
      <c r="C148" s="662"/>
      <c r="D148" s="601"/>
      <c r="H148" s="606" t="s">
        <v>189</v>
      </c>
      <c r="I148" s="659"/>
      <c r="J148" s="601"/>
      <c r="K148" s="469"/>
    </row>
    <row r="149" customFormat="false" ht="20" hidden="false" customHeight="true" outlineLevel="0" collapsed="false">
      <c r="A149" s="655" t="s">
        <v>1076</v>
      </c>
      <c r="B149" s="656" t="n">
        <f aca="false">SUM(C150:C156)</f>
        <v>0</v>
      </c>
      <c r="C149" s="657"/>
      <c r="D149" s="658"/>
      <c r="H149" s="606" t="s">
        <v>191</v>
      </c>
      <c r="I149" s="659"/>
      <c r="J149" s="601"/>
      <c r="K149" s="469"/>
    </row>
    <row r="150" customFormat="false" ht="20" hidden="false" customHeight="true" outlineLevel="0" collapsed="false">
      <c r="A150" s="660" t="s">
        <v>92</v>
      </c>
      <c r="B150" s="661" t="s">
        <v>192</v>
      </c>
      <c r="C150" s="663"/>
      <c r="D150" s="601"/>
      <c r="H150" s="606" t="s">
        <v>193</v>
      </c>
      <c r="I150" s="659"/>
      <c r="J150" s="601"/>
      <c r="K150" s="469"/>
    </row>
    <row r="151" customFormat="false" ht="20" hidden="false" customHeight="true" outlineLevel="0" collapsed="false">
      <c r="A151" s="655"/>
      <c r="B151" s="661" t="s">
        <v>194</v>
      </c>
      <c r="C151" s="663"/>
      <c r="D151" s="601"/>
      <c r="H151" s="606" t="s">
        <v>195</v>
      </c>
      <c r="I151" s="659"/>
      <c r="J151" s="601"/>
      <c r="K151" s="469"/>
    </row>
    <row r="152" customFormat="false" ht="20" hidden="false" customHeight="true" outlineLevel="0" collapsed="false">
      <c r="A152" s="655"/>
      <c r="B152" s="661" t="s">
        <v>196</v>
      </c>
      <c r="C152" s="663"/>
      <c r="D152" s="601"/>
      <c r="H152" s="606" t="s">
        <v>197</v>
      </c>
      <c r="I152" s="659"/>
      <c r="J152" s="601"/>
      <c r="K152" s="469"/>
    </row>
    <row r="153" customFormat="false" ht="20" hidden="false" customHeight="true" outlineLevel="0" collapsed="false">
      <c r="A153" s="655"/>
      <c r="B153" s="661" t="s">
        <v>198</v>
      </c>
      <c r="C153" s="663"/>
      <c r="D153" s="601"/>
      <c r="H153" s="606" t="s">
        <v>199</v>
      </c>
      <c r="I153" s="659"/>
      <c r="J153" s="601"/>
      <c r="K153" s="469"/>
    </row>
    <row r="154" customFormat="false" ht="20" hidden="false" customHeight="true" outlineLevel="0" collapsed="false">
      <c r="A154" s="655"/>
      <c r="B154" s="661" t="s">
        <v>200</v>
      </c>
      <c r="C154" s="663"/>
      <c r="D154" s="601"/>
      <c r="H154" s="606" t="s">
        <v>201</v>
      </c>
      <c r="I154" s="659"/>
      <c r="J154" s="601"/>
      <c r="K154" s="469"/>
    </row>
    <row r="155" customFormat="false" ht="20" hidden="false" customHeight="true" outlineLevel="0" collapsed="false">
      <c r="A155" s="655"/>
      <c r="B155" s="661" t="s">
        <v>202</v>
      </c>
      <c r="C155" s="663"/>
      <c r="D155" s="601"/>
      <c r="H155" s="606" t="s">
        <v>203</v>
      </c>
      <c r="I155" s="659" t="n">
        <v>75</v>
      </c>
      <c r="J155" s="601" t="s">
        <v>1039</v>
      </c>
      <c r="K155" s="469"/>
    </row>
    <row r="156" customFormat="false" ht="20" hidden="false" customHeight="true" outlineLevel="0" collapsed="false">
      <c r="A156" s="655"/>
      <c r="B156" s="664" t="s">
        <v>204</v>
      </c>
      <c r="C156" s="663"/>
      <c r="D156" s="601"/>
      <c r="H156" s="606" t="s">
        <v>205</v>
      </c>
      <c r="I156" s="659"/>
      <c r="J156" s="601"/>
      <c r="K156" s="469"/>
    </row>
    <row r="157" customFormat="false" ht="20" hidden="false" customHeight="true" outlineLevel="0" collapsed="false">
      <c r="A157" s="655" t="s">
        <v>206</v>
      </c>
      <c r="B157" s="661"/>
      <c r="C157" s="663"/>
      <c r="D157" s="601"/>
      <c r="H157" s="606" t="s">
        <v>207</v>
      </c>
      <c r="I157" s="659"/>
      <c r="J157" s="601"/>
      <c r="K157" s="469"/>
    </row>
    <row r="158" customFormat="false" ht="20" hidden="false" customHeight="true" outlineLevel="0" collapsed="false">
      <c r="A158" s="655" t="s">
        <v>208</v>
      </c>
      <c r="B158" s="656" t="n">
        <f aca="false">SUM(C159:C168)</f>
        <v>19</v>
      </c>
      <c r="C158" s="657"/>
      <c r="D158" s="658"/>
      <c r="H158" s="665"/>
      <c r="I158" s="666"/>
      <c r="J158" s="625"/>
      <c r="K158" s="469"/>
    </row>
    <row r="159" customFormat="false" ht="20" hidden="false" customHeight="true" outlineLevel="0" collapsed="false">
      <c r="A159" s="660" t="s">
        <v>92</v>
      </c>
      <c r="B159" s="667" t="s">
        <v>209</v>
      </c>
      <c r="C159" s="663"/>
      <c r="D159" s="601"/>
      <c r="H159" s="469"/>
      <c r="I159" s="469"/>
      <c r="J159" s="469"/>
      <c r="K159" s="469"/>
    </row>
    <row r="160" customFormat="false" ht="20" hidden="false" customHeight="true" outlineLevel="0" collapsed="false">
      <c r="A160" s="655"/>
      <c r="B160" s="667" t="s">
        <v>210</v>
      </c>
      <c r="C160" s="663"/>
      <c r="D160" s="601"/>
      <c r="H160" s="668" t="s">
        <v>1077</v>
      </c>
      <c r="I160" s="669" t="s">
        <v>1078</v>
      </c>
      <c r="J160" s="469"/>
      <c r="K160" s="469"/>
    </row>
    <row r="161" customFormat="false" ht="20" hidden="false" customHeight="true" outlineLevel="0" collapsed="false">
      <c r="A161" s="655"/>
      <c r="B161" s="667" t="s">
        <v>211</v>
      </c>
      <c r="C161" s="663"/>
      <c r="D161" s="601"/>
      <c r="H161" s="670" t="s">
        <v>1073</v>
      </c>
      <c r="I161" s="671" t="n">
        <f aca="false">SUM(I144:I154,I156:I158)</f>
        <v>0</v>
      </c>
      <c r="J161" s="672"/>
      <c r="K161" s="469"/>
    </row>
    <row r="162" customFormat="false" ht="20" hidden="false" customHeight="true" outlineLevel="0" collapsed="false">
      <c r="A162" s="655"/>
      <c r="B162" s="667" t="s">
        <v>212</v>
      </c>
      <c r="C162" s="663"/>
      <c r="D162" s="601"/>
      <c r="F162" s="633" t="s">
        <v>1079</v>
      </c>
      <c r="H162" s="469"/>
      <c r="I162" s="469"/>
      <c r="J162" s="469"/>
      <c r="K162" s="469"/>
    </row>
    <row r="163" customFormat="false" ht="20" hidden="false" customHeight="true" outlineLevel="0" collapsed="false">
      <c r="A163" s="655"/>
      <c r="B163" s="667" t="s">
        <v>213</v>
      </c>
      <c r="C163" s="663"/>
      <c r="D163" s="601"/>
      <c r="F163" s="14" t="s">
        <v>1080</v>
      </c>
      <c r="I163" s="634" t="n">
        <f aca="false">SUMIF(J144:J158,"Locale",I144:I158)</f>
        <v>75</v>
      </c>
      <c r="J163" s="636" t="s">
        <v>372</v>
      </c>
    </row>
    <row r="164" customFormat="false" ht="20" hidden="false" customHeight="true" outlineLevel="0" collapsed="false">
      <c r="A164" s="655"/>
      <c r="B164" s="667" t="s">
        <v>214</v>
      </c>
      <c r="C164" s="663"/>
      <c r="D164" s="601"/>
      <c r="E164" s="556"/>
      <c r="F164" s="673" t="s">
        <v>1081</v>
      </c>
      <c r="G164" s="673"/>
      <c r="H164" s="673"/>
    </row>
    <row r="165" customFormat="false" ht="20" hidden="false" customHeight="true" outlineLevel="0" collapsed="false">
      <c r="A165" s="655"/>
      <c r="B165" s="667" t="s">
        <v>217</v>
      </c>
      <c r="C165" s="663"/>
      <c r="D165" s="601"/>
      <c r="E165" s="469"/>
      <c r="F165" s="674"/>
      <c r="G165" s="675" t="s">
        <v>1082</v>
      </c>
      <c r="H165" s="675"/>
      <c r="I165" s="676"/>
      <c r="J165" s="677" t="s">
        <v>372</v>
      </c>
    </row>
    <row r="166" customFormat="false" ht="20" hidden="false" customHeight="true" outlineLevel="0" collapsed="false">
      <c r="A166" s="655"/>
      <c r="B166" s="667" t="s">
        <v>220</v>
      </c>
      <c r="C166" s="663"/>
      <c r="D166" s="601"/>
      <c r="E166" s="469"/>
      <c r="F166" s="469"/>
      <c r="G166" s="675" t="s">
        <v>1083</v>
      </c>
      <c r="H166" s="675"/>
      <c r="I166" s="676"/>
      <c r="J166" s="677" t="s">
        <v>372</v>
      </c>
      <c r="K166" s="469"/>
    </row>
    <row r="167" customFormat="false" ht="20" hidden="false" customHeight="true" outlineLevel="0" collapsed="false">
      <c r="A167" s="655"/>
      <c r="B167" s="667" t="s">
        <v>221</v>
      </c>
      <c r="C167" s="663" t="n">
        <v>19</v>
      </c>
      <c r="D167" s="601" t="s">
        <v>1039</v>
      </c>
      <c r="E167" s="469"/>
      <c r="F167" s="469"/>
      <c r="G167" s="469"/>
      <c r="H167" s="469"/>
      <c r="I167" s="469"/>
      <c r="J167" s="469"/>
      <c r="K167" s="469"/>
    </row>
    <row r="168" customFormat="false" ht="20" hidden="false" customHeight="true" outlineLevel="0" collapsed="false">
      <c r="A168" s="655"/>
      <c r="B168" s="667" t="s">
        <v>222</v>
      </c>
      <c r="C168" s="663"/>
      <c r="D168" s="601"/>
      <c r="E168" s="469"/>
      <c r="F168" s="469"/>
      <c r="G168" s="469"/>
      <c r="H168" s="469"/>
      <c r="I168" s="469"/>
      <c r="J168" s="469"/>
      <c r="K168" s="469"/>
    </row>
    <row r="169" customFormat="false" ht="20" hidden="false" customHeight="true" outlineLevel="0" collapsed="false">
      <c r="A169" s="655" t="s">
        <v>1084</v>
      </c>
      <c r="B169" s="661"/>
      <c r="C169" s="663"/>
      <c r="D169" s="601"/>
      <c r="E169" s="469"/>
      <c r="F169" s="469"/>
      <c r="G169" s="469"/>
      <c r="H169" s="469"/>
      <c r="I169" s="469"/>
      <c r="J169" s="469"/>
      <c r="K169" s="469"/>
    </row>
    <row r="170" customFormat="false" ht="20" hidden="false" customHeight="true" outlineLevel="0" collapsed="false">
      <c r="A170" s="655" t="s">
        <v>224</v>
      </c>
      <c r="B170" s="661"/>
      <c r="C170" s="663"/>
      <c r="D170" s="601"/>
      <c r="E170" s="469"/>
      <c r="F170" s="469"/>
      <c r="G170" s="469"/>
      <c r="H170" s="469"/>
      <c r="I170" s="469"/>
      <c r="J170" s="469"/>
      <c r="K170" s="469"/>
    </row>
    <row r="171" customFormat="false" ht="20" hidden="false" customHeight="true" outlineLevel="0" collapsed="false">
      <c r="A171" s="655" t="s">
        <v>225</v>
      </c>
      <c r="B171" s="661"/>
      <c r="C171" s="663"/>
      <c r="D171" s="601"/>
      <c r="E171" s="469"/>
      <c r="F171" s="469"/>
      <c r="G171" s="469"/>
      <c r="H171" s="469"/>
      <c r="I171" s="469"/>
      <c r="J171" s="469"/>
      <c r="K171" s="469"/>
    </row>
    <row r="172" customFormat="false" ht="20" hidden="false" customHeight="true" outlineLevel="0" collapsed="false">
      <c r="A172" s="655" t="s">
        <v>226</v>
      </c>
      <c r="B172" s="661"/>
      <c r="C172" s="663"/>
      <c r="D172" s="601"/>
      <c r="E172" s="469"/>
      <c r="F172" s="469"/>
      <c r="G172" s="469"/>
      <c r="H172" s="469"/>
      <c r="I172" s="469"/>
      <c r="J172" s="469"/>
      <c r="K172" s="469"/>
    </row>
    <row r="173" customFormat="false" ht="20" hidden="false" customHeight="true" outlineLevel="0" collapsed="false">
      <c r="A173" s="655" t="s">
        <v>227</v>
      </c>
      <c r="B173" s="661"/>
      <c r="C173" s="663"/>
      <c r="D173" s="601"/>
      <c r="E173" s="469"/>
      <c r="F173" s="469"/>
      <c r="G173" s="469"/>
      <c r="H173" s="469"/>
      <c r="I173" s="469"/>
      <c r="J173" s="469"/>
      <c r="K173" s="469"/>
    </row>
    <row r="174" customFormat="false" ht="20" hidden="false" customHeight="true" outlineLevel="0" collapsed="false">
      <c r="A174" s="655" t="s">
        <v>1085</v>
      </c>
      <c r="B174" s="656" t="n">
        <f aca="false">SUM(C175:C178)</f>
        <v>0</v>
      </c>
      <c r="C174" s="657"/>
      <c r="D174" s="658"/>
      <c r="E174" s="469"/>
      <c r="F174" s="469"/>
      <c r="G174" s="469"/>
      <c r="H174" s="469"/>
      <c r="I174" s="469"/>
      <c r="J174" s="469"/>
      <c r="K174" s="469"/>
    </row>
    <row r="175" customFormat="false" ht="20" hidden="false" customHeight="true" outlineLevel="0" collapsed="false">
      <c r="A175" s="660" t="s">
        <v>92</v>
      </c>
      <c r="B175" s="661" t="s">
        <v>229</v>
      </c>
      <c r="C175" s="678"/>
      <c r="D175" s="601"/>
      <c r="E175" s="469"/>
      <c r="F175" s="469"/>
      <c r="G175" s="469"/>
      <c r="H175" s="469"/>
      <c r="I175" s="469"/>
      <c r="J175" s="469"/>
      <c r="K175" s="469"/>
    </row>
    <row r="176" customFormat="false" ht="20" hidden="false" customHeight="true" outlineLevel="0" collapsed="false">
      <c r="A176" s="655"/>
      <c r="B176" s="661" t="s">
        <v>230</v>
      </c>
      <c r="C176" s="663"/>
      <c r="D176" s="601"/>
      <c r="E176" s="469"/>
      <c r="F176" s="469"/>
      <c r="G176" s="469"/>
      <c r="H176" s="469"/>
      <c r="I176" s="469"/>
      <c r="J176" s="469"/>
      <c r="K176" s="469"/>
    </row>
    <row r="177" customFormat="false" ht="20" hidden="false" customHeight="true" outlineLevel="0" collapsed="false">
      <c r="A177" s="655"/>
      <c r="B177" s="661" t="s">
        <v>231</v>
      </c>
      <c r="C177" s="663"/>
      <c r="D177" s="601"/>
      <c r="E177" s="469"/>
      <c r="F177" s="469"/>
      <c r="G177" s="469"/>
      <c r="H177" s="418"/>
      <c r="I177" s="679"/>
      <c r="J177" s="592"/>
      <c r="K177" s="592"/>
      <c r="L177" s="604"/>
      <c r="M177" s="604"/>
    </row>
    <row r="178" customFormat="false" ht="20" hidden="false" customHeight="true" outlineLevel="0" collapsed="false">
      <c r="A178" s="655"/>
      <c r="B178" s="661" t="s">
        <v>232</v>
      </c>
      <c r="C178" s="663"/>
      <c r="D178" s="601"/>
      <c r="E178" s="469"/>
      <c r="F178" s="469"/>
      <c r="G178" s="469"/>
      <c r="H178" s="418"/>
      <c r="I178" s="679"/>
      <c r="J178" s="592"/>
      <c r="K178" s="592"/>
      <c r="L178" s="604"/>
      <c r="M178" s="604"/>
    </row>
    <row r="179" customFormat="false" ht="20" hidden="false" customHeight="true" outlineLevel="0" collapsed="false">
      <c r="A179" s="655" t="s">
        <v>1086</v>
      </c>
      <c r="B179" s="680" t="s">
        <v>1087</v>
      </c>
      <c r="C179" s="681" t="n">
        <v>4</v>
      </c>
      <c r="D179" s="601" t="s">
        <v>1039</v>
      </c>
      <c r="E179" s="469"/>
      <c r="F179" s="469"/>
      <c r="G179" s="469"/>
      <c r="H179" s="418"/>
      <c r="I179" s="679"/>
      <c r="J179" s="592"/>
      <c r="K179" s="592"/>
      <c r="L179" s="604"/>
      <c r="M179" s="604"/>
    </row>
    <row r="180" customFormat="false" ht="20" hidden="false" customHeight="true" outlineLevel="0" collapsed="false">
      <c r="A180" s="655" t="s">
        <v>1088</v>
      </c>
      <c r="B180" s="680"/>
      <c r="C180" s="663"/>
      <c r="D180" s="601"/>
      <c r="E180" s="469"/>
      <c r="F180" s="469"/>
      <c r="G180" s="469"/>
      <c r="H180" s="418"/>
      <c r="I180" s="679"/>
      <c r="J180" s="592"/>
      <c r="K180" s="592"/>
      <c r="L180" s="604"/>
      <c r="M180" s="604"/>
    </row>
    <row r="181" customFormat="false" ht="20" hidden="false" customHeight="true" outlineLevel="0" collapsed="false">
      <c r="A181" s="655" t="s">
        <v>1089</v>
      </c>
      <c r="B181" s="680"/>
      <c r="C181" s="663"/>
      <c r="D181" s="601"/>
      <c r="E181" s="469"/>
      <c r="F181" s="469"/>
      <c r="G181" s="469"/>
      <c r="H181" s="418"/>
      <c r="I181" s="679"/>
      <c r="J181" s="592"/>
      <c r="K181" s="592"/>
      <c r="L181" s="604"/>
      <c r="M181" s="604"/>
    </row>
    <row r="182" customFormat="false" ht="20" hidden="false" customHeight="true" outlineLevel="0" collapsed="false">
      <c r="A182" s="655" t="s">
        <v>1090</v>
      </c>
      <c r="B182" s="680"/>
      <c r="C182" s="663"/>
      <c r="D182" s="601"/>
      <c r="E182" s="469"/>
      <c r="F182" s="469"/>
      <c r="G182" s="469"/>
      <c r="H182" s="418"/>
      <c r="I182" s="679"/>
      <c r="J182" s="592"/>
      <c r="K182" s="592"/>
      <c r="L182" s="604"/>
      <c r="M182" s="604"/>
    </row>
    <row r="183" customFormat="false" ht="20" hidden="false" customHeight="true" outlineLevel="0" collapsed="false">
      <c r="A183" s="682" t="s">
        <v>233</v>
      </c>
      <c r="B183" s="683"/>
      <c r="C183" s="684"/>
      <c r="D183" s="625"/>
      <c r="E183" s="469"/>
      <c r="F183" s="469"/>
      <c r="G183" s="469"/>
      <c r="H183" s="418"/>
      <c r="I183" s="679"/>
      <c r="J183" s="592"/>
      <c r="K183" s="592"/>
      <c r="L183" s="604"/>
      <c r="M183" s="604"/>
    </row>
    <row r="184" customFormat="false" ht="20" hidden="false" customHeight="true" outlineLevel="0" collapsed="false">
      <c r="A184" s="685"/>
      <c r="B184" s="686"/>
      <c r="C184" s="687"/>
      <c r="D184" s="472"/>
      <c r="E184" s="469"/>
      <c r="F184" s="469"/>
      <c r="G184" s="469"/>
      <c r="H184" s="418"/>
      <c r="I184" s="679"/>
      <c r="J184" s="592"/>
      <c r="K184" s="592"/>
      <c r="L184" s="604"/>
      <c r="M184" s="604"/>
    </row>
    <row r="185" customFormat="false" ht="20" hidden="false" customHeight="true" outlineLevel="0" collapsed="false">
      <c r="A185" s="685"/>
      <c r="B185" s="688" t="s">
        <v>1091</v>
      </c>
      <c r="C185" s="689" t="s">
        <v>1092</v>
      </c>
      <c r="D185" s="472"/>
      <c r="E185" s="469"/>
      <c r="F185" s="469"/>
      <c r="G185" s="469"/>
      <c r="H185" s="690"/>
      <c r="I185" s="691"/>
      <c r="J185" s="592"/>
      <c r="K185" s="592"/>
      <c r="L185" s="556"/>
      <c r="M185" s="556"/>
    </row>
    <row r="186" s="556" customFormat="true" ht="20" hidden="false" customHeight="true" outlineLevel="0" collapsed="false">
      <c r="A186" s="443"/>
      <c r="B186" s="670" t="s">
        <v>372</v>
      </c>
      <c r="C186" s="671" t="n">
        <f aca="false">SUM(B144+C148+B149+C157+B158+C169+C170+C171+C172+C173+B174+C179+C180+C181+C182)</f>
        <v>23</v>
      </c>
      <c r="D186" s="646"/>
      <c r="G186" s="418"/>
      <c r="H186" s="469"/>
      <c r="I186" s="469"/>
      <c r="J186" s="692"/>
      <c r="K186" s="418"/>
      <c r="L186" s="418"/>
      <c r="M186" s="418"/>
      <c r="N186" s="604"/>
      <c r="O186" s="587"/>
      <c r="P186" s="587"/>
      <c r="Q186" s="587"/>
      <c r="R186" s="418"/>
      <c r="S186" s="418"/>
      <c r="T186" s="418"/>
    </row>
    <row r="187" customFormat="false" ht="20" hidden="false" customHeight="true" outlineLevel="0" collapsed="false">
      <c r="A187" s="443"/>
      <c r="E187" s="630"/>
      <c r="F187" s="556"/>
      <c r="G187" s="693"/>
      <c r="H187" s="646"/>
      <c r="K187" s="418"/>
      <c r="R187" s="604"/>
      <c r="S187" s="587"/>
      <c r="T187" s="587"/>
      <c r="U187" s="587"/>
      <c r="V187" s="418"/>
      <c r="W187" s="418"/>
      <c r="X187" s="418"/>
    </row>
    <row r="188" customFormat="false" ht="20" hidden="false" customHeight="true" outlineLevel="0" collapsed="false">
      <c r="B188" s="456" t="s">
        <v>1093</v>
      </c>
      <c r="C188" s="456"/>
      <c r="D188" s="456"/>
      <c r="E188" s="634" t="n">
        <f aca="false">SUMIF(D145:D183,"Locale",C145:C183)</f>
        <v>23</v>
      </c>
      <c r="F188" s="636" t="s">
        <v>372</v>
      </c>
      <c r="K188" s="418"/>
      <c r="N188" s="592"/>
      <c r="O188" s="592"/>
      <c r="P188" s="604"/>
      <c r="Q188" s="604"/>
      <c r="R188" s="604"/>
      <c r="S188" s="587"/>
      <c r="T188" s="587"/>
      <c r="U188" s="587"/>
      <c r="V188" s="418"/>
      <c r="W188" s="418"/>
      <c r="X188" s="418"/>
    </row>
    <row r="189" customFormat="false" ht="20" hidden="false" customHeight="true" outlineLevel="0" collapsed="false">
      <c r="B189" s="673" t="s">
        <v>1094</v>
      </c>
      <c r="C189" s="673"/>
      <c r="D189" s="673"/>
      <c r="H189" s="645"/>
      <c r="I189" s="644"/>
      <c r="J189" s="646"/>
      <c r="M189" s="418"/>
      <c r="P189" s="592"/>
      <c r="Q189" s="592"/>
      <c r="R189" s="418"/>
      <c r="S189" s="418"/>
      <c r="T189" s="604"/>
      <c r="U189" s="587"/>
      <c r="V189" s="587"/>
      <c r="W189" s="587"/>
      <c r="X189" s="418"/>
      <c r="Y189" s="418"/>
      <c r="Z189" s="418"/>
    </row>
    <row r="190" customFormat="false" ht="20" hidden="false" customHeight="true" outlineLevel="0" collapsed="false">
      <c r="B190" s="674"/>
      <c r="C190" s="675" t="s">
        <v>1095</v>
      </c>
      <c r="D190" s="675"/>
      <c r="E190" s="676"/>
      <c r="F190" s="677" t="s">
        <v>372</v>
      </c>
      <c r="H190" s="645"/>
      <c r="I190" s="644"/>
      <c r="J190" s="646"/>
      <c r="M190" s="418"/>
      <c r="P190" s="592"/>
      <c r="Q190" s="592"/>
      <c r="R190" s="418"/>
      <c r="S190" s="418"/>
      <c r="T190" s="604"/>
      <c r="U190" s="587"/>
      <c r="V190" s="587"/>
      <c r="W190" s="587"/>
      <c r="X190" s="418"/>
      <c r="Y190" s="418"/>
      <c r="Z190" s="418"/>
    </row>
    <row r="191" customFormat="false" ht="20" hidden="false" customHeight="true" outlineLevel="0" collapsed="false">
      <c r="C191" s="675" t="s">
        <v>1096</v>
      </c>
      <c r="D191" s="675"/>
      <c r="E191" s="676"/>
      <c r="F191" s="677" t="s">
        <v>372</v>
      </c>
      <c r="G191" s="644"/>
      <c r="H191" s="645"/>
      <c r="I191" s="644"/>
      <c r="J191" s="646"/>
      <c r="M191" s="418"/>
      <c r="P191" s="592"/>
      <c r="Q191" s="592"/>
      <c r="R191" s="418"/>
      <c r="S191" s="418"/>
      <c r="T191" s="604"/>
      <c r="U191" s="587"/>
      <c r="V191" s="587"/>
      <c r="W191" s="587"/>
      <c r="X191" s="418"/>
      <c r="Y191" s="418"/>
      <c r="Z191" s="418"/>
    </row>
    <row r="192" customFormat="false" ht="20" hidden="false" customHeight="true" outlineLevel="0" collapsed="false">
      <c r="F192" s="630"/>
      <c r="G192" s="644"/>
      <c r="H192" s="645"/>
      <c r="I192" s="644"/>
      <c r="J192" s="646"/>
      <c r="M192" s="418"/>
      <c r="P192" s="592"/>
      <c r="Q192" s="592"/>
      <c r="R192" s="418"/>
      <c r="S192" s="418"/>
      <c r="T192" s="604"/>
      <c r="U192" s="587"/>
      <c r="V192" s="587"/>
      <c r="W192" s="587"/>
      <c r="X192" s="418"/>
      <c r="Y192" s="418"/>
      <c r="Z192" s="418"/>
    </row>
    <row r="193" customFormat="false" ht="20" hidden="false" customHeight="true" outlineLevel="0" collapsed="false">
      <c r="F193" s="630"/>
      <c r="G193" s="644"/>
      <c r="H193" s="645"/>
      <c r="I193" s="644"/>
      <c r="J193" s="646"/>
      <c r="M193" s="418"/>
      <c r="P193" s="592"/>
      <c r="Q193" s="592"/>
      <c r="R193" s="418"/>
      <c r="S193" s="418"/>
      <c r="T193" s="604"/>
      <c r="U193" s="587"/>
      <c r="V193" s="587"/>
      <c r="W193" s="587"/>
      <c r="X193" s="418"/>
      <c r="Y193" s="418"/>
      <c r="Z193" s="418"/>
    </row>
    <row r="194" s="469" customFormat="true" ht="20" hidden="false" customHeight="true" outlineLevel="0" collapsed="false">
      <c r="A194" s="11"/>
      <c r="B194" s="420" t="s">
        <v>1097</v>
      </c>
      <c r="C194" s="443"/>
      <c r="D194" s="427"/>
      <c r="E194" s="427"/>
      <c r="F194" s="427"/>
      <c r="G194" s="427"/>
      <c r="H194" s="11"/>
      <c r="I194" s="11"/>
      <c r="J194" s="694"/>
      <c r="M194" s="418"/>
      <c r="N194" s="11"/>
      <c r="O194" s="11"/>
      <c r="P194" s="592"/>
      <c r="Q194" s="592"/>
      <c r="R194" s="418"/>
      <c r="S194" s="418"/>
      <c r="T194" s="604"/>
      <c r="U194" s="587"/>
      <c r="V194" s="587"/>
      <c r="W194" s="587"/>
      <c r="X194" s="418"/>
      <c r="Y194" s="418"/>
      <c r="Z194" s="418"/>
    </row>
    <row r="195" s="556" customFormat="true" ht="20" hidden="false" customHeight="true" outlineLevel="0" collapsed="false">
      <c r="A195" s="418"/>
      <c r="B195" s="418"/>
      <c r="C195" s="587"/>
      <c r="D195" s="692"/>
      <c r="E195" s="418"/>
      <c r="F195" s="418"/>
      <c r="G195" s="416"/>
      <c r="H195" s="416"/>
      <c r="I195" s="416"/>
      <c r="J195" s="695"/>
      <c r="L195" s="418"/>
      <c r="M195" s="418"/>
      <c r="N195" s="11"/>
      <c r="O195" s="11"/>
      <c r="P195" s="592"/>
      <c r="Q195" s="592"/>
      <c r="R195" s="418"/>
      <c r="S195" s="418"/>
    </row>
    <row r="196" s="469" customFormat="true" ht="20" hidden="false" customHeight="true" outlineLevel="0" collapsed="false">
      <c r="A196" s="467" t="s">
        <v>1098</v>
      </c>
      <c r="B196" s="468"/>
      <c r="F196" s="648"/>
      <c r="H196" s="470"/>
      <c r="I196" s="470"/>
      <c r="J196" s="470"/>
      <c r="L196" s="469" t="s">
        <v>1099</v>
      </c>
      <c r="N196" s="11"/>
      <c r="O196" s="11"/>
      <c r="P196" s="592"/>
      <c r="T196" s="696"/>
      <c r="U196" s="418"/>
      <c r="V196" s="418"/>
      <c r="W196" s="418"/>
      <c r="X196" s="690"/>
      <c r="Y196" s="697"/>
      <c r="Z196" s="592"/>
      <c r="AA196" s="592"/>
    </row>
    <row r="197" customFormat="false" ht="20" hidden="false" customHeight="true" outlineLevel="0" collapsed="false">
      <c r="A197" s="468"/>
      <c r="B197" s="468"/>
      <c r="C197" s="469"/>
      <c r="D197" s="469"/>
      <c r="E197" s="469"/>
      <c r="F197" s="469"/>
      <c r="G197" s="469"/>
      <c r="J197" s="470"/>
      <c r="L197" s="470"/>
      <c r="P197" s="592"/>
      <c r="Q197" s="469"/>
      <c r="R197" s="469"/>
      <c r="S197" s="469"/>
    </row>
    <row r="198" customFormat="false" ht="20" hidden="false" customHeight="true" outlineLevel="0" collapsed="false">
      <c r="A198" s="698"/>
      <c r="B198" s="699" t="s">
        <v>1100</v>
      </c>
      <c r="C198" s="699"/>
      <c r="D198" s="699"/>
      <c r="E198" s="699"/>
      <c r="F198" s="699"/>
      <c r="G198" s="699" t="s">
        <v>1101</v>
      </c>
      <c r="H198" s="699"/>
      <c r="I198" s="699"/>
      <c r="J198" s="699" t="s">
        <v>1102</v>
      </c>
      <c r="K198" s="699"/>
      <c r="L198" s="699"/>
      <c r="O198" s="696"/>
    </row>
    <row r="199" customFormat="false" ht="69" hidden="false" customHeight="true" outlineLevel="0" collapsed="false">
      <c r="A199" s="700"/>
      <c r="B199" s="701" t="s">
        <v>1103</v>
      </c>
      <c r="C199" s="702" t="s">
        <v>287</v>
      </c>
      <c r="D199" s="703" t="s">
        <v>1104</v>
      </c>
      <c r="E199" s="703" t="s">
        <v>1105</v>
      </c>
      <c r="F199" s="702" t="s">
        <v>402</v>
      </c>
      <c r="G199" s="704" t="s">
        <v>1106</v>
      </c>
      <c r="H199" s="705" t="s">
        <v>179</v>
      </c>
      <c r="I199" s="705"/>
      <c r="J199" s="704" t="s">
        <v>1107</v>
      </c>
      <c r="K199" s="705" t="s">
        <v>296</v>
      </c>
      <c r="L199" s="705"/>
      <c r="O199" s="592"/>
      <c r="P199" s="604"/>
    </row>
    <row r="200" customFormat="false" ht="30" hidden="false" customHeight="true" outlineLevel="0" collapsed="false">
      <c r="A200" s="706"/>
      <c r="B200" s="707" t="s">
        <v>1108</v>
      </c>
      <c r="C200" s="569" t="s">
        <v>91</v>
      </c>
      <c r="D200" s="569" t="s">
        <v>1109</v>
      </c>
      <c r="E200" s="708" t="s">
        <v>1110</v>
      </c>
      <c r="F200" s="709"/>
      <c r="G200" s="710" t="s">
        <v>1073</v>
      </c>
      <c r="H200" s="572"/>
      <c r="I200" s="572"/>
      <c r="J200" s="710" t="s">
        <v>1073</v>
      </c>
      <c r="K200" s="572"/>
      <c r="L200" s="572"/>
      <c r="O200" s="592"/>
      <c r="P200" s="604"/>
    </row>
    <row r="201" customFormat="false" ht="30.75" hidden="false" customHeight="true" outlineLevel="0" collapsed="false">
      <c r="A201" s="711" t="s">
        <v>1111</v>
      </c>
      <c r="B201" s="712"/>
      <c r="C201" s="713"/>
      <c r="D201" s="713"/>
      <c r="E201" s="713"/>
      <c r="F201" s="714"/>
      <c r="G201" s="715"/>
      <c r="H201" s="716"/>
      <c r="I201" s="716"/>
      <c r="J201" s="715"/>
      <c r="K201" s="716"/>
      <c r="L201" s="716"/>
      <c r="O201" s="592"/>
      <c r="P201" s="604"/>
    </row>
    <row r="202" customFormat="false" ht="20" hidden="false" customHeight="true" outlineLevel="0" collapsed="false">
      <c r="A202" s="717" t="s">
        <v>298</v>
      </c>
      <c r="B202" s="718" t="s">
        <v>986</v>
      </c>
      <c r="C202" s="494" t="n">
        <v>19.22</v>
      </c>
      <c r="D202" s="494" t="n">
        <v>11</v>
      </c>
      <c r="E202" s="719"/>
      <c r="F202" s="720" t="n">
        <f aca="false">C202*D202</f>
        <v>211.42</v>
      </c>
      <c r="G202" s="721" t="n">
        <f aca="false">I144</f>
        <v>0</v>
      </c>
      <c r="H202" s="722"/>
      <c r="I202" s="722"/>
      <c r="J202" s="493"/>
      <c r="K202" s="722"/>
      <c r="L202" s="722"/>
      <c r="O202" s="592"/>
      <c r="P202" s="604"/>
    </row>
    <row r="203" customFormat="false" ht="20" hidden="false" customHeight="true" outlineLevel="0" collapsed="false">
      <c r="A203" s="717" t="s">
        <v>191</v>
      </c>
      <c r="B203" s="718"/>
      <c r="C203" s="494"/>
      <c r="D203" s="494"/>
      <c r="E203" s="723"/>
      <c r="F203" s="720" t="n">
        <f aca="false">C203*D203</f>
        <v>0</v>
      </c>
      <c r="G203" s="721" t="n">
        <f aca="false">I149</f>
        <v>0</v>
      </c>
      <c r="H203" s="722"/>
      <c r="I203" s="722"/>
      <c r="J203" s="493"/>
      <c r="K203" s="722"/>
      <c r="L203" s="722"/>
      <c r="O203" s="592"/>
      <c r="P203" s="604"/>
    </row>
    <row r="204" customFormat="false" ht="20" hidden="false" customHeight="true" outlineLevel="0" collapsed="false">
      <c r="A204" s="717" t="s">
        <v>195</v>
      </c>
      <c r="B204" s="718"/>
      <c r="C204" s="724"/>
      <c r="D204" s="494"/>
      <c r="E204" s="723"/>
      <c r="F204" s="720" t="n">
        <f aca="false">C204*D204</f>
        <v>0</v>
      </c>
      <c r="G204" s="725" t="n">
        <f aca="false">I151+I152+I153</f>
        <v>0</v>
      </c>
      <c r="H204" s="722"/>
      <c r="I204" s="722"/>
      <c r="J204" s="493"/>
      <c r="K204" s="722"/>
      <c r="L204" s="722"/>
      <c r="O204" s="592"/>
      <c r="P204" s="604"/>
    </row>
    <row r="205" customFormat="false" ht="20" hidden="false" customHeight="true" outlineLevel="0" collapsed="false">
      <c r="A205" s="717" t="s">
        <v>299</v>
      </c>
      <c r="B205" s="718"/>
      <c r="C205" s="724"/>
      <c r="D205" s="494"/>
      <c r="E205" s="723"/>
      <c r="F205" s="720" t="n">
        <f aca="false">C205*D205</f>
        <v>0</v>
      </c>
      <c r="G205" s="721" t="n">
        <f aca="false">I148</f>
        <v>0</v>
      </c>
      <c r="H205" s="722"/>
      <c r="I205" s="722"/>
      <c r="J205" s="493"/>
      <c r="K205" s="722"/>
      <c r="L205" s="722"/>
      <c r="O205" s="592"/>
      <c r="P205" s="604"/>
    </row>
    <row r="206" customFormat="false" ht="20" hidden="false" customHeight="true" outlineLevel="0" collapsed="false">
      <c r="A206" s="717" t="s">
        <v>193</v>
      </c>
      <c r="B206" s="718"/>
      <c r="C206" s="724"/>
      <c r="D206" s="494"/>
      <c r="E206" s="723"/>
      <c r="F206" s="720" t="n">
        <f aca="false">C206*D206</f>
        <v>0</v>
      </c>
      <c r="G206" s="721" t="n">
        <f aca="false">I150</f>
        <v>0</v>
      </c>
      <c r="H206" s="722"/>
      <c r="I206" s="722"/>
      <c r="J206" s="493"/>
      <c r="K206" s="722"/>
      <c r="L206" s="722"/>
      <c r="O206" s="592"/>
      <c r="P206" s="604"/>
    </row>
    <row r="207" customFormat="false" ht="20" hidden="false" customHeight="true" outlineLevel="0" collapsed="false">
      <c r="A207" s="717" t="s">
        <v>1112</v>
      </c>
      <c r="B207" s="718"/>
      <c r="C207" s="724"/>
      <c r="D207" s="494"/>
      <c r="E207" s="723"/>
      <c r="F207" s="720" t="n">
        <f aca="false">C207*D207</f>
        <v>0</v>
      </c>
      <c r="G207" s="726"/>
      <c r="H207" s="722"/>
      <c r="I207" s="722"/>
      <c r="J207" s="493"/>
      <c r="K207" s="722"/>
      <c r="L207" s="722"/>
      <c r="O207" s="592"/>
      <c r="P207" s="604"/>
    </row>
    <row r="208" customFormat="false" ht="20" hidden="false" customHeight="true" outlineLevel="0" collapsed="false">
      <c r="A208" s="727" t="s">
        <v>1113</v>
      </c>
      <c r="B208" s="718"/>
      <c r="C208" s="724"/>
      <c r="D208" s="494"/>
      <c r="E208" s="728"/>
      <c r="F208" s="720" t="n">
        <f aca="false">C208*D208</f>
        <v>0</v>
      </c>
      <c r="G208" s="729"/>
      <c r="H208" s="722"/>
      <c r="I208" s="722"/>
      <c r="J208" s="493"/>
      <c r="K208" s="722"/>
      <c r="L208" s="722"/>
      <c r="O208" s="696"/>
      <c r="P208" s="696"/>
    </row>
    <row r="209" customFormat="false" ht="20" hidden="false" customHeight="true" outlineLevel="0" collapsed="false">
      <c r="A209" s="717" t="s">
        <v>1114</v>
      </c>
      <c r="B209" s="718"/>
      <c r="C209" s="494"/>
      <c r="D209" s="494"/>
      <c r="E209" s="728"/>
      <c r="F209" s="720" t="n">
        <f aca="false">C209*D209</f>
        <v>0</v>
      </c>
      <c r="G209" s="729"/>
      <c r="H209" s="722"/>
      <c r="I209" s="722"/>
      <c r="J209" s="493"/>
      <c r="K209" s="722"/>
      <c r="L209" s="722"/>
      <c r="O209" s="696"/>
      <c r="P209" s="696"/>
    </row>
    <row r="210" customFormat="false" ht="20" hidden="false" customHeight="true" outlineLevel="0" collapsed="false">
      <c r="A210" s="717" t="s">
        <v>302</v>
      </c>
      <c r="B210" s="718"/>
      <c r="C210" s="494"/>
      <c r="D210" s="494"/>
      <c r="E210" s="728"/>
      <c r="F210" s="720" t="n">
        <f aca="false">C210*D210</f>
        <v>0</v>
      </c>
      <c r="G210" s="729"/>
      <c r="H210" s="722"/>
      <c r="I210" s="722"/>
      <c r="J210" s="493"/>
      <c r="K210" s="722"/>
      <c r="L210" s="722"/>
      <c r="O210" s="469"/>
      <c r="P210" s="469"/>
    </row>
    <row r="211" customFormat="false" ht="20" hidden="false" customHeight="true" outlineLevel="0" collapsed="false">
      <c r="A211" s="717" t="s">
        <v>303</v>
      </c>
      <c r="B211" s="718"/>
      <c r="C211" s="494"/>
      <c r="D211" s="494"/>
      <c r="E211" s="728"/>
      <c r="F211" s="720" t="n">
        <f aca="false">C211*D211</f>
        <v>0</v>
      </c>
      <c r="G211" s="721" t="s">
        <v>1115</v>
      </c>
      <c r="H211" s="722"/>
      <c r="I211" s="722"/>
      <c r="J211" s="493"/>
      <c r="K211" s="722"/>
      <c r="L211" s="722"/>
      <c r="O211" s="696"/>
      <c r="P211" s="696"/>
    </row>
    <row r="212" customFormat="false" ht="20" hidden="false" customHeight="true" outlineLevel="0" collapsed="false">
      <c r="A212" s="717" t="s">
        <v>1116</v>
      </c>
      <c r="B212" s="718"/>
      <c r="C212" s="494"/>
      <c r="D212" s="494"/>
      <c r="E212" s="728"/>
      <c r="F212" s="720" t="n">
        <f aca="false">C212*D212</f>
        <v>0</v>
      </c>
      <c r="G212" s="725" t="n">
        <f aca="false">I154</f>
        <v>0</v>
      </c>
      <c r="H212" s="722"/>
      <c r="I212" s="722"/>
      <c r="J212" s="493"/>
      <c r="K212" s="722"/>
      <c r="L212" s="722"/>
      <c r="O212" s="696"/>
      <c r="P212" s="696"/>
    </row>
    <row r="213" customFormat="false" ht="20" hidden="false" customHeight="true" outlineLevel="0" collapsed="false">
      <c r="A213" s="730" t="s">
        <v>1117</v>
      </c>
      <c r="B213" s="731"/>
      <c r="C213" s="713"/>
      <c r="D213" s="713"/>
      <c r="E213" s="713"/>
      <c r="F213" s="714"/>
      <c r="G213" s="484" t="s">
        <v>1118</v>
      </c>
      <c r="H213" s="716"/>
      <c r="I213" s="716"/>
      <c r="J213" s="715"/>
      <c r="K213" s="716"/>
      <c r="L213" s="716"/>
      <c r="O213" s="470"/>
      <c r="P213" s="470"/>
    </row>
    <row r="214" customFormat="false" ht="20" hidden="false" customHeight="true" outlineLevel="0" collapsed="false">
      <c r="A214" s="732" t="s">
        <v>304</v>
      </c>
      <c r="B214" s="733"/>
      <c r="C214" s="734"/>
      <c r="D214" s="494"/>
      <c r="E214" s="723"/>
      <c r="F214" s="720" t="n">
        <f aca="false">C214*D214</f>
        <v>0</v>
      </c>
      <c r="G214" s="725" t="n">
        <f aca="false">I156</f>
        <v>0</v>
      </c>
      <c r="H214" s="722"/>
      <c r="I214" s="722"/>
      <c r="J214" s="493"/>
      <c r="K214" s="722"/>
      <c r="L214" s="722"/>
      <c r="O214" s="575"/>
      <c r="P214" s="469"/>
    </row>
    <row r="215" customFormat="false" ht="20" hidden="false" customHeight="true" outlineLevel="0" collapsed="false">
      <c r="A215" s="727" t="s">
        <v>305</v>
      </c>
      <c r="B215" s="733"/>
      <c r="C215" s="734"/>
      <c r="D215" s="494"/>
      <c r="E215" s="723"/>
      <c r="F215" s="720" t="n">
        <f aca="false">C215*D215</f>
        <v>0</v>
      </c>
      <c r="G215" s="725" t="n">
        <f aca="false">I155</f>
        <v>75</v>
      </c>
      <c r="H215" s="722"/>
      <c r="I215" s="722"/>
      <c r="J215" s="493"/>
      <c r="K215" s="722"/>
      <c r="L215" s="722"/>
      <c r="O215" s="575"/>
      <c r="P215" s="469"/>
    </row>
    <row r="216" customFormat="false" ht="30" hidden="false" customHeight="true" outlineLevel="0" collapsed="false">
      <c r="A216" s="711" t="s">
        <v>1119</v>
      </c>
      <c r="B216" s="735"/>
      <c r="C216" s="713"/>
      <c r="D216" s="713"/>
      <c r="E216" s="736" t="s">
        <v>1120</v>
      </c>
      <c r="F216" s="714"/>
      <c r="G216" s="484" t="s">
        <v>1118</v>
      </c>
      <c r="H216" s="716"/>
      <c r="I216" s="716"/>
      <c r="J216" s="715"/>
      <c r="K216" s="716"/>
      <c r="L216" s="716"/>
      <c r="O216" s="470"/>
      <c r="P216" s="470"/>
    </row>
    <row r="217" customFormat="false" ht="20" hidden="false" customHeight="true" outlineLevel="0" collapsed="false">
      <c r="A217" s="737" t="s">
        <v>1121</v>
      </c>
      <c r="B217" s="718" t="s">
        <v>1122</v>
      </c>
      <c r="C217" s="494" t="n">
        <v>55.02</v>
      </c>
      <c r="D217" s="494" t="n">
        <v>0.97</v>
      </c>
      <c r="E217" s="738" t="n">
        <v>0.25</v>
      </c>
      <c r="F217" s="720" t="n">
        <f aca="false">C217*D217</f>
        <v>53.3694</v>
      </c>
      <c r="G217" s="721" t="s">
        <v>1123</v>
      </c>
      <c r="H217" s="722"/>
      <c r="I217" s="722"/>
      <c r="J217" s="493"/>
      <c r="K217" s="722"/>
      <c r="L217" s="722"/>
      <c r="O217" s="470"/>
      <c r="P217" s="470"/>
    </row>
    <row r="218" customFormat="false" ht="20" hidden="false" customHeight="true" outlineLevel="0" collapsed="false">
      <c r="A218" s="717" t="s">
        <v>1124</v>
      </c>
      <c r="B218" s="718"/>
      <c r="C218" s="494"/>
      <c r="D218" s="494"/>
      <c r="E218" s="723"/>
      <c r="F218" s="720" t="n">
        <f aca="false">C218*D218</f>
        <v>0</v>
      </c>
      <c r="G218" s="725" t="n">
        <f aca="false">I145</f>
        <v>0</v>
      </c>
      <c r="H218" s="722"/>
      <c r="I218" s="722"/>
      <c r="J218" s="493"/>
      <c r="K218" s="722"/>
      <c r="L218" s="722"/>
      <c r="O218" s="469"/>
      <c r="P218" s="469"/>
    </row>
    <row r="219" customFormat="false" ht="20" hidden="false" customHeight="true" outlineLevel="0" collapsed="false">
      <c r="A219" s="717" t="s">
        <v>1125</v>
      </c>
      <c r="B219" s="718"/>
      <c r="C219" s="494"/>
      <c r="D219" s="494"/>
      <c r="E219" s="723"/>
      <c r="F219" s="720" t="n">
        <f aca="false">C219*D219</f>
        <v>0</v>
      </c>
      <c r="G219" s="739"/>
      <c r="H219" s="722"/>
      <c r="I219" s="722"/>
      <c r="J219" s="493"/>
      <c r="K219" s="722"/>
      <c r="L219" s="722"/>
      <c r="O219" s="472"/>
      <c r="P219" s="472"/>
    </row>
    <row r="220" customFormat="false" ht="20" hidden="false" customHeight="true" outlineLevel="0" collapsed="false">
      <c r="A220" s="717" t="s">
        <v>1126</v>
      </c>
      <c r="B220" s="718"/>
      <c r="C220" s="494"/>
      <c r="D220" s="494"/>
      <c r="E220" s="723"/>
      <c r="F220" s="720" t="n">
        <f aca="false">C220*D220</f>
        <v>0</v>
      </c>
      <c r="G220" s="721" t="s">
        <v>1127</v>
      </c>
      <c r="H220" s="722"/>
      <c r="I220" s="722"/>
      <c r="J220" s="493"/>
      <c r="K220" s="722"/>
      <c r="L220" s="722"/>
      <c r="O220" s="575"/>
      <c r="P220" s="469"/>
    </row>
    <row r="221" customFormat="false" ht="20" hidden="false" customHeight="true" outlineLevel="0" collapsed="false">
      <c r="A221" s="717" t="s">
        <v>1128</v>
      </c>
      <c r="B221" s="718"/>
      <c r="C221" s="494"/>
      <c r="D221" s="494"/>
      <c r="E221" s="723"/>
      <c r="F221" s="720" t="n">
        <f aca="false">C221*D221</f>
        <v>0</v>
      </c>
      <c r="G221" s="725" t="n">
        <f aca="false">I146</f>
        <v>0</v>
      </c>
      <c r="H221" s="722"/>
      <c r="I221" s="722"/>
      <c r="J221" s="493"/>
      <c r="K221" s="722"/>
      <c r="L221" s="722"/>
      <c r="O221" s="575"/>
      <c r="P221" s="469"/>
    </row>
    <row r="222" customFormat="false" ht="20" hidden="false" customHeight="true" outlineLevel="0" collapsed="false">
      <c r="A222" s="740" t="s">
        <v>1116</v>
      </c>
      <c r="B222" s="718"/>
      <c r="C222" s="494"/>
      <c r="D222" s="494"/>
      <c r="E222" s="728"/>
      <c r="F222" s="720" t="n">
        <f aca="false">C222*D222</f>
        <v>0</v>
      </c>
      <c r="G222" s="739"/>
      <c r="H222" s="722"/>
      <c r="I222" s="722"/>
      <c r="J222" s="493"/>
      <c r="K222" s="722"/>
      <c r="L222" s="722"/>
      <c r="O222" s="575"/>
      <c r="P222" s="469"/>
    </row>
    <row r="223" customFormat="false" ht="20" hidden="false" customHeight="true" outlineLevel="0" collapsed="false">
      <c r="A223" s="730" t="s">
        <v>1129</v>
      </c>
      <c r="B223" s="712"/>
      <c r="C223" s="713"/>
      <c r="D223" s="713"/>
      <c r="E223" s="713"/>
      <c r="F223" s="714"/>
      <c r="G223" s="484" t="s">
        <v>1118</v>
      </c>
      <c r="H223" s="716"/>
      <c r="I223" s="716"/>
      <c r="J223" s="715"/>
      <c r="K223" s="716"/>
      <c r="L223" s="716"/>
      <c r="O223" s="575"/>
      <c r="P223" s="469"/>
    </row>
    <row r="224" customFormat="false" ht="20" hidden="false" customHeight="true" outlineLevel="0" collapsed="false">
      <c r="A224" s="741" t="s">
        <v>314</v>
      </c>
      <c r="B224" s="718" t="s">
        <v>986</v>
      </c>
      <c r="C224" s="494" t="n">
        <v>7.28</v>
      </c>
      <c r="D224" s="504" t="n">
        <v>10</v>
      </c>
      <c r="E224" s="742" t="n">
        <v>1</v>
      </c>
      <c r="F224" s="720" t="n">
        <f aca="false">C224*D224</f>
        <v>72.8</v>
      </c>
      <c r="G224" s="721" t="s">
        <v>1130</v>
      </c>
      <c r="H224" s="722"/>
      <c r="I224" s="722"/>
      <c r="J224" s="493"/>
      <c r="K224" s="722"/>
      <c r="L224" s="722"/>
      <c r="O224" s="575"/>
      <c r="P224" s="469"/>
    </row>
    <row r="225" customFormat="false" ht="20" hidden="false" customHeight="true" outlineLevel="0" collapsed="false">
      <c r="A225" s="741" t="s">
        <v>315</v>
      </c>
      <c r="B225" s="718"/>
      <c r="C225" s="494"/>
      <c r="D225" s="494"/>
      <c r="E225" s="742" t="n">
        <v>1</v>
      </c>
      <c r="F225" s="720" t="n">
        <f aca="false">C225*D225</f>
        <v>0</v>
      </c>
      <c r="G225" s="743" t="n">
        <f aca="false">I147</f>
        <v>0</v>
      </c>
      <c r="H225" s="722"/>
      <c r="I225" s="722"/>
      <c r="J225" s="493"/>
      <c r="K225" s="722"/>
      <c r="L225" s="722"/>
      <c r="O225" s="744"/>
      <c r="P225" s="469"/>
    </row>
    <row r="226" customFormat="false" ht="20" hidden="false" customHeight="true" outlineLevel="0" collapsed="false">
      <c r="A226" s="741" t="s">
        <v>316</v>
      </c>
      <c r="B226" s="718"/>
      <c r="C226" s="494"/>
      <c r="D226" s="494"/>
      <c r="E226" s="742" t="n">
        <v>1</v>
      </c>
      <c r="F226" s="720" t="n">
        <f aca="false">C226*D226</f>
        <v>0</v>
      </c>
      <c r="G226" s="745"/>
      <c r="H226" s="722"/>
      <c r="I226" s="722"/>
      <c r="J226" s="493"/>
      <c r="K226" s="722"/>
      <c r="L226" s="722"/>
      <c r="O226" s="744"/>
      <c r="P226" s="469"/>
    </row>
    <row r="227" customFormat="false" ht="20" hidden="false" customHeight="true" outlineLevel="0" collapsed="false">
      <c r="A227" s="741" t="s">
        <v>317</v>
      </c>
      <c r="B227" s="718"/>
      <c r="C227" s="494"/>
      <c r="D227" s="494"/>
      <c r="E227" s="728"/>
      <c r="F227" s="720" t="n">
        <f aca="false">C227*D227</f>
        <v>0</v>
      </c>
      <c r="G227" s="745"/>
      <c r="H227" s="722"/>
      <c r="I227" s="722"/>
      <c r="J227" s="493"/>
      <c r="K227" s="722"/>
      <c r="L227" s="722"/>
      <c r="O227" s="744"/>
      <c r="P227" s="469"/>
    </row>
    <row r="228" customFormat="false" ht="20" hidden="false" customHeight="true" outlineLevel="0" collapsed="false">
      <c r="A228" s="741" t="s">
        <v>318</v>
      </c>
      <c r="B228" s="718"/>
      <c r="C228" s="494"/>
      <c r="D228" s="494"/>
      <c r="E228" s="728"/>
      <c r="F228" s="720" t="n">
        <f aca="false">C228*D228</f>
        <v>0</v>
      </c>
      <c r="G228" s="745"/>
      <c r="H228" s="722"/>
      <c r="I228" s="722"/>
      <c r="J228" s="493"/>
      <c r="K228" s="722"/>
      <c r="L228" s="722"/>
      <c r="O228" s="744"/>
      <c r="P228" s="469"/>
    </row>
    <row r="229" customFormat="false" ht="20" hidden="false" customHeight="true" outlineLevel="0" collapsed="false">
      <c r="A229" s="741" t="s">
        <v>1131</v>
      </c>
      <c r="B229" s="718"/>
      <c r="C229" s="494"/>
      <c r="D229" s="494"/>
      <c r="E229" s="728"/>
      <c r="F229" s="720" t="n">
        <f aca="false">C229*D229</f>
        <v>0</v>
      </c>
      <c r="G229" s="745"/>
      <c r="H229" s="722"/>
      <c r="I229" s="722"/>
      <c r="J229" s="493"/>
      <c r="K229" s="722"/>
      <c r="L229" s="722"/>
      <c r="O229" s="744"/>
      <c r="P229" s="469"/>
    </row>
    <row r="230" customFormat="false" ht="20" hidden="false" customHeight="true" outlineLevel="0" collapsed="false">
      <c r="A230" s="741" t="s">
        <v>1132</v>
      </c>
      <c r="B230" s="718"/>
      <c r="C230" s="494"/>
      <c r="D230" s="494"/>
      <c r="E230" s="728"/>
      <c r="F230" s="720" t="n">
        <f aca="false">C230*D230</f>
        <v>0</v>
      </c>
      <c r="G230" s="745"/>
      <c r="H230" s="722"/>
      <c r="I230" s="722"/>
      <c r="J230" s="493"/>
      <c r="K230" s="722"/>
      <c r="L230" s="722"/>
      <c r="O230" s="744"/>
      <c r="P230" s="469"/>
    </row>
    <row r="231" customFormat="false" ht="20" hidden="false" customHeight="true" outlineLevel="0" collapsed="false">
      <c r="A231" s="741" t="s">
        <v>1133</v>
      </c>
      <c r="B231" s="718"/>
      <c r="C231" s="494"/>
      <c r="D231" s="494"/>
      <c r="E231" s="728"/>
      <c r="F231" s="720" t="n">
        <f aca="false">C231*D231</f>
        <v>0</v>
      </c>
      <c r="G231" s="746"/>
      <c r="H231" s="722"/>
      <c r="I231" s="722"/>
      <c r="J231" s="493"/>
      <c r="K231" s="722"/>
      <c r="L231" s="722"/>
      <c r="O231" s="575"/>
      <c r="P231" s="469"/>
    </row>
    <row r="232" customFormat="false" ht="31.5" hidden="false" customHeight="true" outlineLevel="0" collapsed="false">
      <c r="A232" s="711" t="s">
        <v>1134</v>
      </c>
      <c r="B232" s="712"/>
      <c r="C232" s="713"/>
      <c r="D232" s="713"/>
      <c r="E232" s="713"/>
      <c r="F232" s="714"/>
      <c r="G232" s="484" t="s">
        <v>1118</v>
      </c>
      <c r="H232" s="716"/>
      <c r="I232" s="716"/>
      <c r="J232" s="715"/>
      <c r="K232" s="716"/>
      <c r="L232" s="716"/>
      <c r="O232" s="575"/>
      <c r="P232" s="469"/>
    </row>
    <row r="233" customFormat="false" ht="20" hidden="false" customHeight="true" outlineLevel="0" collapsed="false">
      <c r="A233" s="717" t="s">
        <v>1135</v>
      </c>
      <c r="B233" s="747" t="s">
        <v>1122</v>
      </c>
      <c r="C233" s="494" t="n">
        <v>64.06</v>
      </c>
      <c r="D233" s="494" t="n">
        <v>0.68</v>
      </c>
      <c r="E233" s="728" t="n">
        <v>0.1</v>
      </c>
      <c r="F233" s="720" t="n">
        <f aca="false">C233*D233</f>
        <v>43.5608</v>
      </c>
      <c r="G233" s="726"/>
      <c r="H233" s="722"/>
      <c r="I233" s="722"/>
      <c r="J233" s="493"/>
      <c r="K233" s="722"/>
      <c r="L233" s="722"/>
      <c r="O233" s="469"/>
    </row>
    <row r="234" customFormat="false" ht="20" hidden="false" customHeight="true" outlineLevel="0" collapsed="false">
      <c r="A234" s="717" t="s">
        <v>1136</v>
      </c>
      <c r="B234" s="733"/>
      <c r="C234" s="494"/>
      <c r="D234" s="494"/>
      <c r="E234" s="728"/>
      <c r="F234" s="720" t="n">
        <f aca="false">C234*D234</f>
        <v>0</v>
      </c>
      <c r="G234" s="729"/>
      <c r="H234" s="722"/>
      <c r="I234" s="722"/>
      <c r="J234" s="493"/>
      <c r="K234" s="722"/>
      <c r="L234" s="722"/>
      <c r="O234" s="469"/>
    </row>
    <row r="235" customFormat="false" ht="20" hidden="false" customHeight="true" outlineLevel="0" collapsed="false">
      <c r="A235" s="717" t="s">
        <v>1137</v>
      </c>
      <c r="B235" s="733"/>
      <c r="C235" s="494"/>
      <c r="D235" s="494"/>
      <c r="E235" s="728"/>
      <c r="F235" s="720" t="n">
        <f aca="false">C235*D235</f>
        <v>0</v>
      </c>
      <c r="G235" s="729"/>
      <c r="H235" s="722"/>
      <c r="I235" s="722"/>
      <c r="J235" s="493"/>
      <c r="K235" s="722"/>
      <c r="L235" s="722"/>
      <c r="O235" s="469"/>
    </row>
    <row r="236" customFormat="false" ht="20" hidden="false" customHeight="true" outlineLevel="0" collapsed="false">
      <c r="A236" s="717" t="s">
        <v>1138</v>
      </c>
      <c r="B236" s="733"/>
      <c r="C236" s="494"/>
      <c r="D236" s="494"/>
      <c r="E236" s="728"/>
      <c r="F236" s="720" t="n">
        <f aca="false">C236*D236</f>
        <v>0</v>
      </c>
      <c r="G236" s="729"/>
      <c r="H236" s="722"/>
      <c r="I236" s="722"/>
      <c r="J236" s="493"/>
      <c r="K236" s="722"/>
      <c r="L236" s="722"/>
      <c r="O236" s="469"/>
    </row>
    <row r="237" customFormat="false" ht="20" hidden="false" customHeight="true" outlineLevel="0" collapsed="false">
      <c r="A237" s="730" t="s">
        <v>185</v>
      </c>
      <c r="B237" s="748"/>
      <c r="C237" s="749"/>
      <c r="D237" s="749"/>
      <c r="E237" s="749"/>
      <c r="F237" s="720" t="n">
        <f aca="false">C237*D237</f>
        <v>0</v>
      </c>
      <c r="G237" s="729"/>
      <c r="H237" s="722"/>
      <c r="I237" s="722"/>
      <c r="J237" s="750"/>
      <c r="K237" s="722"/>
      <c r="L237" s="722"/>
      <c r="O237" s="470"/>
      <c r="P237" s="604"/>
    </row>
    <row r="238" customFormat="false" ht="20" hidden="false" customHeight="true" outlineLevel="0" collapsed="false">
      <c r="A238" s="751" t="s">
        <v>187</v>
      </c>
      <c r="B238" s="752"/>
      <c r="C238" s="753"/>
      <c r="D238" s="753"/>
      <c r="E238" s="753"/>
      <c r="F238" s="754" t="n">
        <f aca="false">C238*D238</f>
        <v>0</v>
      </c>
      <c r="G238" s="755"/>
      <c r="H238" s="756"/>
      <c r="I238" s="756"/>
      <c r="J238" s="757"/>
      <c r="K238" s="756"/>
      <c r="L238" s="756"/>
      <c r="O238" s="587"/>
      <c r="P238" s="587"/>
    </row>
    <row r="239" s="11" customFormat="true" ht="20" hidden="false" customHeight="true" outlineLevel="0" collapsed="false">
      <c r="A239" s="758"/>
      <c r="B239" s="759"/>
      <c r="C239" s="760"/>
      <c r="D239" s="761"/>
      <c r="E239" s="761"/>
      <c r="F239" s="761"/>
      <c r="G239" s="762"/>
      <c r="L239" s="469"/>
      <c r="M239" s="469"/>
      <c r="N239" s="587"/>
      <c r="O239" s="587"/>
    </row>
    <row r="240" customFormat="false" ht="15" hidden="false" customHeight="true" outlineLevel="0" collapsed="false">
      <c r="A240" s="438"/>
      <c r="B240" s="763"/>
      <c r="C240" s="642"/>
      <c r="D240" s="763"/>
      <c r="E240" s="764" t="s">
        <v>1139</v>
      </c>
      <c r="F240" s="764"/>
      <c r="G240" s="634" t="n">
        <f aca="false">SUM(F202:F238)</f>
        <v>381.1502</v>
      </c>
      <c r="J240" s="19"/>
      <c r="K240" s="472"/>
      <c r="L240" s="472"/>
      <c r="M240" s="587"/>
      <c r="N240" s="587"/>
    </row>
    <row r="241" customFormat="false" ht="15" hidden="false" customHeight="true" outlineLevel="0" collapsed="false">
      <c r="A241" s="765"/>
      <c r="B241" s="766"/>
      <c r="C241" s="766"/>
      <c r="D241" s="767"/>
      <c r="E241" s="768" t="s">
        <v>1140</v>
      </c>
      <c r="F241" s="768"/>
      <c r="G241" s="634" t="n">
        <f aca="false">(SUM(J202:J238))</f>
        <v>0</v>
      </c>
      <c r="K241" s="769"/>
      <c r="L241" s="769"/>
      <c r="M241" s="769"/>
      <c r="N241" s="575"/>
      <c r="O241" s="469"/>
      <c r="P241" s="469"/>
      <c r="Q241" s="469"/>
      <c r="R241" s="469"/>
      <c r="S241" s="469"/>
    </row>
    <row r="242" customFormat="false" ht="15" hidden="false" customHeight="true" outlineLevel="0" collapsed="false">
      <c r="A242" s="765"/>
      <c r="B242" s="766"/>
      <c r="C242" s="766"/>
      <c r="D242" s="767"/>
      <c r="E242" s="768" t="s">
        <v>1141</v>
      </c>
      <c r="F242" s="768"/>
      <c r="G242" s="770" t="n">
        <f aca="false">I161</f>
        <v>0</v>
      </c>
      <c r="K242" s="769"/>
      <c r="L242" s="769"/>
      <c r="M242" s="769"/>
      <c r="N242" s="575"/>
      <c r="O242" s="469"/>
      <c r="P242" s="604"/>
      <c r="Q242" s="604"/>
      <c r="R242" s="587"/>
      <c r="S242" s="587"/>
    </row>
    <row r="243" customFormat="false" ht="15" hidden="false" customHeight="true" outlineLevel="0" collapsed="false">
      <c r="A243" s="765"/>
      <c r="B243" s="766"/>
      <c r="C243" s="766"/>
      <c r="D243" s="767"/>
      <c r="E243" s="768" t="s">
        <v>1142</v>
      </c>
      <c r="F243" s="768"/>
      <c r="G243" s="770" t="n">
        <f aca="false">G240-G241+G242</f>
        <v>381.1502</v>
      </c>
      <c r="K243" s="769"/>
      <c r="L243" s="769"/>
      <c r="M243" s="769"/>
      <c r="N243" s="575"/>
      <c r="O243" s="469"/>
      <c r="P243" s="604"/>
      <c r="Q243" s="604"/>
      <c r="R243" s="587"/>
      <c r="S243" s="587"/>
    </row>
    <row r="244" customFormat="false" ht="20" hidden="false" customHeight="true" outlineLevel="0" collapsed="false">
      <c r="A244" s="765"/>
      <c r="B244" s="766"/>
      <c r="C244" s="766"/>
      <c r="D244" s="767"/>
      <c r="E244" s="771"/>
      <c r="F244" s="586"/>
      <c r="G244" s="586"/>
      <c r="K244" s="769"/>
      <c r="L244" s="769"/>
      <c r="M244" s="769"/>
      <c r="N244" s="575"/>
      <c r="O244" s="469"/>
      <c r="P244" s="604"/>
      <c r="Q244" s="604"/>
      <c r="R244" s="587"/>
      <c r="S244" s="587"/>
    </row>
    <row r="245" s="469" customFormat="true" ht="20" hidden="false" customHeight="true" outlineLevel="0" collapsed="false">
      <c r="A245" s="467" t="s">
        <v>1143</v>
      </c>
      <c r="B245" s="443"/>
      <c r="C245" s="443"/>
      <c r="D245" s="443"/>
      <c r="F245" s="11"/>
      <c r="H245" s="772"/>
      <c r="K245" s="418"/>
      <c r="L245" s="469" t="s">
        <v>1144</v>
      </c>
      <c r="N245" s="773"/>
      <c r="O245" s="772"/>
      <c r="P245" s="774"/>
      <c r="Q245" s="604"/>
      <c r="R245" s="587"/>
      <c r="S245" s="587"/>
      <c r="T245" s="604"/>
      <c r="U245" s="587"/>
      <c r="V245" s="587"/>
      <c r="W245" s="587"/>
      <c r="X245" s="418"/>
      <c r="Y245" s="418"/>
      <c r="Z245" s="418"/>
    </row>
    <row r="246" customFormat="false" ht="20" hidden="false" customHeight="true" outlineLevel="0" collapsed="false">
      <c r="A246" s="69"/>
      <c r="B246" s="69"/>
      <c r="D246" s="69"/>
      <c r="E246" s="69"/>
      <c r="F246" s="69"/>
      <c r="G246" s="69"/>
      <c r="I246" s="469"/>
      <c r="J246" s="469"/>
      <c r="K246" s="575"/>
      <c r="L246" s="575"/>
      <c r="M246" s="587"/>
      <c r="N246" s="587"/>
      <c r="O246" s="418"/>
      <c r="P246" s="418"/>
      <c r="Q246" s="418"/>
    </row>
    <row r="247" customFormat="false" ht="20" hidden="false" customHeight="true" outlineLevel="0" collapsed="false">
      <c r="A247" s="775"/>
      <c r="B247" s="776" t="s">
        <v>1100</v>
      </c>
      <c r="C247" s="776"/>
      <c r="D247" s="776"/>
      <c r="E247" s="776"/>
      <c r="F247" s="776"/>
      <c r="G247" s="777" t="s">
        <v>1101</v>
      </c>
      <c r="H247" s="777"/>
      <c r="I247" s="777"/>
      <c r="J247" s="776" t="s">
        <v>1102</v>
      </c>
      <c r="K247" s="776"/>
      <c r="L247" s="776"/>
      <c r="O247" s="587"/>
      <c r="P247" s="418"/>
      <c r="Q247" s="418"/>
      <c r="R247" s="418"/>
    </row>
    <row r="248" customFormat="false" ht="47.75" hidden="false" customHeight="true" outlineLevel="0" collapsed="false">
      <c r="A248" s="778"/>
      <c r="B248" s="779" t="s">
        <v>1145</v>
      </c>
      <c r="C248" s="780" t="s">
        <v>1103</v>
      </c>
      <c r="D248" s="780" t="s">
        <v>287</v>
      </c>
      <c r="E248" s="590" t="s">
        <v>1146</v>
      </c>
      <c r="F248" s="780" t="s">
        <v>1147</v>
      </c>
      <c r="G248" s="781" t="s">
        <v>1071</v>
      </c>
      <c r="H248" s="782" t="s">
        <v>179</v>
      </c>
      <c r="I248" s="782"/>
      <c r="J248" s="783" t="s">
        <v>403</v>
      </c>
      <c r="K248" s="782" t="s">
        <v>296</v>
      </c>
      <c r="L248" s="782"/>
      <c r="O248" s="418"/>
      <c r="P248" s="587"/>
      <c r="Q248" s="418"/>
      <c r="R248" s="418"/>
      <c r="S248" s="418"/>
    </row>
    <row r="249" customFormat="false" ht="28.25" hidden="false" customHeight="true" outlineLevel="0" collapsed="false">
      <c r="A249" s="778"/>
      <c r="B249" s="784" t="s">
        <v>1148</v>
      </c>
      <c r="C249" s="569" t="s">
        <v>1149</v>
      </c>
      <c r="D249" s="569" t="s">
        <v>91</v>
      </c>
      <c r="E249" s="569" t="s">
        <v>1150</v>
      </c>
      <c r="F249" s="785" t="s">
        <v>1151</v>
      </c>
      <c r="G249" s="710" t="s">
        <v>1151</v>
      </c>
      <c r="H249" s="572"/>
      <c r="I249" s="572"/>
      <c r="J249" s="707" t="s">
        <v>1151</v>
      </c>
      <c r="K249" s="572"/>
      <c r="L249" s="572"/>
      <c r="O249" s="418"/>
      <c r="P249" s="587"/>
      <c r="Q249" s="418"/>
      <c r="R249" s="418"/>
      <c r="S249" s="418"/>
    </row>
    <row r="250" customFormat="false" ht="20" hidden="false" customHeight="true" outlineLevel="0" collapsed="false">
      <c r="A250" s="786" t="s">
        <v>330</v>
      </c>
      <c r="B250" s="715"/>
      <c r="C250" s="713"/>
      <c r="D250" s="713"/>
      <c r="E250" s="713"/>
      <c r="F250" s="787" t="n">
        <f aca="false">SUM(F251:F266)</f>
        <v>132.425</v>
      </c>
      <c r="G250" s="788" t="n">
        <f aca="false">SUM(G251:G266)</f>
        <v>0</v>
      </c>
      <c r="H250" s="716"/>
      <c r="I250" s="716"/>
      <c r="J250" s="789" t="n">
        <f aca="false">SUM(J251:J266)</f>
        <v>0</v>
      </c>
      <c r="K250" s="716"/>
      <c r="L250" s="716"/>
      <c r="O250" s="587"/>
      <c r="P250" s="587"/>
      <c r="Q250" s="418"/>
      <c r="R250" s="418"/>
      <c r="S250" s="418"/>
    </row>
    <row r="251" customFormat="false" ht="20" hidden="false" customHeight="true" outlineLevel="0" collapsed="false">
      <c r="A251" s="790" t="s">
        <v>331</v>
      </c>
      <c r="B251" s="791"/>
      <c r="C251" s="497"/>
      <c r="D251" s="724"/>
      <c r="E251" s="724"/>
      <c r="F251" s="720" t="n">
        <f aca="false">D251*E251/10</f>
        <v>0</v>
      </c>
      <c r="G251" s="792"/>
      <c r="H251" s="722"/>
      <c r="I251" s="722"/>
      <c r="J251" s="793"/>
      <c r="K251" s="722"/>
      <c r="L251" s="722"/>
      <c r="O251" s="587"/>
    </row>
    <row r="252" customFormat="false" ht="20" hidden="false" customHeight="true" outlineLevel="0" collapsed="false">
      <c r="A252" s="794" t="s">
        <v>332</v>
      </c>
      <c r="B252" s="791" t="s">
        <v>1152</v>
      </c>
      <c r="C252" s="795" t="s">
        <v>986</v>
      </c>
      <c r="D252" s="724" t="n">
        <v>11.09</v>
      </c>
      <c r="E252" s="724" t="n">
        <v>70</v>
      </c>
      <c r="F252" s="720" t="n">
        <f aca="false">D252*E252/10</f>
        <v>77.63</v>
      </c>
      <c r="G252" s="796"/>
      <c r="H252" s="797"/>
      <c r="I252" s="797"/>
      <c r="J252" s="798"/>
      <c r="K252" s="722"/>
      <c r="L252" s="722"/>
      <c r="O252" s="587"/>
      <c r="P252" s="587"/>
      <c r="Q252" s="418"/>
      <c r="R252" s="418"/>
      <c r="S252" s="418"/>
    </row>
    <row r="253" customFormat="false" ht="20" hidden="false" customHeight="true" outlineLevel="0" collapsed="false">
      <c r="A253" s="794" t="s">
        <v>333</v>
      </c>
      <c r="B253" s="791"/>
      <c r="C253" s="497"/>
      <c r="D253" s="724"/>
      <c r="E253" s="724"/>
      <c r="F253" s="720" t="n">
        <f aca="false">D253*E253/10</f>
        <v>0</v>
      </c>
      <c r="G253" s="796"/>
      <c r="H253" s="722"/>
      <c r="I253" s="722"/>
      <c r="J253" s="798"/>
      <c r="K253" s="722"/>
      <c r="L253" s="722"/>
      <c r="O253" s="587"/>
      <c r="P253" s="587"/>
      <c r="Q253" s="418"/>
      <c r="R253" s="418"/>
      <c r="S253" s="418"/>
    </row>
    <row r="254" customFormat="false" ht="20" hidden="false" customHeight="true" outlineLevel="0" collapsed="false">
      <c r="A254" s="794" t="s">
        <v>334</v>
      </c>
      <c r="B254" s="791"/>
      <c r="C254" s="497"/>
      <c r="D254" s="724"/>
      <c r="E254" s="724"/>
      <c r="F254" s="720" t="n">
        <f aca="false">D254*E254/10</f>
        <v>0</v>
      </c>
      <c r="G254" s="796"/>
      <c r="H254" s="722"/>
      <c r="I254" s="722"/>
      <c r="J254" s="798"/>
      <c r="K254" s="722"/>
      <c r="L254" s="722"/>
      <c r="O254" s="587"/>
      <c r="P254" s="587"/>
      <c r="Q254" s="418"/>
      <c r="R254" s="418"/>
      <c r="S254" s="418"/>
    </row>
    <row r="255" customFormat="false" ht="20" hidden="false" customHeight="true" outlineLevel="0" collapsed="false">
      <c r="A255" s="794" t="s">
        <v>335</v>
      </c>
      <c r="B255" s="791"/>
      <c r="C255" s="497"/>
      <c r="D255" s="724"/>
      <c r="E255" s="724"/>
      <c r="F255" s="720" t="n">
        <f aca="false">D255*E255/10</f>
        <v>0</v>
      </c>
      <c r="G255" s="796"/>
      <c r="H255" s="722"/>
      <c r="I255" s="722"/>
      <c r="J255" s="798"/>
      <c r="K255" s="722"/>
      <c r="L255" s="722"/>
      <c r="O255" s="418"/>
      <c r="P255" s="587"/>
      <c r="Q255" s="418"/>
      <c r="R255" s="418"/>
      <c r="S255" s="418"/>
    </row>
    <row r="256" customFormat="false" ht="20" hidden="false" customHeight="true" outlineLevel="0" collapsed="false">
      <c r="A256" s="794" t="s">
        <v>336</v>
      </c>
      <c r="B256" s="791"/>
      <c r="C256" s="497"/>
      <c r="D256" s="724"/>
      <c r="E256" s="724"/>
      <c r="F256" s="720" t="n">
        <f aca="false">D256*E256/10</f>
        <v>0</v>
      </c>
      <c r="G256" s="796"/>
      <c r="H256" s="722"/>
      <c r="I256" s="722"/>
      <c r="J256" s="798"/>
      <c r="K256" s="722"/>
      <c r="L256" s="722"/>
      <c r="O256" s="418"/>
      <c r="P256" s="587"/>
      <c r="Q256" s="418"/>
      <c r="R256" s="418"/>
      <c r="S256" s="418"/>
    </row>
    <row r="257" customFormat="false" ht="20" hidden="false" customHeight="true" outlineLevel="0" collapsed="false">
      <c r="A257" s="790" t="s">
        <v>337</v>
      </c>
      <c r="B257" s="791" t="s">
        <v>1152</v>
      </c>
      <c r="C257" s="497" t="s">
        <v>986</v>
      </c>
      <c r="D257" s="724" t="n">
        <v>4.9</v>
      </c>
      <c r="E257" s="724" t="n">
        <v>30</v>
      </c>
      <c r="F257" s="720" t="n">
        <f aca="false">D257*E257/10</f>
        <v>14.7</v>
      </c>
      <c r="G257" s="792"/>
      <c r="H257" s="797"/>
      <c r="I257" s="797"/>
      <c r="J257" s="793"/>
      <c r="K257" s="722"/>
      <c r="L257" s="722"/>
      <c r="O257" s="418"/>
      <c r="P257" s="418"/>
      <c r="Q257" s="418"/>
    </row>
    <row r="258" customFormat="false" ht="20" hidden="false" customHeight="true" outlineLevel="0" collapsed="false">
      <c r="A258" s="794" t="s">
        <v>338</v>
      </c>
      <c r="B258" s="791"/>
      <c r="C258" s="497"/>
      <c r="D258" s="724"/>
      <c r="E258" s="724"/>
      <c r="F258" s="720" t="n">
        <f aca="false">D258*E258/10</f>
        <v>0</v>
      </c>
      <c r="G258" s="792"/>
      <c r="H258" s="722"/>
      <c r="I258" s="722"/>
      <c r="J258" s="793"/>
      <c r="K258" s="722"/>
      <c r="L258" s="722"/>
      <c r="O258" s="418"/>
      <c r="P258" s="587"/>
      <c r="Q258" s="418"/>
      <c r="R258" s="418"/>
      <c r="S258" s="418"/>
    </row>
    <row r="259" customFormat="false" ht="20" hidden="false" customHeight="true" outlineLevel="0" collapsed="false">
      <c r="A259" s="794" t="s">
        <v>339</v>
      </c>
      <c r="B259" s="791"/>
      <c r="C259" s="497"/>
      <c r="D259" s="724"/>
      <c r="E259" s="724"/>
      <c r="F259" s="720" t="n">
        <f aca="false">D259*E259/10</f>
        <v>0</v>
      </c>
      <c r="G259" s="792"/>
      <c r="H259" s="722"/>
      <c r="I259" s="722"/>
      <c r="J259" s="793"/>
      <c r="K259" s="722"/>
      <c r="L259" s="722"/>
      <c r="O259" s="418"/>
      <c r="P259" s="587"/>
      <c r="Q259" s="418"/>
      <c r="R259" s="418"/>
      <c r="S259" s="418"/>
    </row>
    <row r="260" customFormat="false" ht="20" hidden="false" customHeight="true" outlineLevel="0" collapsed="false">
      <c r="A260" s="794" t="s">
        <v>340</v>
      </c>
      <c r="B260" s="791" t="s">
        <v>1152</v>
      </c>
      <c r="C260" s="497" t="s">
        <v>986</v>
      </c>
      <c r="D260" s="724" t="n">
        <v>7.29</v>
      </c>
      <c r="E260" s="724" t="n">
        <v>55</v>
      </c>
      <c r="F260" s="720" t="n">
        <f aca="false">D260*E260/10</f>
        <v>40.095</v>
      </c>
      <c r="G260" s="796"/>
      <c r="H260" s="797"/>
      <c r="I260" s="797"/>
      <c r="J260" s="798"/>
      <c r="K260" s="722"/>
      <c r="L260" s="722"/>
      <c r="P260" s="587"/>
      <c r="Q260" s="418"/>
      <c r="R260" s="418"/>
      <c r="S260" s="418"/>
    </row>
    <row r="261" customFormat="false" ht="20" hidden="false" customHeight="true" outlineLevel="0" collapsed="false">
      <c r="A261" s="794" t="s">
        <v>341</v>
      </c>
      <c r="B261" s="791"/>
      <c r="C261" s="497"/>
      <c r="D261" s="724"/>
      <c r="E261" s="724"/>
      <c r="F261" s="720" t="n">
        <f aca="false">D261*E261/10</f>
        <v>0</v>
      </c>
      <c r="G261" s="792"/>
      <c r="H261" s="722"/>
      <c r="I261" s="722"/>
      <c r="J261" s="793"/>
      <c r="K261" s="722"/>
      <c r="L261" s="722"/>
      <c r="P261" s="587"/>
      <c r="Q261" s="418"/>
      <c r="R261" s="418"/>
      <c r="S261" s="418"/>
    </row>
    <row r="262" customFormat="false" ht="20" hidden="false" customHeight="true" outlineLevel="0" collapsed="false">
      <c r="A262" s="794" t="s">
        <v>1153</v>
      </c>
      <c r="B262" s="791"/>
      <c r="C262" s="497"/>
      <c r="D262" s="724"/>
      <c r="E262" s="724"/>
      <c r="F262" s="720" t="n">
        <f aca="false">D262*E262/10</f>
        <v>0</v>
      </c>
      <c r="G262" s="792"/>
      <c r="H262" s="722"/>
      <c r="I262" s="722"/>
      <c r="J262" s="793"/>
      <c r="K262" s="722"/>
      <c r="L262" s="722"/>
      <c r="O262" s="418"/>
      <c r="P262" s="418"/>
      <c r="Q262" s="418"/>
      <c r="R262" s="418"/>
    </row>
    <row r="263" customFormat="false" ht="20" hidden="false" customHeight="true" outlineLevel="0" collapsed="false">
      <c r="A263" s="794" t="s">
        <v>1154</v>
      </c>
      <c r="B263" s="791"/>
      <c r="C263" s="497"/>
      <c r="D263" s="724"/>
      <c r="E263" s="724"/>
      <c r="F263" s="720" t="n">
        <f aca="false">D263*E263/10</f>
        <v>0</v>
      </c>
      <c r="G263" s="792"/>
      <c r="H263" s="722"/>
      <c r="I263" s="722"/>
      <c r="J263" s="793"/>
      <c r="K263" s="722"/>
      <c r="L263" s="722"/>
      <c r="O263" s="587"/>
      <c r="P263" s="418"/>
      <c r="Q263" s="418"/>
    </row>
    <row r="264" customFormat="false" ht="20" hidden="false" customHeight="true" outlineLevel="0" collapsed="false">
      <c r="A264" s="794" t="s">
        <v>1155</v>
      </c>
      <c r="B264" s="791"/>
      <c r="C264" s="497"/>
      <c r="D264" s="724"/>
      <c r="E264" s="724"/>
      <c r="F264" s="720" t="n">
        <f aca="false">D264*E264/10</f>
        <v>0</v>
      </c>
      <c r="G264" s="792"/>
      <c r="H264" s="722"/>
      <c r="I264" s="722"/>
      <c r="J264" s="793"/>
      <c r="K264" s="722"/>
      <c r="L264" s="722"/>
      <c r="O264" s="587"/>
      <c r="P264" s="418"/>
      <c r="Q264" s="418"/>
    </row>
    <row r="265" customFormat="false" ht="20" hidden="false" customHeight="true" outlineLevel="0" collapsed="false">
      <c r="A265" s="794" t="s">
        <v>1156</v>
      </c>
      <c r="B265" s="791"/>
      <c r="C265" s="497"/>
      <c r="D265" s="724"/>
      <c r="E265" s="724"/>
      <c r="F265" s="720" t="n">
        <f aca="false">D265*E265/10</f>
        <v>0</v>
      </c>
      <c r="G265" s="792"/>
      <c r="H265" s="722"/>
      <c r="I265" s="722"/>
      <c r="J265" s="793"/>
      <c r="K265" s="722"/>
      <c r="L265" s="722"/>
      <c r="O265" s="418"/>
      <c r="P265" s="418"/>
      <c r="Q265" s="418"/>
    </row>
    <row r="266" customFormat="false" ht="20" hidden="false" customHeight="true" outlineLevel="0" collapsed="false">
      <c r="A266" s="794" t="s">
        <v>1157</v>
      </c>
      <c r="B266" s="791"/>
      <c r="C266" s="497"/>
      <c r="D266" s="724"/>
      <c r="E266" s="724"/>
      <c r="F266" s="720" t="n">
        <f aca="false">D266*E266/10</f>
        <v>0</v>
      </c>
      <c r="G266" s="792"/>
      <c r="H266" s="722"/>
      <c r="I266" s="722"/>
      <c r="J266" s="793"/>
      <c r="K266" s="722"/>
      <c r="L266" s="722"/>
      <c r="O266" s="418"/>
      <c r="P266" s="418"/>
      <c r="Q266" s="418"/>
    </row>
    <row r="267" customFormat="false" ht="20" hidden="false" customHeight="true" outlineLevel="0" collapsed="false">
      <c r="A267" s="799" t="s">
        <v>1158</v>
      </c>
      <c r="B267" s="800"/>
      <c r="C267" s="801"/>
      <c r="D267" s="802"/>
      <c r="E267" s="802"/>
      <c r="F267" s="803" t="n">
        <f aca="false">SUM(F268:F273)</f>
        <v>0</v>
      </c>
      <c r="G267" s="804"/>
      <c r="H267" s="805"/>
      <c r="I267" s="805"/>
      <c r="J267" s="806"/>
      <c r="K267" s="805"/>
      <c r="L267" s="805"/>
      <c r="O267" s="418"/>
      <c r="P267" s="418"/>
      <c r="Q267" s="418"/>
    </row>
    <row r="268" customFormat="false" ht="20" hidden="false" customHeight="true" outlineLevel="0" collapsed="false">
      <c r="A268" s="807" t="s">
        <v>345</v>
      </c>
      <c r="B268" s="791"/>
      <c r="C268" s="497"/>
      <c r="D268" s="724"/>
      <c r="E268" s="724"/>
      <c r="F268" s="720" t="n">
        <f aca="false">D268*E268/10</f>
        <v>0</v>
      </c>
      <c r="G268" s="792"/>
      <c r="H268" s="722"/>
      <c r="I268" s="722"/>
      <c r="J268" s="793"/>
      <c r="K268" s="722"/>
      <c r="L268" s="722"/>
      <c r="O268" s="418"/>
    </row>
    <row r="269" customFormat="false" ht="20" hidden="false" customHeight="true" outlineLevel="0" collapsed="false">
      <c r="A269" s="807" t="s">
        <v>346</v>
      </c>
      <c r="B269" s="791"/>
      <c r="C269" s="497"/>
      <c r="D269" s="724"/>
      <c r="E269" s="724"/>
      <c r="F269" s="720" t="n">
        <f aca="false">D269*E269/10</f>
        <v>0</v>
      </c>
      <c r="G269" s="792"/>
      <c r="H269" s="722"/>
      <c r="I269" s="722"/>
      <c r="J269" s="793"/>
      <c r="K269" s="722"/>
      <c r="L269" s="722"/>
      <c r="O269" s="470"/>
    </row>
    <row r="270" customFormat="false" ht="20" hidden="false" customHeight="true" outlineLevel="0" collapsed="false">
      <c r="A270" s="807" t="s">
        <v>347</v>
      </c>
      <c r="B270" s="791"/>
      <c r="C270" s="497"/>
      <c r="D270" s="724"/>
      <c r="E270" s="724"/>
      <c r="F270" s="808" t="n">
        <f aca="false">D270*E270/10</f>
        <v>0</v>
      </c>
      <c r="G270" s="792"/>
      <c r="H270" s="722"/>
      <c r="I270" s="722"/>
      <c r="J270" s="793"/>
      <c r="K270" s="722"/>
      <c r="L270" s="722"/>
      <c r="O270" s="418"/>
      <c r="P270" s="418"/>
      <c r="Q270" s="418"/>
    </row>
    <row r="271" customFormat="false" ht="20" hidden="false" customHeight="true" outlineLevel="0" collapsed="false">
      <c r="A271" s="809" t="s">
        <v>348</v>
      </c>
      <c r="B271" s="791"/>
      <c r="C271" s="497"/>
      <c r="D271" s="724"/>
      <c r="E271" s="724"/>
      <c r="F271" s="808" t="n">
        <f aca="false">D271*E271/10</f>
        <v>0</v>
      </c>
      <c r="G271" s="796"/>
      <c r="H271" s="722"/>
      <c r="I271" s="722"/>
      <c r="J271" s="798"/>
      <c r="K271" s="722"/>
      <c r="L271" s="722"/>
      <c r="O271" s="418"/>
      <c r="P271" s="587"/>
      <c r="Q271" s="418"/>
      <c r="R271" s="418"/>
      <c r="S271" s="418"/>
    </row>
    <row r="272" customFormat="false" ht="20" hidden="false" customHeight="true" outlineLevel="0" collapsed="false">
      <c r="A272" s="809" t="s">
        <v>349</v>
      </c>
      <c r="B272" s="791"/>
      <c r="C272" s="497"/>
      <c r="D272" s="724"/>
      <c r="E272" s="724"/>
      <c r="F272" s="808" t="n">
        <f aca="false">D272*E272/10</f>
        <v>0</v>
      </c>
      <c r="G272" s="792"/>
      <c r="H272" s="722"/>
      <c r="I272" s="722"/>
      <c r="J272" s="793"/>
      <c r="K272" s="722"/>
      <c r="L272" s="722"/>
      <c r="P272" s="587"/>
      <c r="Q272" s="418"/>
      <c r="R272" s="418"/>
      <c r="S272" s="418"/>
    </row>
    <row r="273" customFormat="false" ht="20" hidden="false" customHeight="true" outlineLevel="0" collapsed="false">
      <c r="A273" s="807" t="s">
        <v>1116</v>
      </c>
      <c r="B273" s="791"/>
      <c r="C273" s="497"/>
      <c r="D273" s="724"/>
      <c r="E273" s="724"/>
      <c r="F273" s="808" t="n">
        <f aca="false">D273*E273/10</f>
        <v>0</v>
      </c>
      <c r="G273" s="792"/>
      <c r="H273" s="722"/>
      <c r="I273" s="722"/>
      <c r="J273" s="793"/>
      <c r="K273" s="722"/>
      <c r="L273" s="722"/>
      <c r="O273" s="470"/>
      <c r="P273" s="418"/>
      <c r="Q273" s="418"/>
    </row>
    <row r="274" customFormat="false" ht="20" hidden="false" customHeight="true" outlineLevel="0" collapsed="false">
      <c r="A274" s="810" t="s">
        <v>350</v>
      </c>
      <c r="B274" s="811"/>
      <c r="C274" s="802" t="s">
        <v>1149</v>
      </c>
      <c r="D274" s="802" t="s">
        <v>91</v>
      </c>
      <c r="E274" s="802" t="s">
        <v>1159</v>
      </c>
      <c r="F274" s="812"/>
      <c r="G274" s="813" t="s">
        <v>1118</v>
      </c>
      <c r="H274" s="812"/>
      <c r="I274" s="814"/>
      <c r="J274" s="815" t="s">
        <v>1160</v>
      </c>
      <c r="K274" s="812"/>
      <c r="L274" s="814"/>
      <c r="O274" s="470"/>
      <c r="P274" s="418"/>
      <c r="Q274" s="418"/>
    </row>
    <row r="275" customFormat="false" ht="20" hidden="false" customHeight="true" outlineLevel="0" collapsed="false">
      <c r="A275" s="807"/>
      <c r="B275" s="791"/>
      <c r="C275" s="497"/>
      <c r="D275" s="724"/>
      <c r="E275" s="724"/>
      <c r="F275" s="808" t="n">
        <f aca="false">D275*E275</f>
        <v>0</v>
      </c>
      <c r="G275" s="792"/>
      <c r="H275" s="722"/>
      <c r="I275" s="722"/>
      <c r="J275" s="793"/>
      <c r="K275" s="722"/>
      <c r="L275" s="722"/>
      <c r="P275" s="418"/>
      <c r="Q275" s="418"/>
    </row>
    <row r="276" customFormat="false" ht="20" hidden="false" customHeight="true" outlineLevel="0" collapsed="false">
      <c r="A276" s="807"/>
      <c r="B276" s="791"/>
      <c r="C276" s="497"/>
      <c r="D276" s="724"/>
      <c r="E276" s="724"/>
      <c r="F276" s="808" t="n">
        <f aca="false">D276*E276</f>
        <v>0</v>
      </c>
      <c r="G276" s="792"/>
      <c r="H276" s="722"/>
      <c r="I276" s="722"/>
      <c r="J276" s="793"/>
      <c r="K276" s="722"/>
      <c r="L276" s="722"/>
      <c r="P276" s="418"/>
      <c r="Q276" s="418"/>
    </row>
    <row r="277" customFormat="false" ht="20" hidden="false" customHeight="true" outlineLevel="0" collapsed="false">
      <c r="A277" s="807"/>
      <c r="B277" s="791"/>
      <c r="C277" s="497"/>
      <c r="D277" s="724"/>
      <c r="E277" s="724"/>
      <c r="F277" s="808" t="n">
        <f aca="false">D277*E277</f>
        <v>0</v>
      </c>
      <c r="G277" s="792"/>
      <c r="H277" s="722"/>
      <c r="I277" s="722"/>
      <c r="J277" s="793"/>
      <c r="K277" s="722"/>
      <c r="L277" s="722"/>
      <c r="O277" s="472"/>
      <c r="P277" s="418"/>
      <c r="Q277" s="418"/>
    </row>
    <row r="278" s="470" customFormat="true" ht="20" hidden="false" customHeight="true" outlineLevel="0" collapsed="false">
      <c r="A278" s="807"/>
      <c r="B278" s="791"/>
      <c r="C278" s="497"/>
      <c r="D278" s="724"/>
      <c r="E278" s="724"/>
      <c r="F278" s="808" t="n">
        <f aca="false">D278*E278</f>
        <v>0</v>
      </c>
      <c r="G278" s="792"/>
      <c r="H278" s="722"/>
      <c r="I278" s="722"/>
      <c r="J278" s="793"/>
      <c r="K278" s="722"/>
      <c r="L278" s="722"/>
      <c r="O278" s="469"/>
    </row>
    <row r="279" s="469" customFormat="true" ht="20" hidden="false" customHeight="true" outlineLevel="0" collapsed="false">
      <c r="A279" s="810" t="s">
        <v>1158</v>
      </c>
      <c r="B279" s="816"/>
      <c r="C279" s="802"/>
      <c r="D279" s="802"/>
      <c r="E279" s="802" t="s">
        <v>1161</v>
      </c>
      <c r="F279" s="812"/>
      <c r="G279" s="813"/>
      <c r="H279" s="805"/>
      <c r="I279" s="805"/>
      <c r="J279" s="815"/>
      <c r="K279" s="805"/>
      <c r="L279" s="805"/>
      <c r="P279" s="418"/>
      <c r="Q279" s="418"/>
    </row>
    <row r="280" customFormat="false" ht="20" hidden="false" customHeight="true" outlineLevel="0" collapsed="false">
      <c r="A280" s="807" t="s">
        <v>1162</v>
      </c>
      <c r="B280" s="791"/>
      <c r="C280" s="497"/>
      <c r="D280" s="724"/>
      <c r="E280" s="724"/>
      <c r="F280" s="808" t="n">
        <f aca="false">D280*E280/10</f>
        <v>0</v>
      </c>
      <c r="G280" s="792"/>
      <c r="H280" s="722"/>
      <c r="I280" s="722"/>
      <c r="J280" s="793"/>
      <c r="K280" s="722"/>
      <c r="L280" s="722"/>
      <c r="P280" s="418"/>
      <c r="Q280" s="418"/>
    </row>
    <row r="281" customFormat="false" ht="20" hidden="false" customHeight="true" outlineLevel="0" collapsed="false">
      <c r="A281" s="807" t="s">
        <v>1163</v>
      </c>
      <c r="B281" s="791"/>
      <c r="C281" s="497"/>
      <c r="D281" s="724"/>
      <c r="E281" s="724"/>
      <c r="F281" s="808" t="n">
        <f aca="false">D281*E281/10</f>
        <v>0</v>
      </c>
      <c r="G281" s="792"/>
      <c r="H281" s="722"/>
      <c r="I281" s="722"/>
      <c r="J281" s="793"/>
      <c r="K281" s="722"/>
      <c r="L281" s="722"/>
    </row>
    <row r="282" s="470" customFormat="true" ht="42" hidden="false" customHeight="true" outlineLevel="0" collapsed="false">
      <c r="A282" s="810" t="s">
        <v>352</v>
      </c>
      <c r="B282" s="817" t="s">
        <v>1164</v>
      </c>
      <c r="C282" s="802" t="s">
        <v>1149</v>
      </c>
      <c r="D282" s="802" t="s">
        <v>91</v>
      </c>
      <c r="E282" s="802" t="s">
        <v>1159</v>
      </c>
      <c r="F282" s="812"/>
      <c r="G282" s="813" t="s">
        <v>1118</v>
      </c>
      <c r="H282" s="812"/>
      <c r="I282" s="814"/>
      <c r="J282" s="815" t="s">
        <v>1160</v>
      </c>
      <c r="K282" s="812"/>
      <c r="L282" s="814"/>
      <c r="O282" s="469"/>
    </row>
    <row r="283" customFormat="false" ht="20" hidden="false" customHeight="true" outlineLevel="0" collapsed="false">
      <c r="A283" s="809" t="s">
        <v>353</v>
      </c>
      <c r="B283" s="818"/>
      <c r="C283" s="497"/>
      <c r="D283" s="724"/>
      <c r="E283" s="724"/>
      <c r="F283" s="808" t="n">
        <f aca="false">D283*E283</f>
        <v>0</v>
      </c>
      <c r="G283" s="819"/>
      <c r="H283" s="722"/>
      <c r="I283" s="722"/>
      <c r="J283" s="793"/>
      <c r="K283" s="722"/>
      <c r="L283" s="722"/>
      <c r="O283" s="469"/>
    </row>
    <row r="284" s="469" customFormat="true" ht="20" hidden="false" customHeight="true" outlineLevel="0" collapsed="false">
      <c r="A284" s="809" t="s">
        <v>354</v>
      </c>
      <c r="B284" s="791"/>
      <c r="C284" s="497"/>
      <c r="D284" s="724"/>
      <c r="E284" s="724"/>
      <c r="F284" s="720" t="n">
        <f aca="false">D284*E284</f>
        <v>0</v>
      </c>
      <c r="G284" s="819"/>
      <c r="H284" s="722"/>
      <c r="I284" s="722"/>
      <c r="J284" s="793"/>
      <c r="K284" s="722"/>
      <c r="L284" s="722"/>
    </row>
    <row r="285" s="472" customFormat="true" ht="20" hidden="false" customHeight="true" outlineLevel="0" collapsed="false">
      <c r="A285" s="809" t="s">
        <v>355</v>
      </c>
      <c r="B285" s="791"/>
      <c r="C285" s="497"/>
      <c r="D285" s="724"/>
      <c r="E285" s="724"/>
      <c r="F285" s="720" t="n">
        <f aca="false">D285*E285</f>
        <v>0</v>
      </c>
      <c r="G285" s="819"/>
      <c r="H285" s="722"/>
      <c r="I285" s="722"/>
      <c r="J285" s="793"/>
      <c r="K285" s="722"/>
      <c r="L285" s="722"/>
      <c r="O285" s="469"/>
    </row>
    <row r="286" s="469" customFormat="true" ht="20" hidden="false" customHeight="true" outlineLevel="0" collapsed="false">
      <c r="A286" s="809" t="s">
        <v>1165</v>
      </c>
      <c r="B286" s="791"/>
      <c r="C286" s="497"/>
      <c r="D286" s="724"/>
      <c r="E286" s="724"/>
      <c r="F286" s="720" t="n">
        <f aca="false">D286*E286</f>
        <v>0</v>
      </c>
      <c r="G286" s="819"/>
      <c r="H286" s="722"/>
      <c r="I286" s="722"/>
      <c r="J286" s="793"/>
      <c r="K286" s="722"/>
      <c r="L286" s="722"/>
    </row>
    <row r="287" s="469" customFormat="true" ht="20" hidden="false" customHeight="true" outlineLevel="0" collapsed="false">
      <c r="A287" s="809"/>
      <c r="B287" s="791"/>
      <c r="C287" s="497"/>
      <c r="D287" s="724"/>
      <c r="E287" s="724"/>
      <c r="F287" s="720" t="n">
        <f aca="false">D287*E287</f>
        <v>0</v>
      </c>
      <c r="G287" s="819"/>
      <c r="H287" s="722"/>
      <c r="I287" s="722"/>
      <c r="J287" s="793"/>
      <c r="K287" s="722"/>
      <c r="L287" s="722"/>
    </row>
    <row r="288" s="469" customFormat="true" ht="20" hidden="false" customHeight="true" outlineLevel="0" collapsed="false">
      <c r="A288" s="809"/>
      <c r="B288" s="791"/>
      <c r="C288" s="497"/>
      <c r="D288" s="724"/>
      <c r="E288" s="724"/>
      <c r="F288" s="720" t="n">
        <f aca="false">D288*E288</f>
        <v>0</v>
      </c>
      <c r="G288" s="819"/>
      <c r="H288" s="722"/>
      <c r="I288" s="722"/>
      <c r="J288" s="793"/>
      <c r="K288" s="722"/>
      <c r="L288" s="722"/>
    </row>
    <row r="289" s="469" customFormat="true" ht="20" hidden="false" customHeight="true" outlineLevel="0" collapsed="false">
      <c r="A289" s="809"/>
      <c r="B289" s="791"/>
      <c r="C289" s="497"/>
      <c r="D289" s="724"/>
      <c r="E289" s="724"/>
      <c r="F289" s="720" t="n">
        <f aca="false">D289*E289</f>
        <v>0</v>
      </c>
      <c r="G289" s="819"/>
      <c r="H289" s="722"/>
      <c r="I289" s="722"/>
      <c r="J289" s="793"/>
      <c r="K289" s="722"/>
      <c r="L289" s="722"/>
    </row>
    <row r="290" customFormat="false" ht="47.25" hidden="false" customHeight="true" outlineLevel="0" collapsed="false">
      <c r="A290" s="810" t="s">
        <v>356</v>
      </c>
      <c r="B290" s="817" t="s">
        <v>1164</v>
      </c>
      <c r="C290" s="802" t="s">
        <v>1149</v>
      </c>
      <c r="D290" s="802" t="s">
        <v>91</v>
      </c>
      <c r="E290" s="802" t="s">
        <v>1159</v>
      </c>
      <c r="F290" s="820"/>
      <c r="G290" s="813" t="s">
        <v>1118</v>
      </c>
      <c r="H290" s="820"/>
      <c r="I290" s="814"/>
      <c r="J290" s="815" t="s">
        <v>1160</v>
      </c>
      <c r="K290" s="820"/>
      <c r="L290" s="814"/>
    </row>
    <row r="291" customFormat="false" ht="20" hidden="false" customHeight="true" outlineLevel="0" collapsed="false">
      <c r="A291" s="809" t="s">
        <v>1166</v>
      </c>
      <c r="B291" s="821"/>
      <c r="C291" s="497"/>
      <c r="D291" s="822"/>
      <c r="E291" s="822"/>
      <c r="F291" s="823" t="n">
        <f aca="false">D291*E291</f>
        <v>0</v>
      </c>
      <c r="G291" s="819"/>
      <c r="H291" s="722"/>
      <c r="I291" s="722"/>
      <c r="J291" s="824"/>
      <c r="K291" s="722"/>
      <c r="L291" s="722"/>
    </row>
    <row r="292" customFormat="false" ht="20" hidden="false" customHeight="true" outlineLevel="0" collapsed="false">
      <c r="A292" s="825" t="s">
        <v>1167</v>
      </c>
      <c r="B292" s="821"/>
      <c r="C292" s="497"/>
      <c r="D292" s="822"/>
      <c r="E292" s="822"/>
      <c r="F292" s="823" t="n">
        <f aca="false">D292*E292</f>
        <v>0</v>
      </c>
      <c r="G292" s="819"/>
      <c r="H292" s="722"/>
      <c r="I292" s="722"/>
      <c r="J292" s="793"/>
      <c r="K292" s="722"/>
      <c r="L292" s="722"/>
    </row>
    <row r="293" customFormat="false" ht="20" hidden="false" customHeight="true" outlineLevel="0" collapsed="false">
      <c r="A293" s="826"/>
      <c r="B293" s="792"/>
      <c r="C293" s="497"/>
      <c r="D293" s="827"/>
      <c r="E293" s="827"/>
      <c r="F293" s="823" t="n">
        <f aca="false">D293*E293</f>
        <v>0</v>
      </c>
      <c r="G293" s="819"/>
      <c r="H293" s="722"/>
      <c r="I293" s="722"/>
      <c r="J293" s="828"/>
      <c r="K293" s="722"/>
      <c r="L293" s="722"/>
    </row>
    <row r="294" customFormat="false" ht="20" hidden="false" customHeight="true" outlineLevel="0" collapsed="false">
      <c r="B294" s="791"/>
      <c r="C294" s="497"/>
      <c r="D294" s="724"/>
      <c r="E294" s="724"/>
      <c r="F294" s="823" t="n">
        <f aca="false">D294*E294</f>
        <v>0</v>
      </c>
      <c r="G294" s="819"/>
      <c r="H294" s="722"/>
      <c r="I294" s="722"/>
      <c r="J294" s="793"/>
      <c r="K294" s="722"/>
      <c r="L294" s="722"/>
    </row>
    <row r="295" customFormat="false" ht="20" hidden="false" customHeight="true" outlineLevel="0" collapsed="false">
      <c r="A295" s="809"/>
      <c r="B295" s="791"/>
      <c r="C295" s="497"/>
      <c r="D295" s="724"/>
      <c r="E295" s="724"/>
      <c r="F295" s="823" t="n">
        <f aca="false">D295*E295</f>
        <v>0</v>
      </c>
      <c r="G295" s="819"/>
      <c r="H295" s="722"/>
      <c r="I295" s="722"/>
      <c r="J295" s="793"/>
      <c r="K295" s="722"/>
      <c r="L295" s="722"/>
    </row>
    <row r="296" customFormat="false" ht="20" hidden="false" customHeight="true" outlineLevel="0" collapsed="false">
      <c r="A296" s="829" t="s">
        <v>359</v>
      </c>
      <c r="B296" s="830"/>
      <c r="C296" s="831"/>
      <c r="D296" s="832"/>
      <c r="E296" s="831"/>
      <c r="F296" s="833"/>
      <c r="G296" s="834"/>
      <c r="H296" s="833"/>
      <c r="I296" s="835"/>
      <c r="J296" s="836"/>
      <c r="K296" s="833"/>
      <c r="L296" s="835"/>
    </row>
    <row r="297" customFormat="false" ht="20" hidden="false" customHeight="true" outlineLevel="0" collapsed="false">
      <c r="A297" s="837"/>
      <c r="B297" s="837"/>
      <c r="C297" s="837"/>
      <c r="D297" s="837"/>
      <c r="E297" s="538"/>
      <c r="F297" s="538"/>
      <c r="G297" s="538"/>
      <c r="H297" s="538"/>
      <c r="I297" s="538"/>
    </row>
    <row r="298" customFormat="false" ht="20" hidden="false" customHeight="true" outlineLevel="0" collapsed="false">
      <c r="A298" s="837"/>
      <c r="B298" s="837"/>
      <c r="C298" s="837"/>
      <c r="D298" s="837"/>
      <c r="E298" s="837"/>
      <c r="F298" s="837"/>
      <c r="G298" s="438"/>
      <c r="H298" s="768" t="s">
        <v>1168</v>
      </c>
      <c r="I298" s="634" t="n">
        <f aca="false">SUM(F251:F266,F268:F273,F275:F278,F280:F281,F283:F289,F291:F296)</f>
        <v>132.425</v>
      </c>
      <c r="J298" s="837"/>
    </row>
    <row r="299" customFormat="false" ht="20" hidden="false" customHeight="true" outlineLevel="0" collapsed="false">
      <c r="A299" s="837"/>
      <c r="B299" s="837"/>
      <c r="C299" s="837"/>
      <c r="D299" s="837"/>
      <c r="E299" s="837"/>
      <c r="F299" s="837"/>
      <c r="G299" s="438"/>
      <c r="H299" s="768" t="s">
        <v>1169</v>
      </c>
      <c r="I299" s="634" t="n">
        <f aca="false">SUM(J251:J296)</f>
        <v>0</v>
      </c>
      <c r="J299" s="837"/>
    </row>
    <row r="300" customFormat="false" ht="20" hidden="false" customHeight="true" outlineLevel="0" collapsed="false">
      <c r="A300" s="837"/>
      <c r="B300" s="837"/>
      <c r="C300" s="837"/>
      <c r="D300" s="837"/>
      <c r="E300" s="837"/>
      <c r="F300" s="837"/>
      <c r="G300" s="438"/>
      <c r="H300" s="768" t="s">
        <v>1170</v>
      </c>
      <c r="I300" s="634" t="n">
        <f aca="false">SUM(G251:G296)</f>
        <v>0</v>
      </c>
      <c r="J300" s="837"/>
      <c r="L300" s="838"/>
    </row>
    <row r="301" customFormat="false" ht="20" hidden="false" customHeight="true" outlineLevel="0" collapsed="false">
      <c r="A301" s="837"/>
      <c r="B301" s="837"/>
      <c r="C301" s="837"/>
      <c r="D301" s="837"/>
      <c r="E301" s="839"/>
      <c r="F301" s="839"/>
      <c r="G301" s="438"/>
      <c r="H301" s="768" t="s">
        <v>1171</v>
      </c>
      <c r="I301" s="634" t="n">
        <f aca="false">I298-I299+I300</f>
        <v>132.425</v>
      </c>
    </row>
    <row r="302" customFormat="false" ht="20" hidden="false" customHeight="true" outlineLevel="0" collapsed="false">
      <c r="A302" s="438"/>
      <c r="B302" s="840"/>
      <c r="D302" s="841"/>
      <c r="E302" s="839"/>
      <c r="F302" s="839"/>
      <c r="G302" s="438"/>
      <c r="H302" s="842"/>
    </row>
    <row r="303" customFormat="false" ht="20" hidden="false" customHeight="true" outlineLevel="0" collapsed="false">
      <c r="A303" s="552"/>
      <c r="B303" s="552"/>
      <c r="C303" s="469"/>
      <c r="D303" s="469"/>
      <c r="E303" s="556"/>
      <c r="F303" s="469"/>
      <c r="G303" s="469"/>
      <c r="H303" s="469"/>
      <c r="I303" s="469"/>
      <c r="J303" s="843"/>
    </row>
    <row r="304" customFormat="false" ht="20" hidden="false" customHeight="true" outlineLevel="0" collapsed="false">
      <c r="A304" s="552"/>
      <c r="B304" s="552"/>
      <c r="C304" s="469"/>
      <c r="D304" s="469"/>
      <c r="E304" s="556"/>
      <c r="F304" s="469"/>
      <c r="G304" s="469"/>
      <c r="H304" s="469"/>
      <c r="I304" s="469"/>
      <c r="J304" s="843"/>
    </row>
    <row r="305" customFormat="false" ht="19.5" hidden="false" customHeight="true" outlineLevel="0" collapsed="false">
      <c r="A305" s="467" t="s">
        <v>1172</v>
      </c>
      <c r="D305" s="416"/>
      <c r="E305" s="416"/>
      <c r="F305" s="416"/>
      <c r="G305" s="416"/>
      <c r="L305" s="11" t="s">
        <v>1173</v>
      </c>
    </row>
    <row r="306" customFormat="false" ht="19.5" hidden="false" customHeight="true" outlineLevel="0" collapsed="false">
      <c r="B306" s="844" t="s">
        <v>1174</v>
      </c>
      <c r="C306" s="844"/>
      <c r="D306" s="844"/>
      <c r="E306" s="844"/>
    </row>
    <row r="307" customFormat="false" ht="45" hidden="false" customHeight="true" outlineLevel="0" collapsed="false">
      <c r="A307" s="845" t="s">
        <v>1175</v>
      </c>
      <c r="B307" s="846" t="s">
        <v>1176</v>
      </c>
      <c r="C307" s="846"/>
      <c r="D307" s="847" t="s">
        <v>1177</v>
      </c>
      <c r="E307" s="847"/>
      <c r="F307" s="848" t="s">
        <v>1178</v>
      </c>
      <c r="G307" s="849" t="s">
        <v>1179</v>
      </c>
      <c r="H307" s="849"/>
      <c r="I307" s="849"/>
      <c r="J307" s="849"/>
      <c r="K307" s="850" t="s">
        <v>1180</v>
      </c>
      <c r="L307" s="851" t="n">
        <f aca="false">SUMIF(K308:K313,"O",F308:F313)</f>
        <v>0</v>
      </c>
    </row>
    <row r="308" customFormat="false" ht="20" hidden="false" customHeight="true" outlineLevel="0" collapsed="false">
      <c r="A308" s="852" t="s">
        <v>1181</v>
      </c>
      <c r="B308" s="853" t="s">
        <v>1182</v>
      </c>
      <c r="C308" s="853"/>
      <c r="D308" s="853" t="s">
        <v>243</v>
      </c>
      <c r="E308" s="853"/>
      <c r="F308" s="854" t="n">
        <f aca="false">171.54-54.8</f>
        <v>116.74</v>
      </c>
      <c r="G308" s="855" t="s">
        <v>1183</v>
      </c>
      <c r="H308" s="855"/>
      <c r="I308" s="855"/>
      <c r="J308" s="855"/>
      <c r="K308" s="856" t="str">
        <f aca="false">IF(B308="rotation courte (=&lt;3 ans)","O",IF(D308="oui","O","N"))</f>
        <v>N</v>
      </c>
    </row>
    <row r="309" customFormat="false" ht="20" hidden="false" customHeight="true" outlineLevel="0" collapsed="false">
      <c r="A309" s="852" t="s">
        <v>1184</v>
      </c>
      <c r="B309" s="853"/>
      <c r="C309" s="853"/>
      <c r="D309" s="853"/>
      <c r="E309" s="853"/>
      <c r="F309" s="854"/>
      <c r="G309" s="857"/>
      <c r="H309" s="857"/>
      <c r="I309" s="857"/>
      <c r="J309" s="857"/>
      <c r="K309" s="856" t="str">
        <f aca="false">IF(B309="rotation courte (=&lt;3 ans)","O",IF(D309="oui","O","N"))</f>
        <v>N</v>
      </c>
    </row>
    <row r="310" customFormat="false" ht="20" hidden="false" customHeight="true" outlineLevel="0" collapsed="false">
      <c r="A310" s="852" t="s">
        <v>1185</v>
      </c>
      <c r="B310" s="853"/>
      <c r="C310" s="853"/>
      <c r="D310" s="853"/>
      <c r="E310" s="853"/>
      <c r="F310" s="854"/>
      <c r="G310" s="857"/>
      <c r="H310" s="857"/>
      <c r="I310" s="857"/>
      <c r="J310" s="857"/>
      <c r="K310" s="856" t="str">
        <f aca="false">IF(B310="rotation courte (=&lt;3 ans)","O",IF(D310="oui","O","N"))</f>
        <v>N</v>
      </c>
    </row>
    <row r="311" customFormat="false" ht="20" hidden="false" customHeight="true" outlineLevel="0" collapsed="false">
      <c r="A311" s="852" t="s">
        <v>1186</v>
      </c>
      <c r="B311" s="853"/>
      <c r="C311" s="853"/>
      <c r="D311" s="853"/>
      <c r="E311" s="853"/>
      <c r="F311" s="854"/>
      <c r="G311" s="857"/>
      <c r="H311" s="857"/>
      <c r="I311" s="857"/>
      <c r="J311" s="857"/>
      <c r="K311" s="856" t="str">
        <f aca="false">IF(B311="rotation courte (=&lt;3 ans)","O",IF(D311="oui","O","N"))</f>
        <v>N</v>
      </c>
    </row>
    <row r="312" customFormat="false" ht="20" hidden="false" customHeight="true" outlineLevel="0" collapsed="false">
      <c r="A312" s="852" t="s">
        <v>1187</v>
      </c>
      <c r="B312" s="853"/>
      <c r="C312" s="853"/>
      <c r="D312" s="853"/>
      <c r="E312" s="853"/>
      <c r="F312" s="854"/>
      <c r="G312" s="857"/>
      <c r="H312" s="857"/>
      <c r="I312" s="857"/>
      <c r="J312" s="857"/>
      <c r="K312" s="856" t="str">
        <f aca="false">IF(B312="rotation courte (=&lt;3 ans)","O",IF(D312="oui","O","N"))</f>
        <v>N</v>
      </c>
      <c r="N312" s="433"/>
    </row>
    <row r="313" customFormat="false" ht="20" hidden="false" customHeight="true" outlineLevel="0" collapsed="false">
      <c r="A313" s="858" t="s">
        <v>1188</v>
      </c>
      <c r="B313" s="859"/>
      <c r="C313" s="859"/>
      <c r="D313" s="859"/>
      <c r="E313" s="859"/>
      <c r="F313" s="860"/>
      <c r="G313" s="861"/>
      <c r="H313" s="861"/>
      <c r="I313" s="861"/>
      <c r="J313" s="861"/>
      <c r="K313" s="856" t="str">
        <f aca="false">IF(B313="rotation courte (=&lt;3 ans)","O",IF(D313="oui","O","N"))</f>
        <v>N</v>
      </c>
      <c r="N313" s="433"/>
    </row>
    <row r="314" customFormat="false" ht="20" hidden="false" customHeight="true" outlineLevel="0" collapsed="false">
      <c r="A314" s="862"/>
      <c r="B314" s="863"/>
      <c r="C314" s="863"/>
      <c r="D314" s="864"/>
      <c r="E314" s="865"/>
      <c r="F314" s="865"/>
      <c r="G314" s="865"/>
      <c r="H314" s="865"/>
    </row>
    <row r="315" customFormat="false" ht="20" hidden="false" customHeight="true" outlineLevel="0" collapsed="false">
      <c r="A315" s="862"/>
      <c r="B315" s="863"/>
      <c r="C315" s="863"/>
      <c r="D315" s="864"/>
      <c r="E315" s="865"/>
      <c r="F315" s="865"/>
      <c r="G315" s="865"/>
      <c r="H315" s="865"/>
    </row>
    <row r="316" customFormat="false" ht="20" hidden="false" customHeight="true" outlineLevel="0" collapsed="false">
      <c r="A316" s="862"/>
      <c r="B316" s="863"/>
      <c r="C316" s="863"/>
      <c r="D316" s="864"/>
      <c r="E316" s="865"/>
      <c r="F316" s="865"/>
      <c r="G316" s="865"/>
      <c r="H316" s="865"/>
    </row>
    <row r="317" customFormat="false" ht="20" hidden="false" customHeight="true" outlineLevel="0" collapsed="false">
      <c r="J317" s="866"/>
    </row>
    <row r="318" customFormat="false" ht="20" hidden="false" customHeight="true" outlineLevel="0" collapsed="false">
      <c r="A318" s="867"/>
      <c r="B318" s="420" t="s">
        <v>1189</v>
      </c>
      <c r="J318" s="866"/>
      <c r="L318" s="11" t="s">
        <v>1190</v>
      </c>
    </row>
    <row r="319" customFormat="false" ht="20" hidden="false" customHeight="true" outlineLevel="0" collapsed="false">
      <c r="A319" s="468"/>
      <c r="B319" s="422"/>
      <c r="C319" s="867"/>
      <c r="D319" s="416"/>
      <c r="E319" s="868"/>
      <c r="F319" s="416"/>
      <c r="G319" s="416"/>
      <c r="J319" s="866"/>
    </row>
    <row r="320" customFormat="false" ht="60" hidden="false" customHeight="true" outlineLevel="0" collapsed="false">
      <c r="A320" s="869" t="s">
        <v>405</v>
      </c>
      <c r="B320" s="870" t="s">
        <v>1191</v>
      </c>
      <c r="C320" s="870" t="s">
        <v>1192</v>
      </c>
      <c r="D320" s="870" t="s">
        <v>1193</v>
      </c>
      <c r="E320" s="590" t="s">
        <v>1194</v>
      </c>
      <c r="F320" s="871" t="s">
        <v>395</v>
      </c>
      <c r="G320" s="871" t="s">
        <v>1195</v>
      </c>
      <c r="H320" s="590" t="s">
        <v>1196</v>
      </c>
      <c r="I320" s="590" t="s">
        <v>1197</v>
      </c>
      <c r="J320" s="782" t="s">
        <v>1198</v>
      </c>
      <c r="K320" s="73"/>
    </row>
    <row r="321" customFormat="false" ht="39.75" hidden="false" customHeight="true" outlineLevel="0" collapsed="false">
      <c r="A321" s="872"/>
      <c r="B321" s="569" t="s">
        <v>1199</v>
      </c>
      <c r="C321" s="569" t="s">
        <v>1199</v>
      </c>
      <c r="D321" s="569" t="s">
        <v>1199</v>
      </c>
      <c r="E321" s="707" t="s">
        <v>1199</v>
      </c>
      <c r="F321" s="707" t="s">
        <v>1200</v>
      </c>
      <c r="G321" s="873" t="s">
        <v>1201</v>
      </c>
      <c r="H321" s="707" t="s">
        <v>1202</v>
      </c>
      <c r="I321" s="707" t="s">
        <v>540</v>
      </c>
      <c r="J321" s="874" t="s">
        <v>540</v>
      </c>
    </row>
    <row r="322" customFormat="false" ht="26.25" hidden="false" customHeight="true" outlineLevel="0" collapsed="false">
      <c r="A322" s="875" t="s">
        <v>407</v>
      </c>
      <c r="B322" s="876"/>
      <c r="C322" s="876"/>
      <c r="D322" s="876"/>
      <c r="E322" s="851" t="n">
        <f aca="false">B322-C322+D322</f>
        <v>0</v>
      </c>
      <c r="F322" s="506" t="n">
        <v>5.8</v>
      </c>
      <c r="G322" s="506" t="n">
        <v>0.15</v>
      </c>
      <c r="H322" s="851" t="n">
        <f aca="false">E322*F322</f>
        <v>0</v>
      </c>
      <c r="I322" s="851" t="n">
        <f aca="false">H322*G322</f>
        <v>0</v>
      </c>
      <c r="J322" s="877" t="n">
        <f aca="false">D322*F322*G322</f>
        <v>0</v>
      </c>
    </row>
    <row r="323" customFormat="false" ht="20" hidden="false" customHeight="true" outlineLevel="0" collapsed="false">
      <c r="A323" s="878" t="s">
        <v>408</v>
      </c>
      <c r="B323" s="876" t="n">
        <v>1000</v>
      </c>
      <c r="C323" s="876"/>
      <c r="D323" s="876"/>
      <c r="E323" s="851" t="n">
        <f aca="false">B323-C323+D323</f>
        <v>1000</v>
      </c>
      <c r="F323" s="506" t="n">
        <v>5</v>
      </c>
      <c r="G323" s="506" t="n">
        <v>0.15</v>
      </c>
      <c r="H323" s="851" t="n">
        <f aca="false">E323*F323</f>
        <v>5000</v>
      </c>
      <c r="I323" s="851" t="n">
        <f aca="false">H323*G323</f>
        <v>750</v>
      </c>
      <c r="J323" s="877" t="n">
        <f aca="false">D323*F323*G323</f>
        <v>0</v>
      </c>
    </row>
    <row r="324" customFormat="false" ht="20" hidden="false" customHeight="true" outlineLevel="0" collapsed="false">
      <c r="A324" s="878" t="s">
        <v>409</v>
      </c>
      <c r="B324" s="876"/>
      <c r="C324" s="876"/>
      <c r="D324" s="876"/>
      <c r="E324" s="851" t="n">
        <f aca="false">B324-C324+D324</f>
        <v>0</v>
      </c>
      <c r="F324" s="506" t="n">
        <v>5.1</v>
      </c>
      <c r="G324" s="506" t="n">
        <v>0.15</v>
      </c>
      <c r="H324" s="851" t="n">
        <f aca="false">E324*F324</f>
        <v>0</v>
      </c>
      <c r="I324" s="851" t="n">
        <f aca="false">H324*G324</f>
        <v>0</v>
      </c>
      <c r="J324" s="877" t="n">
        <f aca="false">D324*F324*G324</f>
        <v>0</v>
      </c>
      <c r="M324" s="433"/>
    </row>
    <row r="325" customFormat="false" ht="20" hidden="false" customHeight="true" outlineLevel="0" collapsed="false">
      <c r="A325" s="878" t="s">
        <v>410</v>
      </c>
      <c r="B325" s="876"/>
      <c r="C325" s="876"/>
      <c r="D325" s="876"/>
      <c r="E325" s="851" t="n">
        <f aca="false">B325-C325+D325</f>
        <v>0</v>
      </c>
      <c r="F325" s="506" t="n">
        <v>5.2</v>
      </c>
      <c r="G325" s="506" t="n">
        <v>0.55</v>
      </c>
      <c r="H325" s="851" t="n">
        <f aca="false">E325*F325</f>
        <v>0</v>
      </c>
      <c r="I325" s="851" t="n">
        <f aca="false">H325*G325</f>
        <v>0</v>
      </c>
      <c r="J325" s="877" t="n">
        <f aca="false">D325*F325*G325</f>
        <v>0</v>
      </c>
      <c r="M325" s="433"/>
    </row>
    <row r="326" customFormat="false" ht="20" hidden="false" customHeight="true" outlineLevel="0" collapsed="false">
      <c r="A326" s="878" t="s">
        <v>411</v>
      </c>
      <c r="B326" s="876"/>
      <c r="C326" s="876"/>
      <c r="D326" s="876"/>
      <c r="E326" s="851" t="n">
        <f aca="false">B326-C326+D326</f>
        <v>0</v>
      </c>
      <c r="F326" s="506" t="n">
        <v>3.5</v>
      </c>
      <c r="G326" s="506" t="n">
        <v>0.55</v>
      </c>
      <c r="H326" s="851" t="n">
        <f aca="false">E326*F326</f>
        <v>0</v>
      </c>
      <c r="I326" s="851" t="n">
        <f aca="false">H326*G326</f>
        <v>0</v>
      </c>
      <c r="J326" s="877" t="n">
        <f aca="false">D326*F326*G326</f>
        <v>0</v>
      </c>
      <c r="M326" s="433"/>
    </row>
    <row r="327" customFormat="false" ht="20" hidden="false" customHeight="true" outlineLevel="0" collapsed="false">
      <c r="A327" s="878" t="s">
        <v>412</v>
      </c>
      <c r="B327" s="876"/>
      <c r="C327" s="876"/>
      <c r="D327" s="876"/>
      <c r="E327" s="851" t="n">
        <f aca="false">B327-C327+D327</f>
        <v>0</v>
      </c>
      <c r="F327" s="506" t="n">
        <v>2.7</v>
      </c>
      <c r="G327" s="506" t="n">
        <v>0.55</v>
      </c>
      <c r="H327" s="851" t="n">
        <f aca="false">E327*F327</f>
        <v>0</v>
      </c>
      <c r="I327" s="851" t="n">
        <f aca="false">H327*G327</f>
        <v>0</v>
      </c>
      <c r="J327" s="877" t="n">
        <f aca="false">D327*F327*G327</f>
        <v>0</v>
      </c>
      <c r="M327" s="433"/>
    </row>
    <row r="328" customFormat="false" ht="20" hidden="false" customHeight="true" outlineLevel="0" collapsed="false">
      <c r="A328" s="878" t="s">
        <v>413</v>
      </c>
      <c r="B328" s="876"/>
      <c r="C328" s="876"/>
      <c r="D328" s="876"/>
      <c r="E328" s="851" t="n">
        <f aca="false">B328-C328+D328</f>
        <v>0</v>
      </c>
      <c r="F328" s="506" t="n">
        <v>1.6</v>
      </c>
      <c r="G328" s="506" t="n">
        <v>0.55</v>
      </c>
      <c r="H328" s="851" t="n">
        <f aca="false">E328*F328</f>
        <v>0</v>
      </c>
      <c r="I328" s="851" t="n">
        <f aca="false">H328*G328</f>
        <v>0</v>
      </c>
      <c r="J328" s="877" t="n">
        <f aca="false">D328*F328*G328</f>
        <v>0</v>
      </c>
      <c r="M328" s="433"/>
    </row>
    <row r="329" customFormat="false" ht="20" hidden="false" customHeight="true" outlineLevel="0" collapsed="false">
      <c r="A329" s="878" t="s">
        <v>414</v>
      </c>
      <c r="B329" s="876"/>
      <c r="C329" s="876"/>
      <c r="D329" s="876"/>
      <c r="E329" s="851" t="n">
        <f aca="false">B329-C329+D329</f>
        <v>0</v>
      </c>
      <c r="F329" s="506" t="n">
        <v>3</v>
      </c>
      <c r="G329" s="506" t="n">
        <v>0.55</v>
      </c>
      <c r="H329" s="851" t="n">
        <f aca="false">E329*F329</f>
        <v>0</v>
      </c>
      <c r="I329" s="851" t="n">
        <f aca="false">H329*G329</f>
        <v>0</v>
      </c>
      <c r="J329" s="877" t="n">
        <f aca="false">D329*F329*G329</f>
        <v>0</v>
      </c>
      <c r="M329" s="433"/>
    </row>
    <row r="330" customFormat="false" ht="26.25" hidden="false" customHeight="true" outlineLevel="0" collapsed="false">
      <c r="A330" s="875" t="s">
        <v>415</v>
      </c>
      <c r="B330" s="876"/>
      <c r="C330" s="876"/>
      <c r="D330" s="876"/>
      <c r="E330" s="851" t="n">
        <f aca="false">B330-C330+D330</f>
        <v>0</v>
      </c>
      <c r="F330" s="506" t="n">
        <v>0.4</v>
      </c>
      <c r="G330" s="506" t="n">
        <v>0.55</v>
      </c>
      <c r="H330" s="851" t="n">
        <f aca="false">E330*F330</f>
        <v>0</v>
      </c>
      <c r="I330" s="851" t="n">
        <f aca="false">H330*G330</f>
        <v>0</v>
      </c>
      <c r="J330" s="877" t="n">
        <f aca="false">D330*F330*G330</f>
        <v>0</v>
      </c>
      <c r="M330" s="433"/>
    </row>
    <row r="331" customFormat="false" ht="20" hidden="false" customHeight="true" outlineLevel="0" collapsed="false">
      <c r="A331" s="878" t="s">
        <v>416</v>
      </c>
      <c r="B331" s="876"/>
      <c r="C331" s="876"/>
      <c r="D331" s="876"/>
      <c r="E331" s="851" t="n">
        <f aca="false">B331-C331+D331</f>
        <v>0</v>
      </c>
      <c r="F331" s="506" t="n">
        <v>6.8</v>
      </c>
      <c r="G331" s="876"/>
      <c r="H331" s="851" t="n">
        <f aca="false">E331*F331</f>
        <v>0</v>
      </c>
      <c r="I331" s="851" t="n">
        <f aca="false">H331*G331</f>
        <v>0</v>
      </c>
      <c r="J331" s="877" t="n">
        <f aca="false">D331*F331*G331</f>
        <v>0</v>
      </c>
      <c r="M331" s="433"/>
    </row>
    <row r="332" customFormat="false" ht="20" hidden="false" customHeight="true" outlineLevel="0" collapsed="false">
      <c r="A332" s="878" t="s">
        <v>417</v>
      </c>
      <c r="B332" s="876"/>
      <c r="C332" s="876"/>
      <c r="D332" s="876"/>
      <c r="E332" s="851" t="n">
        <f aca="false">B332-C332+D332</f>
        <v>0</v>
      </c>
      <c r="F332" s="506" t="n">
        <v>22</v>
      </c>
      <c r="G332" s="506" t="n">
        <v>0.7</v>
      </c>
      <c r="H332" s="851" t="n">
        <f aca="false">E332*F332</f>
        <v>0</v>
      </c>
      <c r="I332" s="851" t="n">
        <f aca="false">H332*G332</f>
        <v>0</v>
      </c>
      <c r="J332" s="877" t="n">
        <f aca="false">D332*F332*G332</f>
        <v>0</v>
      </c>
      <c r="M332" s="433"/>
    </row>
    <row r="333" customFormat="false" ht="20" hidden="false" customHeight="true" outlineLevel="0" collapsed="false">
      <c r="A333" s="878" t="s">
        <v>418</v>
      </c>
      <c r="B333" s="876"/>
      <c r="C333" s="876"/>
      <c r="D333" s="876"/>
      <c r="E333" s="851" t="n">
        <f aca="false">B333-C333+D333</f>
        <v>0</v>
      </c>
      <c r="F333" s="506" t="n">
        <v>40</v>
      </c>
      <c r="G333" s="506" t="n">
        <v>0.7</v>
      </c>
      <c r="H333" s="851" t="n">
        <f aca="false">E333*F333</f>
        <v>0</v>
      </c>
      <c r="I333" s="851" t="n">
        <f aca="false">H333*G333</f>
        <v>0</v>
      </c>
      <c r="J333" s="877" t="n">
        <f aca="false">D333*F333*G333</f>
        <v>0</v>
      </c>
    </row>
    <row r="334" customFormat="false" ht="20" hidden="false" customHeight="true" outlineLevel="0" collapsed="false">
      <c r="A334" s="878" t="s">
        <v>419</v>
      </c>
      <c r="B334" s="876"/>
      <c r="C334" s="876"/>
      <c r="D334" s="876"/>
      <c r="E334" s="851" t="n">
        <f aca="false">B334-C334+D334</f>
        <v>0</v>
      </c>
      <c r="F334" s="506" t="n">
        <v>22</v>
      </c>
      <c r="G334" s="506" t="n">
        <v>0.7</v>
      </c>
      <c r="H334" s="851" t="n">
        <f aca="false">E334*F334</f>
        <v>0</v>
      </c>
      <c r="I334" s="851" t="n">
        <f aca="false">H334*G334</f>
        <v>0</v>
      </c>
      <c r="J334" s="877" t="n">
        <f aca="false">D334*F334*G334</f>
        <v>0</v>
      </c>
      <c r="O334" s="70"/>
    </row>
    <row r="335" customFormat="false" ht="30" hidden="false" customHeight="true" outlineLevel="0" collapsed="false">
      <c r="A335" s="875" t="s">
        <v>420</v>
      </c>
      <c r="B335" s="876"/>
      <c r="C335" s="876"/>
      <c r="D335" s="876"/>
      <c r="E335" s="851" t="n">
        <f aca="false">B335-C335+D335</f>
        <v>0</v>
      </c>
      <c r="F335" s="506" t="n">
        <v>9.6</v>
      </c>
      <c r="G335" s="506" t="n">
        <v>0.7</v>
      </c>
      <c r="H335" s="851" t="n">
        <f aca="false">E335*F335</f>
        <v>0</v>
      </c>
      <c r="I335" s="851" t="n">
        <f aca="false">H335*G335</f>
        <v>0</v>
      </c>
      <c r="J335" s="877" t="n">
        <f aca="false">D335*F335*G335</f>
        <v>0</v>
      </c>
      <c r="O335" s="70"/>
    </row>
    <row r="336" customFormat="false" ht="26.25" hidden="false" customHeight="true" outlineLevel="0" collapsed="false">
      <c r="A336" s="875" t="s">
        <v>421</v>
      </c>
      <c r="B336" s="876"/>
      <c r="C336" s="876"/>
      <c r="D336" s="876"/>
      <c r="E336" s="851" t="n">
        <f aca="false">B336-C336+D336</f>
        <v>0</v>
      </c>
      <c r="F336" s="506" t="n">
        <v>4.3</v>
      </c>
      <c r="G336" s="506" t="n">
        <v>0.7</v>
      </c>
      <c r="H336" s="851" t="n">
        <f aca="false">E336*F336</f>
        <v>0</v>
      </c>
      <c r="I336" s="851" t="n">
        <f aca="false">H336*G336</f>
        <v>0</v>
      </c>
      <c r="J336" s="877" t="n">
        <f aca="false">D336*F336*G336</f>
        <v>0</v>
      </c>
    </row>
    <row r="337" customFormat="false" ht="37.5" hidden="false" customHeight="true" outlineLevel="0" collapsed="false">
      <c r="A337" s="875" t="s">
        <v>422</v>
      </c>
      <c r="B337" s="876"/>
      <c r="C337" s="876"/>
      <c r="D337" s="876"/>
      <c r="E337" s="851" t="n">
        <f aca="false">B337-C337+D337</f>
        <v>0</v>
      </c>
      <c r="F337" s="506" t="n">
        <v>7.2</v>
      </c>
      <c r="G337" s="506" t="n">
        <v>0.15</v>
      </c>
      <c r="H337" s="851" t="n">
        <f aca="false">E337*F337</f>
        <v>0</v>
      </c>
      <c r="I337" s="851" t="n">
        <f aca="false">H337*G337</f>
        <v>0</v>
      </c>
      <c r="J337" s="877" t="n">
        <f aca="false">D337*F337*G337</f>
        <v>0</v>
      </c>
    </row>
    <row r="338" customFormat="false" ht="20" hidden="false" customHeight="true" outlineLevel="0" collapsed="false">
      <c r="A338" s="875" t="s">
        <v>423</v>
      </c>
      <c r="B338" s="876"/>
      <c r="C338" s="876"/>
      <c r="D338" s="876"/>
      <c r="E338" s="851" t="n">
        <f aca="false">B338-C338+D338</f>
        <v>0</v>
      </c>
      <c r="F338" s="506" t="n">
        <v>9.1</v>
      </c>
      <c r="G338" s="506" t="n">
        <v>0.15</v>
      </c>
      <c r="H338" s="851" t="n">
        <f aca="false">E338*F338</f>
        <v>0</v>
      </c>
      <c r="I338" s="851" t="n">
        <f aca="false">H338*G338</f>
        <v>0</v>
      </c>
      <c r="J338" s="877" t="n">
        <f aca="false">D338*F338*G338</f>
        <v>0</v>
      </c>
    </row>
    <row r="339" customFormat="false" ht="20" hidden="false" customHeight="true" outlineLevel="0" collapsed="false">
      <c r="A339" s="875" t="s">
        <v>424</v>
      </c>
      <c r="B339" s="876"/>
      <c r="C339" s="876"/>
      <c r="D339" s="876"/>
      <c r="E339" s="851" t="n">
        <f aca="false">B339-C339+D339</f>
        <v>0</v>
      </c>
      <c r="F339" s="506" t="n">
        <v>6</v>
      </c>
      <c r="G339" s="876"/>
      <c r="H339" s="851" t="n">
        <f aca="false">E339*F339</f>
        <v>0</v>
      </c>
      <c r="I339" s="851" t="n">
        <f aca="false">H339*G339</f>
        <v>0</v>
      </c>
      <c r="J339" s="877" t="n">
        <f aca="false">D339*F339*G339</f>
        <v>0</v>
      </c>
    </row>
    <row r="340" customFormat="false" ht="20" hidden="false" customHeight="true" outlineLevel="0" collapsed="false">
      <c r="A340" s="875" t="s">
        <v>425</v>
      </c>
      <c r="B340" s="876"/>
      <c r="C340" s="876"/>
      <c r="D340" s="876"/>
      <c r="E340" s="851" t="n">
        <f aca="false">B340-C340+D340</f>
        <v>0</v>
      </c>
      <c r="F340" s="506" t="n">
        <v>2</v>
      </c>
      <c r="G340" s="876"/>
      <c r="H340" s="851" t="n">
        <f aca="false">E340*F340</f>
        <v>0</v>
      </c>
      <c r="I340" s="851" t="n">
        <f aca="false">H340*G340</f>
        <v>0</v>
      </c>
      <c r="J340" s="877" t="n">
        <f aca="false">D340*F340*G340</f>
        <v>0</v>
      </c>
    </row>
    <row r="341" customFormat="false" ht="20" hidden="false" customHeight="true" outlineLevel="0" collapsed="false">
      <c r="A341" s="875" t="s">
        <v>426</v>
      </c>
      <c r="B341" s="876"/>
      <c r="C341" s="876"/>
      <c r="D341" s="876"/>
      <c r="E341" s="851" t="n">
        <f aca="false">B341-C341+D341</f>
        <v>0</v>
      </c>
      <c r="F341" s="506" t="n">
        <v>5.5</v>
      </c>
      <c r="G341" s="876"/>
      <c r="H341" s="851" t="n">
        <f aca="false">E341*F341</f>
        <v>0</v>
      </c>
      <c r="I341" s="851" t="n">
        <f aca="false">H341*G341</f>
        <v>0</v>
      </c>
      <c r="J341" s="877" t="n">
        <f aca="false">D341*F341*G341</f>
        <v>0</v>
      </c>
    </row>
    <row r="342" customFormat="false" ht="31.5" hidden="false" customHeight="true" outlineLevel="0" collapsed="false">
      <c r="A342" s="875" t="s">
        <v>427</v>
      </c>
      <c r="B342" s="876"/>
      <c r="C342" s="876"/>
      <c r="D342" s="876"/>
      <c r="E342" s="851" t="n">
        <f aca="false">B342-C342+D342</f>
        <v>0</v>
      </c>
      <c r="F342" s="506" t="n">
        <v>18</v>
      </c>
      <c r="G342" s="876"/>
      <c r="H342" s="851" t="n">
        <f aca="false">E342*F342</f>
        <v>0</v>
      </c>
      <c r="I342" s="851" t="n">
        <f aca="false">H342*G342</f>
        <v>0</v>
      </c>
      <c r="J342" s="877" t="n">
        <f aca="false">D342*F342*G342</f>
        <v>0</v>
      </c>
    </row>
    <row r="343" customFormat="false" ht="20" hidden="false" customHeight="true" outlineLevel="0" collapsed="false">
      <c r="A343" s="875" t="s">
        <v>428</v>
      </c>
      <c r="B343" s="876"/>
      <c r="C343" s="876"/>
      <c r="D343" s="876"/>
      <c r="E343" s="851" t="n">
        <f aca="false">B343-C343+D343</f>
        <v>0</v>
      </c>
      <c r="F343" s="506" t="n">
        <v>8</v>
      </c>
      <c r="G343" s="876"/>
      <c r="H343" s="851" t="n">
        <f aca="false">E343*F343</f>
        <v>0</v>
      </c>
      <c r="I343" s="851" t="n">
        <f aca="false">H343*G343</f>
        <v>0</v>
      </c>
      <c r="J343" s="877" t="n">
        <f aca="false">D343*F343*G343</f>
        <v>0</v>
      </c>
    </row>
    <row r="344" customFormat="false" ht="26.25" hidden="false" customHeight="true" outlineLevel="0" collapsed="false">
      <c r="A344" s="875" t="s">
        <v>429</v>
      </c>
      <c r="B344" s="876"/>
      <c r="C344" s="876"/>
      <c r="D344" s="876"/>
      <c r="E344" s="851" t="n">
        <f aca="false">B344-C344+D344</f>
        <v>0</v>
      </c>
      <c r="F344" s="506" t="n">
        <v>20</v>
      </c>
      <c r="G344" s="876"/>
      <c r="H344" s="851" t="n">
        <f aca="false">E344*F344</f>
        <v>0</v>
      </c>
      <c r="I344" s="851" t="n">
        <f aca="false">H344*G344</f>
        <v>0</v>
      </c>
      <c r="J344" s="877" t="n">
        <f aca="false">D344*F344*G344</f>
        <v>0</v>
      </c>
    </row>
    <row r="345" customFormat="false" ht="26.25" hidden="false" customHeight="true" outlineLevel="0" collapsed="false">
      <c r="A345" s="875" t="s">
        <v>430</v>
      </c>
      <c r="B345" s="876"/>
      <c r="C345" s="876"/>
      <c r="D345" s="876"/>
      <c r="E345" s="851" t="n">
        <f aca="false">B345-C345+D345</f>
        <v>0</v>
      </c>
      <c r="F345" s="506" t="n">
        <v>15</v>
      </c>
      <c r="G345" s="876"/>
      <c r="H345" s="851" t="n">
        <f aca="false">E345*F345</f>
        <v>0</v>
      </c>
      <c r="I345" s="851" t="n">
        <f aca="false">H345*G345</f>
        <v>0</v>
      </c>
      <c r="J345" s="877" t="n">
        <f aca="false">D345*F345*G345</f>
        <v>0</v>
      </c>
    </row>
    <row r="346" customFormat="false" ht="26.25" hidden="false" customHeight="true" outlineLevel="0" collapsed="false">
      <c r="A346" s="875" t="s">
        <v>1203</v>
      </c>
      <c r="B346" s="876"/>
      <c r="C346" s="876"/>
      <c r="D346" s="876"/>
      <c r="E346" s="851" t="n">
        <f aca="false">B346-C346+D346</f>
        <v>0</v>
      </c>
      <c r="F346" s="506" t="n">
        <v>10</v>
      </c>
      <c r="G346" s="876"/>
      <c r="H346" s="851" t="n">
        <f aca="false">E346*F346</f>
        <v>0</v>
      </c>
      <c r="I346" s="851" t="n">
        <f aca="false">H346*G346</f>
        <v>0</v>
      </c>
      <c r="J346" s="877" t="n">
        <f aca="false">D346*F346*G346</f>
        <v>0</v>
      </c>
    </row>
    <row r="347" customFormat="false" ht="20" hidden="false" customHeight="true" outlineLevel="0" collapsed="false">
      <c r="A347" s="875" t="s">
        <v>432</v>
      </c>
      <c r="B347" s="876"/>
      <c r="C347" s="876"/>
      <c r="D347" s="876"/>
      <c r="E347" s="851" t="n">
        <f aca="false">B347-C347+D347</f>
        <v>0</v>
      </c>
      <c r="F347" s="506" t="n">
        <v>6.5</v>
      </c>
      <c r="G347" s="876"/>
      <c r="H347" s="851" t="n">
        <f aca="false">E347*F347</f>
        <v>0</v>
      </c>
      <c r="I347" s="851" t="n">
        <f aca="false">H347*G347</f>
        <v>0</v>
      </c>
      <c r="J347" s="877" t="n">
        <f aca="false">D347*F347*G347</f>
        <v>0</v>
      </c>
    </row>
    <row r="348" customFormat="false" ht="29.25" hidden="false" customHeight="true" outlineLevel="0" collapsed="false">
      <c r="A348" s="875" t="s">
        <v>433</v>
      </c>
      <c r="B348" s="876"/>
      <c r="C348" s="876"/>
      <c r="D348" s="876"/>
      <c r="E348" s="851" t="n">
        <f aca="false">B348-C348+D348</f>
        <v>0</v>
      </c>
      <c r="F348" s="506" t="n">
        <v>7.6</v>
      </c>
      <c r="G348" s="876"/>
      <c r="H348" s="851" t="n">
        <f aca="false">E348*F348</f>
        <v>0</v>
      </c>
      <c r="I348" s="851" t="n">
        <f aca="false">H348*G348</f>
        <v>0</v>
      </c>
      <c r="J348" s="877" t="n">
        <f aca="false">D348*F348*G348</f>
        <v>0</v>
      </c>
      <c r="N348" s="70"/>
      <c r="O348" s="70"/>
    </row>
    <row r="349" customFormat="false" ht="35.25" hidden="false" customHeight="true" outlineLevel="0" collapsed="false">
      <c r="A349" s="875" t="s">
        <v>434</v>
      </c>
      <c r="B349" s="876"/>
      <c r="C349" s="876"/>
      <c r="D349" s="876"/>
      <c r="E349" s="851" t="n">
        <f aca="false">B349-C349+D349</f>
        <v>0</v>
      </c>
      <c r="F349" s="506" t="n">
        <v>11</v>
      </c>
      <c r="G349" s="876"/>
      <c r="H349" s="851" t="n">
        <f aca="false">E349*F349</f>
        <v>0</v>
      </c>
      <c r="I349" s="851" t="n">
        <f aca="false">H349*G349</f>
        <v>0</v>
      </c>
      <c r="J349" s="877" t="n">
        <f aca="false">D349*F349*G349</f>
        <v>0</v>
      </c>
    </row>
    <row r="350" customFormat="false" ht="20" hidden="false" customHeight="true" outlineLevel="0" collapsed="false">
      <c r="A350" s="875" t="s">
        <v>435</v>
      </c>
      <c r="B350" s="876"/>
      <c r="C350" s="876"/>
      <c r="D350" s="876"/>
      <c r="E350" s="851" t="n">
        <f aca="false">B350-C350+D350</f>
        <v>0</v>
      </c>
      <c r="F350" s="506" t="n">
        <v>20</v>
      </c>
      <c r="G350" s="876"/>
      <c r="H350" s="851" t="n">
        <f aca="false">E350*F350</f>
        <v>0</v>
      </c>
      <c r="I350" s="851" t="n">
        <f aca="false">H350*G350</f>
        <v>0</v>
      </c>
      <c r="J350" s="877" t="n">
        <f aca="false">D350*F350*G350</f>
        <v>0</v>
      </c>
    </row>
    <row r="351" customFormat="false" ht="26.25" hidden="false" customHeight="true" outlineLevel="0" collapsed="false">
      <c r="A351" s="875" t="s">
        <v>1204</v>
      </c>
      <c r="B351" s="876"/>
      <c r="C351" s="876"/>
      <c r="D351" s="876"/>
      <c r="E351" s="851" t="n">
        <f aca="false">B351-C351+D351</f>
        <v>0</v>
      </c>
      <c r="F351" s="506" t="n">
        <v>15</v>
      </c>
      <c r="G351" s="876"/>
      <c r="H351" s="851" t="n">
        <f aca="false">E351*F351</f>
        <v>0</v>
      </c>
      <c r="I351" s="851" t="n">
        <f aca="false">H351*G351</f>
        <v>0</v>
      </c>
      <c r="J351" s="877" t="n">
        <f aca="false">D351*F351*G351</f>
        <v>0</v>
      </c>
    </row>
    <row r="352" customFormat="false" ht="20" hidden="false" customHeight="true" outlineLevel="0" collapsed="false">
      <c r="A352" s="879" t="s">
        <v>437</v>
      </c>
      <c r="B352" s="535"/>
      <c r="C352" s="535"/>
      <c r="D352" s="535"/>
      <c r="E352" s="880" t="n">
        <f aca="false">B352-C352+D352</f>
        <v>0</v>
      </c>
      <c r="F352" s="881" t="n">
        <v>27.5</v>
      </c>
      <c r="G352" s="882"/>
      <c r="H352" s="880" t="n">
        <f aca="false">E352*F352</f>
        <v>0</v>
      </c>
      <c r="I352" s="880" t="n">
        <f aca="false">H352*G352</f>
        <v>0</v>
      </c>
      <c r="J352" s="883" t="n">
        <f aca="false">D352*F352*G352</f>
        <v>0</v>
      </c>
    </row>
    <row r="353" customFormat="false" ht="20" hidden="false" customHeight="true" outlineLevel="0" collapsed="false"/>
    <row r="354" customFormat="false" ht="52.5" hidden="false" customHeight="true" outlineLevel="0" collapsed="false">
      <c r="A354" s="884"/>
      <c r="B354" s="885"/>
      <c r="C354" s="885"/>
      <c r="D354" s="886" t="s">
        <v>1205</v>
      </c>
      <c r="E354" s="886" t="s">
        <v>1206</v>
      </c>
      <c r="F354" s="887"/>
      <c r="G354" s="887"/>
      <c r="H354" s="886" t="s">
        <v>1196</v>
      </c>
      <c r="I354" s="886" t="s">
        <v>1207</v>
      </c>
      <c r="J354" s="886" t="s">
        <v>1208</v>
      </c>
      <c r="O354" s="70"/>
      <c r="P354" s="70"/>
    </row>
    <row r="355" customFormat="false" ht="20" hidden="false" customHeight="true" outlineLevel="0" collapsed="false">
      <c r="A355" s="884"/>
      <c r="B355" s="885"/>
      <c r="C355" s="885"/>
      <c r="D355" s="851" t="n">
        <f aca="false">SUM(D322:D352)</f>
        <v>0</v>
      </c>
      <c r="E355" s="851" t="n">
        <f aca="false">SUM(E322:E352)</f>
        <v>1000</v>
      </c>
      <c r="F355" s="888" t="s">
        <v>1209</v>
      </c>
      <c r="G355" s="889" t="s">
        <v>540</v>
      </c>
      <c r="H355" s="770" t="n">
        <f aca="false">SUM(H322:H352)</f>
        <v>5000</v>
      </c>
      <c r="I355" s="770" t="n">
        <f aca="false">SUM(I322:I352)</f>
        <v>750</v>
      </c>
      <c r="J355" s="770" t="n">
        <f aca="false">SUM(J322:J352)</f>
        <v>0</v>
      </c>
    </row>
    <row r="356" customFormat="false" ht="20" hidden="false" customHeight="true" outlineLevel="0" collapsed="false">
      <c r="W356" s="12"/>
    </row>
    <row r="357" customFormat="false" ht="20" hidden="false" customHeight="true" outlineLevel="0" collapsed="false">
      <c r="A357" s="890" t="s">
        <v>438</v>
      </c>
      <c r="B357" s="890"/>
      <c r="C357" s="890"/>
      <c r="D357" s="890"/>
      <c r="F357" s="891" t="s">
        <v>243</v>
      </c>
      <c r="T357" s="12"/>
    </row>
    <row r="358" customFormat="false" ht="20" hidden="false" customHeight="true" outlineLevel="0" collapsed="false">
      <c r="A358" s="890" t="s">
        <v>1210</v>
      </c>
      <c r="B358" s="890"/>
      <c r="C358" s="890"/>
      <c r="D358" s="890"/>
      <c r="F358" s="853" t="n">
        <v>0</v>
      </c>
      <c r="T358" s="12"/>
    </row>
    <row r="359" customFormat="false" ht="20" hidden="false" customHeight="true" outlineLevel="0" collapsed="false">
      <c r="T359" s="12"/>
    </row>
    <row r="360" customFormat="false" ht="20" hidden="false" customHeight="true" outlineLevel="0" collapsed="false">
      <c r="W360" s="12"/>
    </row>
    <row r="361" customFormat="false" ht="20" hidden="false" customHeight="true" outlineLevel="0" collapsed="false">
      <c r="N361" s="70"/>
      <c r="O361" s="70"/>
      <c r="P361" s="70"/>
      <c r="Q361" s="70"/>
      <c r="R361" s="70"/>
    </row>
    <row r="362" customFormat="false" ht="24" hidden="false" customHeight="true" outlineLevel="0" collapsed="false">
      <c r="A362" s="892" t="s">
        <v>1211</v>
      </c>
      <c r="B362" s="892"/>
      <c r="C362" s="892"/>
      <c r="D362" s="892"/>
      <c r="E362" s="892"/>
      <c r="F362" s="892"/>
      <c r="G362" s="892"/>
      <c r="H362" s="892"/>
      <c r="I362" s="892"/>
      <c r="J362" s="892"/>
      <c r="K362" s="893"/>
      <c r="L362" s="894" t="s">
        <v>1212</v>
      </c>
      <c r="Q362" s="70"/>
      <c r="R362" s="70"/>
    </row>
    <row r="363" customFormat="false" ht="19.5" hidden="false" customHeight="true" outlineLevel="0" collapsed="false">
      <c r="A363" s="415"/>
      <c r="B363" s="415"/>
      <c r="C363" s="416"/>
      <c r="D363" s="416"/>
      <c r="E363" s="416"/>
      <c r="F363" s="416"/>
      <c r="G363" s="416"/>
      <c r="H363" s="417"/>
      <c r="I363" s="418"/>
      <c r="J363" s="419"/>
      <c r="K363" s="893"/>
      <c r="L363" s="895"/>
      <c r="Q363" s="70"/>
      <c r="R363" s="70"/>
    </row>
    <row r="364" customFormat="false" ht="19.5" hidden="false" customHeight="true" outlineLevel="0" collapsed="false">
      <c r="A364" s="415"/>
      <c r="B364" s="415"/>
      <c r="C364" s="416"/>
      <c r="D364" s="416"/>
      <c r="E364" s="416"/>
      <c r="F364" s="416"/>
      <c r="G364" s="416"/>
      <c r="H364" s="417"/>
      <c r="I364" s="418"/>
      <c r="J364" s="419"/>
      <c r="K364" s="893"/>
      <c r="L364" s="895"/>
      <c r="Q364" s="70"/>
      <c r="R364" s="70"/>
    </row>
    <row r="365" customFormat="false" ht="20" hidden="false" customHeight="true" outlineLevel="0" collapsed="false">
      <c r="A365" s="896" t="s">
        <v>1213</v>
      </c>
      <c r="B365" s="896"/>
      <c r="C365" s="896"/>
      <c r="D365" s="896"/>
      <c r="E365" s="896"/>
      <c r="F365" s="896"/>
      <c r="G365" s="896"/>
      <c r="H365" s="897"/>
      <c r="I365" s="897"/>
      <c r="J365" s="897"/>
      <c r="K365" s="898"/>
      <c r="L365" s="899" t="s">
        <v>1214</v>
      </c>
      <c r="Q365" s="70"/>
      <c r="R365" s="70"/>
    </row>
    <row r="366" customFormat="false" ht="20" hidden="false" customHeight="true" outlineLevel="0" collapsed="false">
      <c r="A366" s="415"/>
      <c r="B366" s="415"/>
      <c r="C366" s="416"/>
      <c r="D366" s="416"/>
      <c r="E366" s="416"/>
      <c r="F366" s="416"/>
      <c r="G366" s="416"/>
      <c r="H366" s="417"/>
      <c r="I366" s="418"/>
      <c r="J366" s="419"/>
      <c r="K366" s="893"/>
      <c r="L366" s="895"/>
      <c r="Q366" s="70"/>
      <c r="R366" s="70"/>
    </row>
    <row r="367" customFormat="false" ht="33" hidden="false" customHeight="true" outlineLevel="0" collapsed="false">
      <c r="A367" s="900"/>
      <c r="B367" s="901" t="s">
        <v>1215</v>
      </c>
      <c r="C367" s="901"/>
      <c r="D367" s="19"/>
      <c r="E367" s="70"/>
      <c r="F367" s="70"/>
      <c r="G367" s="14"/>
      <c r="H367" s="70"/>
      <c r="I367" s="70"/>
      <c r="J367" s="70"/>
      <c r="L367" s="11" t="s">
        <v>1216</v>
      </c>
      <c r="Q367" s="70"/>
      <c r="R367" s="70"/>
    </row>
    <row r="368" customFormat="false" ht="20" hidden="false" customHeight="true" outlineLevel="0" collapsed="false">
      <c r="A368" s="902"/>
      <c r="D368" s="903"/>
      <c r="E368" s="903" t="s">
        <v>1217</v>
      </c>
      <c r="F368" s="903"/>
      <c r="G368" s="904" t="n">
        <f aca="false">IF(LARGE(D251:D295,1)&gt;LARGE(C202:C231,1),LARGE(D251:D295,1),LARGE(C202:C231,1))/(B13-B16)</f>
        <v>0.473005502063274</v>
      </c>
      <c r="H368" s="19" t="s">
        <v>1218</v>
      </c>
      <c r="I368" s="19"/>
      <c r="J368" s="694"/>
      <c r="K368" s="905"/>
      <c r="L368" s="906"/>
      <c r="Q368" s="70"/>
      <c r="R368" s="70"/>
    </row>
    <row r="369" customFormat="false" ht="20" hidden="false" customHeight="true" outlineLevel="0" collapsed="false">
      <c r="A369" s="902"/>
      <c r="B369" s="19"/>
      <c r="D369" s="903"/>
      <c r="E369" s="903" t="s">
        <v>1219</v>
      </c>
      <c r="F369" s="903"/>
      <c r="G369" s="904" t="n">
        <f aca="false">IF(LARGE(D251:D295,1)&gt;LARGE(C202:C231,1),MAX(LARGE(D251:D295,2),LARGE(C202:C231,1)),MAX(LARGE(D251:D295,1),LARGE(C202:C231,2)))/(B13-B16)</f>
        <v>0.165233837689133</v>
      </c>
      <c r="H369" s="19"/>
      <c r="I369" s="19"/>
      <c r="J369" s="694"/>
      <c r="K369" s="905"/>
      <c r="L369" s="906"/>
      <c r="Q369" s="70"/>
      <c r="R369" s="70"/>
    </row>
    <row r="370" customFormat="false" ht="20" hidden="false" customHeight="true" outlineLevel="0" collapsed="false">
      <c r="A370" s="902"/>
      <c r="B370" s="19"/>
      <c r="C370" s="19"/>
      <c r="D370" s="19"/>
      <c r="E370" s="19"/>
      <c r="F370" s="907" t="s">
        <v>1220</v>
      </c>
      <c r="G370" s="908" t="n">
        <f aca="false">(G368+G369)</f>
        <v>0.638239339752407</v>
      </c>
      <c r="H370" s="19"/>
      <c r="I370" s="19"/>
      <c r="J370" s="694"/>
      <c r="K370" s="905"/>
      <c r="Q370" s="70"/>
      <c r="R370" s="70"/>
    </row>
    <row r="371" customFormat="false" ht="19.5" hidden="false" customHeight="true" outlineLevel="0" collapsed="false">
      <c r="C371" s="909"/>
      <c r="D371" s="909"/>
      <c r="E371" s="910"/>
      <c r="F371" s="911" t="s">
        <v>1221</v>
      </c>
      <c r="G371" s="911"/>
      <c r="H371" s="911"/>
      <c r="I371" s="912"/>
      <c r="J371" s="694"/>
      <c r="K371" s="905"/>
      <c r="Q371" s="70"/>
      <c r="R371" s="70"/>
    </row>
    <row r="372" customFormat="false" ht="29.25" hidden="false" customHeight="true" outlineLevel="0" collapsed="false">
      <c r="A372" s="913"/>
      <c r="B372" s="314"/>
      <c r="C372" s="909"/>
      <c r="D372" s="909"/>
      <c r="E372" s="314"/>
      <c r="F372" s="914" t="s">
        <v>1222</v>
      </c>
      <c r="G372" s="915" t="s">
        <v>1223</v>
      </c>
      <c r="H372" s="916" t="s">
        <v>1224</v>
      </c>
      <c r="K372" s="906"/>
      <c r="Q372" s="70"/>
      <c r="R372" s="70"/>
    </row>
    <row r="373" customFormat="false" ht="47.25" hidden="false" customHeight="true" outlineLevel="0" collapsed="false">
      <c r="D373" s="917" t="s">
        <v>1225</v>
      </c>
      <c r="E373" s="918" t="s">
        <v>1226</v>
      </c>
      <c r="F373" s="919" t="n">
        <v>0</v>
      </c>
      <c r="G373" s="920" t="n">
        <v>1</v>
      </c>
      <c r="H373" s="921"/>
      <c r="I373" s="694"/>
      <c r="K373" s="906"/>
      <c r="Q373" s="70"/>
      <c r="R373" s="70"/>
    </row>
    <row r="374" customFormat="false" ht="33" hidden="false" customHeight="true" outlineLevel="0" collapsed="false">
      <c r="A374" s="922" t="s">
        <v>1227</v>
      </c>
      <c r="B374" s="910" t="s">
        <v>1228</v>
      </c>
      <c r="C374" s="923" t="n">
        <v>4</v>
      </c>
      <c r="D374" s="917"/>
      <c r="E374" s="924" t="s">
        <v>1229</v>
      </c>
      <c r="F374" s="919"/>
      <c r="G374" s="47" t="n">
        <v>2</v>
      </c>
      <c r="H374" s="925" t="n">
        <v>3</v>
      </c>
      <c r="K374" s="926"/>
      <c r="Q374" s="70"/>
      <c r="R374" s="70"/>
    </row>
    <row r="375" customFormat="false" ht="52" hidden="false" customHeight="false" outlineLevel="0" collapsed="false">
      <c r="A375" s="922" t="s">
        <v>1230</v>
      </c>
      <c r="B375" s="910" t="s">
        <v>1231</v>
      </c>
      <c r="C375" s="923" t="n">
        <v>4</v>
      </c>
      <c r="D375" s="917"/>
      <c r="E375" s="924" t="s">
        <v>1232</v>
      </c>
      <c r="F375" s="919"/>
      <c r="G375" s="47" t="n">
        <v>3</v>
      </c>
      <c r="H375" s="925" t="n">
        <v>4</v>
      </c>
      <c r="K375" s="906"/>
      <c r="Q375" s="70"/>
      <c r="R375" s="70"/>
    </row>
    <row r="376" customFormat="false" ht="33" hidden="false" customHeight="true" outlineLevel="0" collapsed="false">
      <c r="A376" s="927" t="s">
        <v>1225</v>
      </c>
      <c r="B376" s="927"/>
      <c r="C376" s="928" t="n">
        <f aca="false">SUM(C374:C375)</f>
        <v>8</v>
      </c>
      <c r="D376" s="917"/>
      <c r="E376" s="929" t="s">
        <v>1233</v>
      </c>
      <c r="F376" s="919"/>
      <c r="G376" s="930" t="n">
        <v>4</v>
      </c>
      <c r="H376" s="931" t="n">
        <v>5</v>
      </c>
      <c r="I376" s="932" t="s">
        <v>1234</v>
      </c>
      <c r="J376" s="933" t="n">
        <v>4</v>
      </c>
      <c r="K376" s="906"/>
      <c r="Q376" s="70"/>
      <c r="R376" s="70"/>
    </row>
    <row r="377" customFormat="false" ht="19.5" hidden="false" customHeight="true" outlineLevel="0" collapsed="false">
      <c r="A377" s="416"/>
      <c r="D377" s="909"/>
      <c r="E377" s="909"/>
      <c r="F377" s="909"/>
      <c r="G377" s="909"/>
      <c r="K377" s="934"/>
      <c r="Q377" s="70"/>
      <c r="R377" s="70"/>
    </row>
    <row r="378" customFormat="false" ht="19.5" hidden="false" customHeight="true" outlineLevel="0" collapsed="false">
      <c r="A378" s="416"/>
      <c r="D378" s="909"/>
      <c r="E378" s="909"/>
      <c r="F378" s="909"/>
      <c r="G378" s="909"/>
      <c r="K378" s="934"/>
      <c r="Q378" s="70"/>
      <c r="R378" s="70"/>
    </row>
    <row r="379" customFormat="false" ht="19.5" hidden="false" customHeight="true" outlineLevel="0" collapsed="false">
      <c r="A379" s="416"/>
      <c r="B379" s="935" t="s">
        <v>97</v>
      </c>
      <c r="C379" s="935"/>
      <c r="D379" s="936" t="s">
        <v>461</v>
      </c>
      <c r="E379" s="936"/>
      <c r="F379" s="936"/>
      <c r="G379" s="936"/>
      <c r="H379" s="937"/>
      <c r="K379" s="934"/>
      <c r="L379" s="11" t="s">
        <v>1235</v>
      </c>
      <c r="Q379" s="70"/>
      <c r="R379" s="70"/>
    </row>
    <row r="380" customFormat="false" ht="19.5" hidden="false" customHeight="true" outlineLevel="0" collapsed="false">
      <c r="A380" s="416"/>
      <c r="D380" s="909"/>
      <c r="E380" s="909"/>
      <c r="F380" s="909"/>
      <c r="G380" s="938" t="s">
        <v>1236</v>
      </c>
      <c r="H380" s="939"/>
      <c r="K380" s="934"/>
      <c r="Q380" s="70"/>
      <c r="R380" s="70"/>
    </row>
    <row r="381" customFormat="false" ht="19.5" hidden="false" customHeight="true" outlineLevel="0" collapsed="false">
      <c r="A381" s="416"/>
      <c r="D381" s="936" t="s">
        <v>462</v>
      </c>
      <c r="E381" s="936"/>
      <c r="F381" s="936"/>
      <c r="G381" s="936"/>
      <c r="H381" s="937"/>
      <c r="K381" s="934"/>
      <c r="Q381" s="70"/>
      <c r="R381" s="70"/>
    </row>
    <row r="382" customFormat="false" ht="19.5" hidden="false" customHeight="true" outlineLevel="0" collapsed="false">
      <c r="A382" s="416"/>
      <c r="D382" s="940"/>
      <c r="E382" s="940"/>
      <c r="F382" s="940"/>
      <c r="G382" s="938" t="s">
        <v>1236</v>
      </c>
      <c r="K382" s="934"/>
      <c r="Q382" s="70"/>
      <c r="R382" s="70"/>
    </row>
    <row r="383" customFormat="false" ht="19.5" hidden="false" customHeight="true" outlineLevel="0" collapsed="false">
      <c r="A383" s="416"/>
      <c r="D383" s="936" t="s">
        <v>1237</v>
      </c>
      <c r="E383" s="936"/>
      <c r="F383" s="936"/>
      <c r="G383" s="936"/>
      <c r="H383" s="937"/>
      <c r="K383" s="934"/>
      <c r="Q383" s="70"/>
      <c r="R383" s="70"/>
    </row>
    <row r="384" customFormat="false" ht="19.5" hidden="false" customHeight="true" outlineLevel="0" collapsed="false">
      <c r="A384" s="416"/>
      <c r="D384" s="940"/>
      <c r="E384" s="941" t="s">
        <v>1238</v>
      </c>
      <c r="F384" s="941"/>
      <c r="G384" s="941"/>
      <c r="K384" s="934"/>
      <c r="Q384" s="70"/>
      <c r="R384" s="70"/>
    </row>
    <row r="385" customFormat="false" ht="19.5" hidden="false" customHeight="true" outlineLevel="0" collapsed="false">
      <c r="A385" s="416"/>
      <c r="D385" s="940"/>
      <c r="E385" s="941"/>
      <c r="F385" s="941"/>
      <c r="G385" s="938" t="s">
        <v>1236</v>
      </c>
      <c r="K385" s="934"/>
      <c r="Q385" s="70"/>
      <c r="R385" s="70"/>
    </row>
    <row r="386" customFormat="false" ht="19.5" hidden="false" customHeight="true" outlineLevel="0" collapsed="false">
      <c r="A386" s="416"/>
      <c r="D386" s="909"/>
      <c r="E386" s="909"/>
      <c r="F386" s="909"/>
      <c r="G386" s="909"/>
      <c r="K386" s="934"/>
      <c r="Q386" s="70"/>
      <c r="R386" s="70"/>
    </row>
    <row r="387" customFormat="false" ht="20" hidden="false" customHeight="true" outlineLevel="0" collapsed="false">
      <c r="A387" s="942" t="s">
        <v>1239</v>
      </c>
      <c r="B387" s="942"/>
      <c r="C387" s="942"/>
      <c r="D387" s="943" t="n">
        <f aca="false">B16/B13</f>
        <v>0.320243104254324</v>
      </c>
      <c r="F387" s="416"/>
      <c r="G387" s="419"/>
      <c r="H387" s="419"/>
      <c r="I387" s="418"/>
      <c r="J387" s="419"/>
      <c r="Q387" s="70"/>
      <c r="R387" s="70"/>
    </row>
    <row r="388" customFormat="false" ht="20" hidden="false" customHeight="true" outlineLevel="0" collapsed="false">
      <c r="A388" s="415"/>
      <c r="B388" s="415"/>
      <c r="C388" s="416"/>
      <c r="D388" s="416"/>
      <c r="E388" s="416"/>
      <c r="F388" s="416"/>
      <c r="G388" s="419"/>
      <c r="H388" s="419"/>
      <c r="I388" s="418"/>
      <c r="J388" s="419"/>
      <c r="K388" s="893"/>
      <c r="L388" s="895"/>
      <c r="Q388" s="70"/>
      <c r="R388" s="70"/>
    </row>
    <row r="389" customFormat="false" ht="20" hidden="false" customHeight="true" outlineLevel="0" collapsed="false">
      <c r="A389" s="415"/>
      <c r="B389" s="415"/>
      <c r="C389" s="416"/>
      <c r="D389" s="416"/>
      <c r="E389" s="416"/>
      <c r="F389" s="416"/>
      <c r="G389" s="419"/>
      <c r="H389" s="419"/>
      <c r="I389" s="418"/>
      <c r="J389" s="419"/>
      <c r="K389" s="893"/>
      <c r="L389" s="895"/>
      <c r="Q389" s="70"/>
      <c r="R389" s="70"/>
    </row>
    <row r="390" customFormat="false" ht="20" hidden="false" customHeight="true" outlineLevel="0" collapsed="false">
      <c r="A390" s="896" t="s">
        <v>1240</v>
      </c>
      <c r="B390" s="896"/>
      <c r="C390" s="896"/>
      <c r="D390" s="896"/>
      <c r="E390" s="896"/>
      <c r="F390" s="896"/>
      <c r="G390" s="896"/>
      <c r="H390" s="897"/>
      <c r="I390" s="897"/>
      <c r="J390" s="897"/>
      <c r="K390" s="898"/>
      <c r="L390" s="899" t="s">
        <v>1241</v>
      </c>
      <c r="Q390" s="70"/>
      <c r="R390" s="70"/>
    </row>
    <row r="391" customFormat="false" ht="20" hidden="false" customHeight="true" outlineLevel="0" collapsed="false">
      <c r="A391" s="944"/>
      <c r="B391" s="944"/>
      <c r="C391" s="944"/>
      <c r="D391" s="944"/>
      <c r="E391" s="944"/>
      <c r="F391" s="945"/>
      <c r="G391" s="946"/>
      <c r="H391" s="947"/>
      <c r="I391" s="945"/>
      <c r="J391" s="948"/>
      <c r="K391" s="458"/>
      <c r="L391" s="459"/>
      <c r="Q391" s="70"/>
      <c r="R391" s="70"/>
    </row>
    <row r="392" customFormat="false" ht="26.25" hidden="false" customHeight="true" outlineLevel="0" collapsed="false">
      <c r="A392" s="949" t="s">
        <v>1242</v>
      </c>
      <c r="B392" s="949"/>
      <c r="C392" s="949"/>
      <c r="D392" s="949"/>
      <c r="E392" s="949"/>
      <c r="F392" s="949"/>
      <c r="G392" s="949"/>
      <c r="H392" s="949"/>
      <c r="I392" s="949"/>
      <c r="J392" s="950" t="s">
        <v>243</v>
      </c>
      <c r="L392" s="11" t="s">
        <v>1243</v>
      </c>
      <c r="Q392" s="70"/>
      <c r="R392" s="70"/>
    </row>
    <row r="393" customFormat="false" ht="20" hidden="false" customHeight="true" outlineLevel="0" collapsed="false">
      <c r="A393" s="951" t="s">
        <v>443</v>
      </c>
      <c r="B393" s="952"/>
      <c r="C393" s="952"/>
      <c r="D393" s="910"/>
      <c r="E393" s="910"/>
      <c r="F393" s="945"/>
      <c r="G393" s="946"/>
      <c r="H393" s="947"/>
      <c r="I393" s="945"/>
      <c r="J393" s="948"/>
      <c r="Q393" s="70"/>
      <c r="R393" s="70"/>
    </row>
    <row r="394" customFormat="false" ht="20" hidden="false" customHeight="true" outlineLevel="0" collapsed="false">
      <c r="D394" s="910"/>
      <c r="E394" s="910"/>
      <c r="F394" s="945"/>
      <c r="G394" s="946"/>
      <c r="H394" s="947"/>
      <c r="I394" s="945"/>
      <c r="J394" s="948"/>
      <c r="Q394" s="70"/>
      <c r="R394" s="70"/>
    </row>
    <row r="395" customFormat="false" ht="20" hidden="false" customHeight="true" outlineLevel="0" collapsed="false">
      <c r="Q395" s="70"/>
      <c r="R395" s="70"/>
    </row>
    <row r="396" customFormat="false" ht="20" hidden="false" customHeight="true" outlineLevel="0" collapsed="false">
      <c r="A396" s="70"/>
      <c r="B396" s="935" t="s">
        <v>1244</v>
      </c>
      <c r="C396" s="935"/>
      <c r="D396" s="953"/>
      <c r="E396" s="70"/>
      <c r="F396" s="954"/>
      <c r="G396" s="954"/>
      <c r="H396" s="954"/>
      <c r="I396" s="940"/>
      <c r="Q396" s="70"/>
      <c r="R396" s="70"/>
    </row>
    <row r="397" customFormat="false" ht="32.25" hidden="false" customHeight="true" outlineLevel="0" collapsed="false">
      <c r="A397" s="955" t="s">
        <v>1245</v>
      </c>
      <c r="B397" s="955"/>
      <c r="C397" s="955"/>
      <c r="D397" s="955"/>
      <c r="E397" s="955"/>
      <c r="F397" s="937" t="s">
        <v>242</v>
      </c>
      <c r="H397" s="956"/>
      <c r="Q397" s="70"/>
      <c r="R397" s="70"/>
    </row>
    <row r="398" customFormat="false" ht="20" hidden="false" customHeight="true" outlineLevel="0" collapsed="false">
      <c r="A398" s="957" t="s">
        <v>1246</v>
      </c>
      <c r="B398" s="958" t="s">
        <v>1247</v>
      </c>
      <c r="C398" s="958"/>
      <c r="D398" s="958"/>
      <c r="E398" s="959"/>
      <c r="F398" s="959"/>
      <c r="G398" s="959"/>
      <c r="H398" s="959"/>
      <c r="I398" s="960"/>
      <c r="Q398" s="70"/>
      <c r="R398" s="70"/>
    </row>
    <row r="399" customFormat="false" ht="20" hidden="false" customHeight="true" outlineLevel="0" collapsed="false">
      <c r="A399" s="70"/>
      <c r="B399" s="635"/>
      <c r="D399" s="953"/>
      <c r="E399" s="70"/>
      <c r="F399" s="954"/>
      <c r="G399" s="954"/>
      <c r="H399" s="954"/>
      <c r="I399" s="940"/>
      <c r="J399" s="940"/>
      <c r="K399" s="940"/>
      <c r="L399" s="940"/>
      <c r="Q399" s="70"/>
      <c r="R399" s="70"/>
    </row>
    <row r="400" customFormat="false" ht="20" hidden="false" customHeight="true" outlineLevel="0" collapsed="false">
      <c r="A400" s="961"/>
      <c r="B400" s="952"/>
      <c r="C400" s="952"/>
      <c r="D400" s="962" t="s">
        <v>1248</v>
      </c>
      <c r="E400" s="962"/>
      <c r="F400" s="961"/>
      <c r="H400" s="70"/>
      <c r="I400" s="70"/>
      <c r="J400" s="909"/>
      <c r="Q400" s="70"/>
      <c r="R400" s="70"/>
    </row>
    <row r="401" customFormat="false" ht="19.5" hidden="false" customHeight="true" outlineLevel="0" collapsed="false">
      <c r="A401" s="961"/>
      <c r="D401" s="962"/>
      <c r="E401" s="962"/>
      <c r="J401" s="909"/>
      <c r="Q401" s="70"/>
      <c r="R401" s="70"/>
    </row>
    <row r="402" customFormat="false" ht="19.5" hidden="false" customHeight="true" outlineLevel="0" collapsed="false">
      <c r="A402" s="70"/>
      <c r="B402" s="479" t="s">
        <v>1249</v>
      </c>
      <c r="C402" s="479"/>
      <c r="D402" s="479" t="s">
        <v>1250</v>
      </c>
      <c r="E402" s="479" t="s">
        <v>1251</v>
      </c>
      <c r="J402" s="909"/>
      <c r="Q402" s="70"/>
      <c r="R402" s="70"/>
    </row>
    <row r="403" customFormat="false" ht="20" hidden="false" customHeight="true" outlineLevel="0" collapsed="false">
      <c r="B403" s="963" t="s">
        <v>1252</v>
      </c>
      <c r="C403" s="963"/>
      <c r="D403" s="964" t="n">
        <v>1</v>
      </c>
      <c r="E403" s="965" t="n">
        <v>63.93</v>
      </c>
      <c r="F403" s="11" t="s">
        <v>1253</v>
      </c>
      <c r="G403" s="966"/>
      <c r="H403" s="966"/>
      <c r="J403" s="909"/>
      <c r="Q403" s="70"/>
      <c r="R403" s="70"/>
    </row>
    <row r="404" customFormat="false" ht="20" hidden="false" customHeight="true" outlineLevel="0" collapsed="false">
      <c r="B404" s="967"/>
      <c r="C404" s="967"/>
      <c r="D404" s="634" t="n">
        <f aca="false">IF(B404=0,0,1)</f>
        <v>0</v>
      </c>
      <c r="E404" s="968" t="n">
        <v>0</v>
      </c>
      <c r="J404" s="314"/>
      <c r="Q404" s="70"/>
      <c r="R404" s="70"/>
    </row>
    <row r="405" customFormat="false" ht="19.5" hidden="false" customHeight="true" outlineLevel="0" collapsed="false">
      <c r="B405" s="967"/>
      <c r="C405" s="967"/>
      <c r="D405" s="634" t="n">
        <f aca="false">IF(B405=0,0,1)</f>
        <v>0</v>
      </c>
      <c r="E405" s="968"/>
      <c r="Q405" s="70"/>
      <c r="R405" s="70"/>
    </row>
    <row r="406" customFormat="false" ht="20" hidden="false" customHeight="true" outlineLevel="0" collapsed="false">
      <c r="B406" s="967"/>
      <c r="C406" s="967"/>
      <c r="D406" s="634" t="n">
        <f aca="false">IF(B406=0,0,1)</f>
        <v>0</v>
      </c>
      <c r="E406" s="968"/>
      <c r="F406" s="70"/>
      <c r="H406" s="969"/>
      <c r="I406" s="969"/>
      <c r="K406" s="934"/>
      <c r="L406" s="906"/>
      <c r="Q406" s="70"/>
      <c r="R406" s="70"/>
    </row>
    <row r="407" customFormat="false" ht="20" hidden="false" customHeight="true" outlineLevel="0" collapsed="false">
      <c r="B407" s="967"/>
      <c r="C407" s="967"/>
      <c r="D407" s="634" t="n">
        <f aca="false">IF(B407=0,0,1)</f>
        <v>0</v>
      </c>
      <c r="E407" s="968"/>
      <c r="F407" s="70"/>
      <c r="H407" s="969"/>
      <c r="I407" s="969"/>
      <c r="K407" s="934"/>
      <c r="L407" s="906"/>
      <c r="Q407" s="70"/>
      <c r="R407" s="70"/>
    </row>
    <row r="408" customFormat="false" ht="20" hidden="false" customHeight="true" outlineLevel="0" collapsed="false">
      <c r="B408" s="967"/>
      <c r="C408" s="967"/>
      <c r="D408" s="634" t="n">
        <f aca="false">IF(B408=0,0,1)</f>
        <v>0</v>
      </c>
      <c r="E408" s="968"/>
      <c r="F408" s="70"/>
      <c r="H408" s="12"/>
      <c r="I408" s="12"/>
      <c r="K408" s="557"/>
      <c r="L408" s="557"/>
      <c r="Q408" s="70"/>
      <c r="R408" s="70"/>
    </row>
    <row r="409" customFormat="false" ht="20" hidden="false" customHeight="true" outlineLevel="0" collapsed="false">
      <c r="B409" s="967"/>
      <c r="C409" s="967"/>
      <c r="D409" s="634" t="n">
        <f aca="false">IF(B409=0,0,1)</f>
        <v>0</v>
      </c>
      <c r="E409" s="968"/>
      <c r="F409" s="70"/>
      <c r="H409" s="12"/>
      <c r="I409" s="12"/>
      <c r="K409" s="557"/>
      <c r="L409" s="557"/>
      <c r="Q409" s="70"/>
      <c r="R409" s="70"/>
    </row>
    <row r="410" customFormat="false" ht="20" hidden="false" customHeight="true" outlineLevel="0" collapsed="false">
      <c r="C410" s="15" t="s">
        <v>1209</v>
      </c>
      <c r="D410" s="634" t="n">
        <f aca="false">SUM(D403:D408)</f>
        <v>1</v>
      </c>
      <c r="E410" s="634" t="n">
        <f aca="false">SUM(E403:E409)</f>
        <v>63.93</v>
      </c>
      <c r="F410" s="70"/>
      <c r="G410" s="970"/>
      <c r="H410" s="12"/>
      <c r="I410" s="12"/>
      <c r="K410" s="557"/>
      <c r="L410" s="557"/>
      <c r="Q410" s="70"/>
      <c r="R410" s="70"/>
    </row>
    <row r="411" customFormat="false" ht="20" hidden="false" customHeight="true" outlineLevel="0" collapsed="false">
      <c r="C411" s="15"/>
      <c r="D411" s="70"/>
      <c r="E411" s="70"/>
      <c r="F411" s="70"/>
      <c r="G411" s="970"/>
      <c r="H411" s="12"/>
      <c r="I411" s="12"/>
      <c r="K411" s="557"/>
      <c r="L411" s="557"/>
      <c r="Q411" s="70"/>
      <c r="R411" s="70"/>
    </row>
    <row r="412" customFormat="false" ht="20" hidden="false" customHeight="true" outlineLevel="0" collapsed="false">
      <c r="B412" s="314"/>
      <c r="C412" s="940" t="s">
        <v>1254</v>
      </c>
      <c r="D412" s="940"/>
      <c r="E412" s="971" t="s">
        <v>243</v>
      </c>
      <c r="F412" s="70"/>
      <c r="G412" s="970"/>
      <c r="H412" s="12"/>
      <c r="I412" s="12"/>
      <c r="K412" s="557"/>
      <c r="L412" s="557"/>
      <c r="Q412" s="70"/>
      <c r="R412" s="70"/>
    </row>
    <row r="413" customFormat="false" ht="20" hidden="false" customHeight="true" outlineLevel="0" collapsed="false">
      <c r="A413" s="972"/>
      <c r="B413" s="973" t="s">
        <v>1255</v>
      </c>
      <c r="C413" s="973"/>
      <c r="D413" s="973"/>
      <c r="E413" s="974" t="s">
        <v>243</v>
      </c>
      <c r="F413" s="70"/>
      <c r="G413" s="970"/>
      <c r="H413" s="12"/>
      <c r="I413" s="12"/>
      <c r="K413" s="557"/>
      <c r="L413" s="557"/>
      <c r="Q413" s="70"/>
      <c r="R413" s="70"/>
    </row>
    <row r="414" customFormat="false" ht="20" hidden="false" customHeight="true" outlineLevel="0" collapsed="false">
      <c r="C414" s="15"/>
      <c r="D414" s="70"/>
      <c r="E414" s="70"/>
      <c r="F414" s="70"/>
      <c r="G414" s="970"/>
      <c r="H414" s="12"/>
      <c r="I414" s="12"/>
      <c r="K414" s="557"/>
      <c r="L414" s="557"/>
      <c r="Q414" s="70"/>
      <c r="R414" s="70"/>
    </row>
    <row r="415" customFormat="false" ht="20" hidden="false" customHeight="true" outlineLevel="0" collapsed="false">
      <c r="A415" s="975" t="s">
        <v>1256</v>
      </c>
      <c r="B415" s="975"/>
      <c r="C415" s="975"/>
      <c r="D415" s="975"/>
      <c r="E415" s="976" t="n">
        <f aca="false">(MAX(E403:E409)+LARGE(E403:E409,2))/E410</f>
        <v>1</v>
      </c>
      <c r="F415" s="70"/>
      <c r="G415" s="970"/>
      <c r="H415" s="12"/>
      <c r="I415" s="12"/>
      <c r="K415" s="557"/>
      <c r="L415" s="557"/>
      <c r="Q415" s="70"/>
      <c r="R415" s="70"/>
    </row>
    <row r="416" customFormat="false" ht="20" hidden="false" customHeight="true" outlineLevel="0" collapsed="false">
      <c r="D416" s="977"/>
      <c r="E416" s="978"/>
      <c r="F416" s="70"/>
      <c r="G416" s="970"/>
      <c r="H416" s="12"/>
      <c r="I416" s="12"/>
      <c r="K416" s="557"/>
      <c r="L416" s="557"/>
      <c r="Q416" s="70"/>
      <c r="R416" s="70"/>
    </row>
    <row r="417" customFormat="false" ht="20" hidden="false" customHeight="true" outlineLevel="0" collapsed="false">
      <c r="B417" s="979"/>
      <c r="C417" s="980" t="s">
        <v>1257</v>
      </c>
      <c r="D417" s="980"/>
      <c r="E417" s="980"/>
      <c r="F417" s="980"/>
      <c r="G417" s="970"/>
      <c r="H417" s="12"/>
      <c r="I417" s="12"/>
      <c r="K417" s="557"/>
      <c r="L417" s="557"/>
      <c r="Q417" s="70"/>
      <c r="R417" s="70"/>
    </row>
    <row r="418" customFormat="false" ht="48" hidden="false" customHeight="true" outlineLevel="0" collapsed="false">
      <c r="A418" s="981" t="s">
        <v>1258</v>
      </c>
      <c r="B418" s="980" t="s">
        <v>1259</v>
      </c>
      <c r="C418" s="982"/>
      <c r="D418" s="983" t="s">
        <v>1260</v>
      </c>
      <c r="E418" s="983"/>
      <c r="F418" s="984" t="s">
        <v>1224</v>
      </c>
      <c r="G418" s="970"/>
      <c r="H418" s="12"/>
      <c r="I418" s="12"/>
      <c r="K418" s="557"/>
      <c r="L418" s="557"/>
      <c r="Q418" s="70"/>
      <c r="R418" s="70"/>
    </row>
    <row r="419" customFormat="false" ht="20" hidden="false" customHeight="true" outlineLevel="0" collapsed="false">
      <c r="A419" s="985" t="n">
        <f aca="false">D410+IF(E412="oui",2,0)+IF(E413="oui",2,0)</f>
        <v>1</v>
      </c>
      <c r="B419" s="980"/>
      <c r="C419" s="984" t="s">
        <v>1261</v>
      </c>
      <c r="D419" s="986" t="n">
        <v>0</v>
      </c>
      <c r="E419" s="986"/>
      <c r="F419" s="987" t="n">
        <v>1</v>
      </c>
      <c r="G419" s="970"/>
      <c r="H419" s="12"/>
      <c r="I419" s="12"/>
      <c r="K419" s="557"/>
      <c r="L419" s="557"/>
      <c r="Q419" s="70"/>
      <c r="R419" s="70"/>
    </row>
    <row r="420" customFormat="false" ht="20" hidden="false" customHeight="true" outlineLevel="0" collapsed="false">
      <c r="B420" s="980"/>
      <c r="C420" s="984" t="s">
        <v>1262</v>
      </c>
      <c r="D420" s="986" t="n">
        <v>1</v>
      </c>
      <c r="E420" s="986"/>
      <c r="F420" s="987" t="n">
        <v>2</v>
      </c>
      <c r="G420" s="970"/>
      <c r="H420" s="12"/>
      <c r="I420" s="12"/>
      <c r="K420" s="557"/>
      <c r="L420" s="557"/>
      <c r="Q420" s="70"/>
      <c r="R420" s="70"/>
    </row>
    <row r="421" customFormat="false" ht="20" hidden="false" customHeight="true" outlineLevel="0" collapsed="false">
      <c r="B421" s="980"/>
      <c r="C421" s="984" t="s">
        <v>1263</v>
      </c>
      <c r="D421" s="986" t="n">
        <v>2</v>
      </c>
      <c r="E421" s="986"/>
      <c r="F421" s="987" t="n">
        <v>3</v>
      </c>
      <c r="G421" s="970"/>
      <c r="H421" s="12"/>
      <c r="I421" s="12"/>
      <c r="K421" s="557"/>
      <c r="L421" s="557"/>
      <c r="Q421" s="70"/>
      <c r="R421" s="70"/>
    </row>
    <row r="422" customFormat="false" ht="20" hidden="false" customHeight="true" outlineLevel="0" collapsed="false">
      <c r="B422" s="347"/>
      <c r="C422" s="347"/>
      <c r="D422" s="347"/>
      <c r="E422" s="347"/>
      <c r="F422" s="347"/>
      <c r="G422" s="937" t="s">
        <v>1264</v>
      </c>
      <c r="H422" s="937"/>
      <c r="I422" s="988" t="n">
        <v>0</v>
      </c>
      <c r="K422" s="557"/>
      <c r="L422" s="557"/>
      <c r="Q422" s="70"/>
      <c r="R422" s="70"/>
    </row>
    <row r="423" customFormat="false" ht="20" hidden="false" customHeight="true" outlineLevel="0" collapsed="false">
      <c r="D423" s="977"/>
      <c r="E423" s="978"/>
      <c r="F423" s="70"/>
      <c r="G423" s="970"/>
      <c r="H423" s="12"/>
      <c r="I423" s="12"/>
      <c r="K423" s="557"/>
      <c r="L423" s="557"/>
      <c r="Q423" s="70"/>
      <c r="R423" s="70"/>
    </row>
    <row r="424" customFormat="false" ht="19.5" hidden="false" customHeight="true" outlineLevel="0" collapsed="false">
      <c r="E424" s="70"/>
      <c r="G424" s="989"/>
      <c r="H424" s="12"/>
      <c r="I424" s="12"/>
      <c r="K424" s="557"/>
      <c r="L424" s="557"/>
      <c r="Q424" s="70"/>
      <c r="R424" s="70"/>
    </row>
    <row r="425" customFormat="false" ht="19.5" hidden="false" customHeight="true" outlineLevel="0" collapsed="false">
      <c r="D425" s="990" t="s">
        <v>1265</v>
      </c>
      <c r="E425" s="990"/>
      <c r="G425" s="989"/>
      <c r="H425" s="12"/>
      <c r="I425" s="12"/>
      <c r="K425" s="557"/>
      <c r="L425" s="557"/>
      <c r="Q425" s="70"/>
      <c r="R425" s="70"/>
    </row>
    <row r="426" customFormat="false" ht="20" hidden="false" customHeight="true" outlineLevel="0" collapsed="false">
      <c r="D426" s="990"/>
      <c r="E426" s="990"/>
      <c r="H426" s="12"/>
      <c r="I426" s="12"/>
      <c r="K426" s="557"/>
      <c r="L426" s="557"/>
      <c r="Q426" s="70"/>
      <c r="R426" s="70"/>
    </row>
    <row r="427" customFormat="false" ht="20" hidden="false" customHeight="true" outlineLevel="0" collapsed="false">
      <c r="B427" s="991" t="s">
        <v>1266</v>
      </c>
      <c r="D427" s="992" t="n">
        <f aca="false">SUMIF(D283:D289, I428, C283:C289)</f>
        <v>0</v>
      </c>
      <c r="E427" s="991"/>
      <c r="F427" s="991" t="s">
        <v>1267</v>
      </c>
      <c r="H427" s="993"/>
      <c r="I427" s="994"/>
      <c r="K427" s="557"/>
      <c r="L427" s="557"/>
      <c r="Q427" s="70"/>
      <c r="R427" s="70"/>
    </row>
    <row r="428" customFormat="false" ht="19.5" hidden="false" customHeight="true" outlineLevel="0" collapsed="false">
      <c r="B428" s="991" t="s">
        <v>1268</v>
      </c>
      <c r="D428" s="994"/>
      <c r="E428" s="993"/>
      <c r="F428" s="995" t="s">
        <v>1269</v>
      </c>
      <c r="G428" s="995"/>
      <c r="H428" s="996" t="e">
        <f aca="false">INDEX(A283:A289,MATCH(I428,D283:D289,0))</f>
        <v>#N/A</v>
      </c>
      <c r="I428" s="992" t="n">
        <f aca="false">MAX(D283:D289)</f>
        <v>0</v>
      </c>
      <c r="J428" s="12" t="s">
        <v>91</v>
      </c>
      <c r="K428" s="557"/>
      <c r="L428" s="557"/>
      <c r="Q428" s="70"/>
      <c r="R428" s="70"/>
    </row>
    <row r="429" customFormat="false" ht="20" hidden="false" customHeight="true" outlineLevel="0" collapsed="false">
      <c r="B429" s="991" t="s">
        <v>1270</v>
      </c>
      <c r="D429" s="992" t="n">
        <f aca="false">D427+IF(D428="oui",2,0)</f>
        <v>0</v>
      </c>
      <c r="E429" s="991"/>
      <c r="F429" s="997" t="s">
        <v>1256</v>
      </c>
      <c r="G429" s="997"/>
      <c r="H429" s="997"/>
      <c r="I429" s="998" t="e">
        <f aca="false">I427/I428</f>
        <v>#DIV/0!</v>
      </c>
      <c r="K429" s="557"/>
      <c r="L429" s="557"/>
      <c r="Q429" s="70"/>
      <c r="R429" s="70"/>
    </row>
    <row r="430" customFormat="false" ht="15" hidden="false" customHeight="true" outlineLevel="0" collapsed="false">
      <c r="C430" s="999"/>
      <c r="D430" s="999"/>
      <c r="E430" s="1000"/>
      <c r="F430" s="999"/>
      <c r="G430" s="1001"/>
      <c r="H430" s="1001"/>
      <c r="I430" s="12"/>
      <c r="J430" s="69"/>
      <c r="K430" s="934"/>
      <c r="L430" s="906"/>
      <c r="Q430" s="70"/>
      <c r="R430" s="70"/>
    </row>
    <row r="431" customFormat="false" ht="20" hidden="false" customHeight="true" outlineLevel="0" collapsed="false">
      <c r="E431" s="70"/>
      <c r="J431" s="69"/>
      <c r="K431" s="934"/>
      <c r="L431" s="906"/>
      <c r="Q431" s="70"/>
      <c r="R431" s="70"/>
    </row>
    <row r="432" customFormat="false" ht="20" hidden="false" customHeight="true" outlineLevel="0" collapsed="false">
      <c r="B432" s="979"/>
      <c r="C432" s="980" t="s">
        <v>1257</v>
      </c>
      <c r="D432" s="980"/>
      <c r="E432" s="980"/>
      <c r="F432" s="980"/>
      <c r="I432" s="12"/>
      <c r="J432" s="69"/>
      <c r="K432" s="934"/>
      <c r="L432" s="906"/>
      <c r="Q432" s="70"/>
      <c r="R432" s="70"/>
    </row>
    <row r="433" customFormat="false" ht="55.5" hidden="false" customHeight="true" outlineLevel="0" collapsed="false">
      <c r="B433" s="980" t="s">
        <v>1271</v>
      </c>
      <c r="C433" s="984"/>
      <c r="D433" s="983" t="s">
        <v>1260</v>
      </c>
      <c r="E433" s="983"/>
      <c r="F433" s="984" t="s">
        <v>1224</v>
      </c>
      <c r="I433" s="12"/>
      <c r="J433" s="69"/>
      <c r="K433" s="905"/>
      <c r="L433" s="906"/>
      <c r="Q433" s="70"/>
      <c r="R433" s="70"/>
    </row>
    <row r="434" customFormat="false" ht="20" hidden="false" customHeight="true" outlineLevel="0" collapsed="false">
      <c r="B434" s="980"/>
      <c r="C434" s="984" t="s">
        <v>1272</v>
      </c>
      <c r="D434" s="986" t="n">
        <v>0</v>
      </c>
      <c r="E434" s="986"/>
      <c r="F434" s="987" t="n">
        <v>1</v>
      </c>
      <c r="I434" s="12"/>
      <c r="J434" s="69"/>
      <c r="K434" s="934"/>
      <c r="L434" s="906"/>
      <c r="Q434" s="70"/>
      <c r="R434" s="70"/>
    </row>
    <row r="435" customFormat="false" ht="20" hidden="false" customHeight="true" outlineLevel="0" collapsed="false">
      <c r="B435" s="980"/>
      <c r="C435" s="984" t="s">
        <v>1273</v>
      </c>
      <c r="D435" s="986" t="n">
        <v>1</v>
      </c>
      <c r="E435" s="986"/>
      <c r="F435" s="987" t="n">
        <v>2</v>
      </c>
      <c r="I435" s="12"/>
      <c r="J435" s="69"/>
      <c r="K435" s="934"/>
      <c r="L435" s="906"/>
      <c r="Q435" s="70"/>
      <c r="R435" s="70"/>
    </row>
    <row r="436" customFormat="false" ht="20" hidden="false" customHeight="true" outlineLevel="0" collapsed="false">
      <c r="B436" s="980"/>
      <c r="C436" s="984" t="s">
        <v>1274</v>
      </c>
      <c r="D436" s="986" t="n">
        <v>2</v>
      </c>
      <c r="E436" s="986"/>
      <c r="F436" s="987" t="n">
        <v>3</v>
      </c>
      <c r="I436" s="12"/>
      <c r="J436" s="69"/>
      <c r="K436" s="934"/>
      <c r="L436" s="906"/>
      <c r="Q436" s="70"/>
      <c r="R436" s="70"/>
    </row>
    <row r="437" customFormat="false" ht="20" hidden="false" customHeight="true" outlineLevel="0" collapsed="false">
      <c r="B437" s="347"/>
      <c r="C437" s="347"/>
      <c r="D437" s="347"/>
      <c r="E437" s="347"/>
      <c r="F437" s="347"/>
      <c r="G437" s="1002" t="s">
        <v>1275</v>
      </c>
      <c r="H437" s="1002"/>
      <c r="I437" s="1003"/>
      <c r="J437" s="69"/>
      <c r="K437" s="934"/>
      <c r="L437" s="906"/>
      <c r="Q437" s="70"/>
      <c r="R437" s="70"/>
    </row>
    <row r="438" customFormat="false" ht="20" hidden="false" customHeight="true" outlineLevel="0" collapsed="false">
      <c r="E438" s="70"/>
      <c r="I438" s="12"/>
      <c r="J438" s="69"/>
      <c r="K438" s="934"/>
      <c r="L438" s="906"/>
      <c r="Q438" s="70"/>
      <c r="R438" s="70"/>
    </row>
    <row r="439" customFormat="false" ht="20" hidden="false" customHeight="true" outlineLevel="0" collapsed="false">
      <c r="E439" s="70"/>
      <c r="I439" s="12"/>
      <c r="J439" s="69"/>
      <c r="K439" s="934"/>
      <c r="L439" s="906"/>
      <c r="Q439" s="70"/>
      <c r="R439" s="70"/>
    </row>
    <row r="440" customFormat="false" ht="20" hidden="false" customHeight="true" outlineLevel="0" collapsed="false">
      <c r="D440" s="990" t="s">
        <v>95</v>
      </c>
      <c r="E440" s="990"/>
      <c r="I440" s="12"/>
      <c r="J440" s="69"/>
      <c r="K440" s="934"/>
      <c r="L440" s="906"/>
      <c r="Q440" s="70"/>
      <c r="R440" s="70"/>
    </row>
    <row r="441" customFormat="false" ht="20" hidden="false" customHeight="true" outlineLevel="0" collapsed="false">
      <c r="D441" s="990"/>
      <c r="E441" s="990"/>
      <c r="I441" s="12"/>
      <c r="J441" s="1004"/>
      <c r="Q441" s="70"/>
      <c r="R441" s="70"/>
    </row>
    <row r="442" customFormat="false" ht="20" hidden="false" customHeight="true" outlineLevel="0" collapsed="false">
      <c r="D442" s="1005" t="s">
        <v>456</v>
      </c>
      <c r="E442" s="1005"/>
      <c r="F442" s="937"/>
      <c r="H442" s="1004"/>
      <c r="Q442" s="70"/>
      <c r="R442" s="70"/>
    </row>
    <row r="443" customFormat="false" ht="20" hidden="false" customHeight="true" outlineLevel="0" collapsed="false">
      <c r="C443" s="1006"/>
      <c r="D443" s="1006"/>
      <c r="E443" s="890"/>
      <c r="F443" s="939" t="n">
        <f aca="false">IF(F442&gt;=8,2,IF(F442&gt;=4,1,0))</f>
        <v>0</v>
      </c>
      <c r="Q443" s="70"/>
      <c r="R443" s="70"/>
    </row>
    <row r="444" customFormat="false" ht="15" hidden="false" customHeight="true" outlineLevel="0" collapsed="false">
      <c r="A444" s="955" t="s">
        <v>457</v>
      </c>
      <c r="B444" s="955"/>
      <c r="C444" s="955"/>
      <c r="D444" s="955"/>
      <c r="E444" s="955"/>
      <c r="F444" s="937"/>
      <c r="H444" s="1004"/>
      <c r="I444" s="1007"/>
      <c r="J444" s="1008"/>
      <c r="Q444" s="70"/>
      <c r="R444" s="70"/>
    </row>
    <row r="445" customFormat="false" ht="15.75" hidden="false" customHeight="true" outlineLevel="0" collapsed="false">
      <c r="F445" s="939" t="n">
        <f aca="false">IF(F444="oui",1,0)</f>
        <v>0</v>
      </c>
      <c r="I445" s="1009"/>
      <c r="J445" s="314"/>
      <c r="Q445" s="70"/>
      <c r="R445" s="70"/>
    </row>
    <row r="446" customFormat="false" ht="20" hidden="false" customHeight="true" outlineLevel="0" collapsed="false">
      <c r="A446" s="1010" t="s">
        <v>458</v>
      </c>
      <c r="B446" s="1010"/>
      <c r="C446" s="1010"/>
      <c r="D446" s="1010"/>
      <c r="E446" s="1010"/>
      <c r="F446" s="937"/>
      <c r="G446" s="1005" t="s">
        <v>1276</v>
      </c>
      <c r="H446" s="1005"/>
      <c r="I446" s="1011" t="n">
        <f aca="false">MIN(3,SUM(F443,F445,F447))</f>
        <v>0</v>
      </c>
      <c r="J446" s="443"/>
      <c r="Q446" s="70"/>
      <c r="R446" s="70"/>
    </row>
    <row r="447" customFormat="false" ht="20" hidden="false" customHeight="true" outlineLevel="0" collapsed="false">
      <c r="D447" s="1012"/>
      <c r="E447" s="1012"/>
      <c r="F447" s="939" t="n">
        <f aca="false">IF(F446="oui",1,0)</f>
        <v>0</v>
      </c>
      <c r="G447" s="1012"/>
      <c r="H447" s="1012"/>
      <c r="I447" s="1013"/>
      <c r="J447" s="314"/>
      <c r="Q447" s="70"/>
      <c r="R447" s="70"/>
    </row>
    <row r="448" customFormat="false" ht="20" hidden="false" customHeight="true" outlineLevel="0" collapsed="false">
      <c r="E448" s="70"/>
      <c r="I448" s="12"/>
      <c r="J448" s="69"/>
      <c r="Q448" s="70"/>
      <c r="R448" s="70"/>
    </row>
    <row r="449" customFormat="false" ht="20" hidden="false" customHeight="true" outlineLevel="0" collapsed="false">
      <c r="D449" s="990" t="s">
        <v>97</v>
      </c>
      <c r="E449" s="990"/>
      <c r="I449" s="12"/>
      <c r="J449" s="69"/>
      <c r="Q449" s="70"/>
      <c r="R449" s="70"/>
    </row>
    <row r="450" customFormat="false" ht="20" hidden="false" customHeight="true" outlineLevel="0" collapsed="false">
      <c r="D450" s="990"/>
      <c r="E450" s="990"/>
      <c r="I450" s="12"/>
      <c r="J450" s="69"/>
      <c r="Q450" s="70"/>
      <c r="R450" s="70"/>
    </row>
    <row r="451" customFormat="false" ht="20" hidden="false" customHeight="true" outlineLevel="0" collapsed="false">
      <c r="C451" s="1005" t="s">
        <v>1277</v>
      </c>
      <c r="D451" s="1005"/>
      <c r="E451" s="1005"/>
      <c r="F451" s="937"/>
      <c r="I451" s="12"/>
      <c r="J451" s="69"/>
      <c r="Q451" s="70"/>
      <c r="R451" s="70"/>
    </row>
    <row r="452" customFormat="false" ht="20" hidden="false" customHeight="true" outlineLevel="0" collapsed="false">
      <c r="C452" s="1006"/>
      <c r="D452" s="1006"/>
      <c r="E452" s="938" t="s">
        <v>1236</v>
      </c>
      <c r="F452" s="939" t="n">
        <f aca="false">IF(F451=1,1,IF(F451=2,2,IF(F451&gt;=3,3,0)))</f>
        <v>0</v>
      </c>
      <c r="I452" s="12"/>
      <c r="J452" s="69"/>
      <c r="Q452" s="70"/>
      <c r="R452" s="70"/>
    </row>
    <row r="453" customFormat="false" ht="20" hidden="false" customHeight="true" outlineLevel="0" collapsed="false">
      <c r="A453" s="1010" t="s">
        <v>465</v>
      </c>
      <c r="B453" s="1010"/>
      <c r="C453" s="1010"/>
      <c r="D453" s="1010"/>
      <c r="E453" s="1010"/>
      <c r="F453" s="937"/>
      <c r="G453" s="1005" t="s">
        <v>1278</v>
      </c>
      <c r="H453" s="1005"/>
      <c r="I453" s="1011" t="n">
        <f aca="false">MIN(3,SUM(F452,F454))</f>
        <v>0</v>
      </c>
      <c r="J453" s="69"/>
      <c r="Q453" s="70"/>
      <c r="R453" s="70"/>
    </row>
    <row r="454" customFormat="false" ht="19.5" hidden="false" customHeight="true" outlineLevel="0" collapsed="false">
      <c r="F454" s="939" t="n">
        <f aca="false">IF(F453="oui",1,0)</f>
        <v>0</v>
      </c>
      <c r="I454" s="12"/>
      <c r="J454" s="69"/>
      <c r="Q454" s="70"/>
      <c r="R454" s="70"/>
    </row>
    <row r="455" customFormat="false" ht="19.5" hidden="false" customHeight="true" outlineLevel="0" collapsed="false">
      <c r="F455" s="939"/>
      <c r="I455" s="12"/>
      <c r="J455" s="69"/>
      <c r="Q455" s="70"/>
      <c r="R455" s="70"/>
    </row>
    <row r="456" customFormat="false" ht="19.5" hidden="false" customHeight="true" outlineLevel="0" collapsed="false">
      <c r="B456" s="935" t="s">
        <v>1279</v>
      </c>
      <c r="C456" s="935"/>
      <c r="D456" s="11" t="s">
        <v>1280</v>
      </c>
      <c r="F456" s="939"/>
      <c r="I456" s="12"/>
      <c r="J456" s="69"/>
      <c r="Q456" s="70"/>
      <c r="R456" s="70"/>
    </row>
    <row r="457" customFormat="false" ht="31.5" hidden="false" customHeight="true" outlineLevel="0" collapsed="false">
      <c r="B457" s="1014"/>
      <c r="C457" s="955" t="s">
        <v>1281</v>
      </c>
      <c r="D457" s="955"/>
      <c r="E457" s="955"/>
      <c r="F457" s="937" t="s">
        <v>242</v>
      </c>
      <c r="H457" s="947"/>
      <c r="I457" s="945"/>
      <c r="J457" s="948"/>
      <c r="Q457" s="70"/>
      <c r="R457" s="70"/>
    </row>
    <row r="458" customFormat="false" ht="19.5" hidden="false" customHeight="true" outlineLevel="0" collapsed="false">
      <c r="A458" s="1015"/>
      <c r="D458" s="910"/>
      <c r="E458" s="910"/>
      <c r="F458" s="945"/>
      <c r="G458" s="946"/>
      <c r="H458" s="947"/>
      <c r="I458" s="945"/>
      <c r="J458" s="948"/>
      <c r="Q458" s="70"/>
      <c r="R458" s="70"/>
    </row>
    <row r="459" customFormat="false" ht="19.5" hidden="false" customHeight="true" outlineLevel="0" collapsed="false">
      <c r="A459" s="70"/>
      <c r="B459" s="1016"/>
      <c r="C459" s="70"/>
      <c r="D459" s="1017" t="s">
        <v>1282</v>
      </c>
      <c r="E459" s="1018" t="n">
        <f aca="false">F86</f>
        <v>0</v>
      </c>
      <c r="F459" s="70"/>
      <c r="G459" s="1017" t="s">
        <v>1283</v>
      </c>
      <c r="H459" s="985" t="n">
        <f aca="false">D86</f>
        <v>231</v>
      </c>
      <c r="I459" s="1017" t="s">
        <v>1284</v>
      </c>
      <c r="J459" s="1019" t="n">
        <f aca="false">IF(H459&gt;0,E459/H459,0)</f>
        <v>0</v>
      </c>
      <c r="L459" s="11" t="s">
        <v>1285</v>
      </c>
      <c r="Q459" s="70"/>
      <c r="R459" s="70"/>
    </row>
    <row r="460" customFormat="false" ht="19.5" hidden="false" customHeight="true" outlineLevel="0" collapsed="false">
      <c r="A460" s="70"/>
      <c r="B460" s="635"/>
      <c r="C460" s="70"/>
      <c r="D460" s="953"/>
      <c r="E460" s="70"/>
      <c r="F460" s="70"/>
      <c r="G460" s="14"/>
      <c r="H460" s="70"/>
      <c r="I460" s="70"/>
      <c r="J460" s="70"/>
      <c r="Q460" s="70"/>
      <c r="R460" s="70"/>
    </row>
    <row r="461" customFormat="false" ht="19.5" hidden="false" customHeight="true" outlineLevel="0" collapsed="false">
      <c r="A461" s="70"/>
      <c r="B461" s="635"/>
      <c r="D461" s="953"/>
      <c r="E461" s="70"/>
      <c r="F461" s="936" t="s">
        <v>1286</v>
      </c>
      <c r="G461" s="936"/>
      <c r="H461" s="936"/>
      <c r="I461" s="936"/>
      <c r="J461" s="937" t="s">
        <v>1287</v>
      </c>
      <c r="Q461" s="70"/>
      <c r="R461" s="70"/>
    </row>
    <row r="462" customFormat="false" ht="19.5" hidden="false" customHeight="true" outlineLevel="0" collapsed="false">
      <c r="F462" s="939"/>
      <c r="I462" s="12"/>
      <c r="J462" s="69"/>
      <c r="Q462" s="70"/>
      <c r="R462" s="70"/>
    </row>
    <row r="463" customFormat="false" ht="19.5" hidden="false" customHeight="true" outlineLevel="0" collapsed="false">
      <c r="F463" s="939"/>
      <c r="I463" s="12"/>
      <c r="J463" s="69"/>
      <c r="Q463" s="70"/>
      <c r="R463" s="70"/>
    </row>
    <row r="464" customFormat="false" ht="20" hidden="false" customHeight="true" outlineLevel="0" collapsed="false">
      <c r="A464" s="896" t="s">
        <v>1288</v>
      </c>
      <c r="B464" s="896"/>
      <c r="C464" s="896"/>
      <c r="D464" s="896"/>
      <c r="E464" s="896"/>
      <c r="F464" s="896"/>
      <c r="G464" s="896"/>
      <c r="H464" s="897"/>
      <c r="I464" s="897"/>
      <c r="J464" s="897"/>
      <c r="K464" s="898"/>
      <c r="L464" s="899" t="s">
        <v>1289</v>
      </c>
      <c r="Q464" s="70"/>
      <c r="R464" s="70"/>
    </row>
    <row r="465" customFormat="false" ht="20" hidden="false" customHeight="true" outlineLevel="0" collapsed="false">
      <c r="A465" s="415"/>
      <c r="B465" s="415"/>
      <c r="C465" s="416"/>
      <c r="D465" s="416"/>
      <c r="E465" s="416"/>
      <c r="F465" s="416"/>
      <c r="G465" s="416"/>
      <c r="H465" s="417"/>
      <c r="I465" s="1020"/>
      <c r="J465" s="1021"/>
      <c r="K465" s="893"/>
      <c r="L465" s="1022"/>
      <c r="Q465" s="70"/>
      <c r="R465" s="70"/>
    </row>
    <row r="466" customFormat="false" ht="20" hidden="false" customHeight="true" outlineLevel="0" collapsed="false">
      <c r="A466" s="415"/>
      <c r="B466" s="415"/>
      <c r="C466" s="416"/>
      <c r="D466" s="1023" t="s">
        <v>1290</v>
      </c>
      <c r="E466" s="1023"/>
      <c r="F466" s="936" t="s">
        <v>1291</v>
      </c>
      <c r="G466" s="936"/>
      <c r="H466" s="936"/>
      <c r="I466" s="1024" t="n">
        <f aca="false">IF(F308="","REMPLIR TABLEAU Ligne 304",L307/(B14+B15))</f>
        <v>0</v>
      </c>
      <c r="J466" s="1024"/>
      <c r="K466" s="893"/>
      <c r="L466" s="1022"/>
      <c r="Q466" s="70"/>
      <c r="R466" s="70"/>
    </row>
    <row r="467" customFormat="false" ht="20" hidden="false" customHeight="true" outlineLevel="0" collapsed="false">
      <c r="A467" s="415"/>
      <c r="B467" s="415"/>
      <c r="C467" s="416"/>
      <c r="D467" s="1023"/>
      <c r="E467" s="1023"/>
      <c r="F467" s="1025"/>
      <c r="G467" s="1025"/>
      <c r="H467" s="1025"/>
      <c r="I467" s="1026"/>
      <c r="J467" s="910"/>
      <c r="K467" s="893"/>
      <c r="L467" s="1022"/>
      <c r="Q467" s="70"/>
      <c r="R467" s="70"/>
    </row>
    <row r="468" customFormat="false" ht="20" hidden="false" customHeight="true" outlineLevel="0" collapsed="false">
      <c r="A468" s="415"/>
      <c r="B468" s="415"/>
      <c r="C468" s="416"/>
      <c r="D468" s="1023"/>
      <c r="E468" s="1023"/>
      <c r="F468" s="1005" t="s">
        <v>1292</v>
      </c>
      <c r="G468" s="1005"/>
      <c r="H468" s="1005"/>
      <c r="I468" s="1005"/>
      <c r="J468" s="937" t="s">
        <v>242</v>
      </c>
      <c r="K468" s="893"/>
      <c r="L468" s="1022" t="s">
        <v>1173</v>
      </c>
      <c r="Q468" s="70"/>
      <c r="R468" s="70"/>
    </row>
    <row r="469" customFormat="false" ht="20" hidden="false" customHeight="true" outlineLevel="0" collapsed="false">
      <c r="A469" s="415"/>
      <c r="B469" s="415"/>
      <c r="C469" s="416"/>
      <c r="D469" s="1023"/>
      <c r="E469" s="1023"/>
      <c r="F469" s="1027"/>
      <c r="G469" s="1027"/>
      <c r="H469" s="1028"/>
      <c r="I469" s="1029" t="s">
        <v>1293</v>
      </c>
      <c r="J469" s="419"/>
      <c r="K469" s="893"/>
      <c r="L469" s="1022"/>
      <c r="Q469" s="70"/>
      <c r="R469" s="70"/>
    </row>
    <row r="470" customFormat="false" ht="20" hidden="false" customHeight="true" outlineLevel="0" collapsed="false">
      <c r="A470" s="415"/>
      <c r="B470" s="415"/>
      <c r="C470" s="416"/>
      <c r="D470" s="1030"/>
      <c r="E470" s="1030"/>
      <c r="F470" s="1027"/>
      <c r="G470" s="1027"/>
      <c r="H470" s="1028"/>
      <c r="I470" s="1029"/>
      <c r="J470" s="419"/>
      <c r="K470" s="893"/>
      <c r="L470" s="1022"/>
      <c r="Q470" s="70"/>
      <c r="R470" s="70"/>
    </row>
    <row r="471" customFormat="false" ht="20" hidden="false" customHeight="true" outlineLevel="0" collapsed="false">
      <c r="A471" s="415"/>
      <c r="B471" s="415"/>
      <c r="C471" s="416"/>
      <c r="D471" s="1030"/>
      <c r="E471" s="1030"/>
      <c r="F471" s="1027"/>
      <c r="G471" s="1027"/>
      <c r="H471" s="1028"/>
      <c r="I471" s="926"/>
      <c r="J471" s="419"/>
      <c r="K471" s="893"/>
      <c r="L471" s="1022"/>
      <c r="Q471" s="70"/>
      <c r="R471" s="70"/>
    </row>
    <row r="472" customFormat="false" ht="20" hidden="false" customHeight="true" outlineLevel="0" collapsed="false">
      <c r="A472" s="415"/>
      <c r="B472" s="415"/>
      <c r="C472" s="416"/>
      <c r="D472" s="1023" t="s">
        <v>1294</v>
      </c>
      <c r="E472" s="1023"/>
      <c r="F472" s="936" t="s">
        <v>1295</v>
      </c>
      <c r="G472" s="936"/>
      <c r="H472" s="936"/>
      <c r="I472" s="936"/>
      <c r="J472" s="937"/>
      <c r="K472" s="893"/>
      <c r="L472" s="1022" t="s">
        <v>1235</v>
      </c>
      <c r="Q472" s="70"/>
      <c r="R472" s="70"/>
    </row>
    <row r="473" customFormat="false" ht="20" hidden="false" customHeight="true" outlineLevel="0" collapsed="false">
      <c r="A473" s="415"/>
      <c r="B473" s="415"/>
      <c r="C473" s="416"/>
      <c r="D473" s="1023"/>
      <c r="E473" s="1023"/>
      <c r="F473" s="1027"/>
      <c r="G473" s="1027"/>
      <c r="H473" s="1028"/>
      <c r="I473" s="926"/>
      <c r="J473" s="419"/>
      <c r="K473" s="893"/>
      <c r="L473" s="1022"/>
      <c r="Q473" s="70"/>
      <c r="R473" s="70"/>
    </row>
    <row r="474" customFormat="false" ht="20" hidden="false" customHeight="true" outlineLevel="0" collapsed="false">
      <c r="A474" s="415"/>
      <c r="B474" s="415"/>
      <c r="C474" s="416"/>
      <c r="D474" s="1023"/>
      <c r="E474" s="1023"/>
      <c r="F474" s="936" t="s">
        <v>451</v>
      </c>
      <c r="G474" s="936"/>
      <c r="H474" s="936"/>
      <c r="I474" s="936"/>
      <c r="J474" s="937"/>
      <c r="K474" s="893"/>
      <c r="L474" s="1022"/>
      <c r="Q474" s="70"/>
      <c r="R474" s="70"/>
    </row>
    <row r="475" customFormat="false" ht="20" hidden="false" customHeight="true" outlineLevel="0" collapsed="false">
      <c r="A475" s="415"/>
      <c r="B475" s="415"/>
      <c r="C475" s="416"/>
      <c r="D475" s="1023"/>
      <c r="E475" s="1023"/>
      <c r="F475" s="1027"/>
      <c r="G475" s="1027"/>
      <c r="H475" s="1028"/>
      <c r="I475" s="926"/>
      <c r="J475" s="419"/>
      <c r="K475" s="893"/>
      <c r="L475" s="1022"/>
      <c r="Q475" s="70"/>
      <c r="R475" s="70"/>
    </row>
    <row r="476" customFormat="false" ht="20" hidden="false" customHeight="true" outlineLevel="0" collapsed="false">
      <c r="A476" s="415"/>
      <c r="B476" s="415"/>
      <c r="C476" s="416"/>
      <c r="D476" s="1023"/>
      <c r="E476" s="1023"/>
      <c r="F476" s="936" t="s">
        <v>452</v>
      </c>
      <c r="G476" s="936"/>
      <c r="H476" s="936"/>
      <c r="I476" s="936"/>
      <c r="J476" s="937"/>
      <c r="K476" s="893"/>
      <c r="L476" s="1022"/>
      <c r="Q476" s="70"/>
      <c r="R476" s="70"/>
    </row>
    <row r="477" customFormat="false" ht="20" hidden="false" customHeight="true" outlineLevel="0" collapsed="false">
      <c r="A477" s="415"/>
      <c r="B477" s="415"/>
      <c r="C477" s="416"/>
      <c r="D477" s="1030"/>
      <c r="E477" s="1030"/>
      <c r="F477" s="1031"/>
      <c r="G477" s="1031"/>
      <c r="H477" s="1031"/>
      <c r="I477" s="1031"/>
      <c r="J477" s="419"/>
      <c r="K477" s="893"/>
      <c r="L477" s="1022"/>
      <c r="Q477" s="70"/>
      <c r="R477" s="70"/>
    </row>
    <row r="478" customFormat="false" ht="20" hidden="false" customHeight="true" outlineLevel="0" collapsed="false">
      <c r="A478" s="415"/>
      <c r="B478" s="415"/>
      <c r="C478" s="416"/>
      <c r="D478" s="1030"/>
      <c r="E478" s="1030"/>
      <c r="F478" s="1031"/>
      <c r="G478" s="1031"/>
      <c r="H478" s="1031"/>
      <c r="I478" s="1031"/>
      <c r="J478" s="419"/>
      <c r="K478" s="893"/>
      <c r="L478" s="1022"/>
      <c r="Q478" s="70"/>
      <c r="R478" s="70"/>
    </row>
    <row r="479" customFormat="false" ht="20" hidden="false" customHeight="true" outlineLevel="0" collapsed="false">
      <c r="A479" s="415"/>
      <c r="B479" s="415"/>
      <c r="C479" s="416"/>
      <c r="D479" s="1023" t="s">
        <v>97</v>
      </c>
      <c r="E479" s="1023"/>
      <c r="F479" s="936" t="s">
        <v>466</v>
      </c>
      <c r="G479" s="936"/>
      <c r="H479" s="936"/>
      <c r="I479" s="936"/>
      <c r="J479" s="937"/>
      <c r="K479" s="893"/>
      <c r="L479" s="1022" t="s">
        <v>1296</v>
      </c>
      <c r="Q479" s="70"/>
      <c r="R479" s="70"/>
    </row>
    <row r="480" customFormat="false" ht="20" hidden="false" customHeight="true" outlineLevel="0" collapsed="false">
      <c r="A480" s="415"/>
      <c r="B480" s="415"/>
      <c r="C480" s="416"/>
      <c r="D480" s="1023"/>
      <c r="E480" s="1023"/>
      <c r="F480" s="954"/>
      <c r="G480" s="954"/>
      <c r="H480" s="954"/>
      <c r="I480" s="938" t="s">
        <v>1236</v>
      </c>
      <c r="J480" s="419"/>
      <c r="K480" s="893"/>
      <c r="L480" s="1022"/>
      <c r="Q480" s="70"/>
      <c r="R480" s="70"/>
    </row>
    <row r="481" customFormat="false" ht="20" hidden="false" customHeight="true" outlineLevel="0" collapsed="false">
      <c r="A481" s="415"/>
      <c r="B481" s="415"/>
      <c r="C481" s="416"/>
      <c r="D481" s="1023"/>
      <c r="E481" s="1023"/>
      <c r="F481" s="936" t="s">
        <v>467</v>
      </c>
      <c r="G481" s="936"/>
      <c r="H481" s="936"/>
      <c r="I481" s="936"/>
      <c r="J481" s="937"/>
      <c r="K481" s="893"/>
      <c r="L481" s="1022"/>
      <c r="Q481" s="70"/>
      <c r="R481" s="70"/>
    </row>
    <row r="482" customFormat="false" ht="20" hidden="false" customHeight="true" outlineLevel="0" collapsed="false">
      <c r="A482" s="415"/>
      <c r="B482" s="415"/>
      <c r="C482" s="416"/>
      <c r="D482" s="1023"/>
      <c r="E482" s="1023"/>
      <c r="F482" s="1031"/>
      <c r="G482" s="1031"/>
      <c r="H482" s="1031"/>
      <c r="I482" s="938" t="s">
        <v>1236</v>
      </c>
      <c r="J482" s="419"/>
      <c r="K482" s="893"/>
      <c r="L482" s="1022"/>
      <c r="Q482" s="70"/>
      <c r="R482" s="70"/>
    </row>
    <row r="483" customFormat="false" ht="20" hidden="false" customHeight="true" outlineLevel="0" collapsed="false">
      <c r="A483" s="415"/>
      <c r="B483" s="415"/>
      <c r="C483" s="416"/>
      <c r="D483" s="1023"/>
      <c r="E483" s="1023"/>
      <c r="F483" s="936" t="s">
        <v>468</v>
      </c>
      <c r="G483" s="936"/>
      <c r="H483" s="936"/>
      <c r="I483" s="936"/>
      <c r="J483" s="937"/>
      <c r="K483" s="893"/>
      <c r="L483" s="1022"/>
      <c r="Q483" s="70"/>
      <c r="R483" s="70"/>
    </row>
    <row r="484" customFormat="false" ht="20" hidden="false" customHeight="true" outlineLevel="0" collapsed="false">
      <c r="A484" s="415"/>
      <c r="B484" s="415"/>
      <c r="C484" s="416"/>
      <c r="D484" s="416"/>
      <c r="E484" s="416"/>
      <c r="F484" s="954"/>
      <c r="G484" s="954"/>
      <c r="H484" s="954"/>
      <c r="I484" s="940"/>
      <c r="J484" s="418"/>
      <c r="K484" s="893"/>
      <c r="L484" s="1022"/>
      <c r="Q484" s="70"/>
      <c r="R484" s="70"/>
    </row>
    <row r="485" customFormat="false" ht="20" hidden="false" customHeight="true" outlineLevel="0" collapsed="false">
      <c r="A485" s="415"/>
      <c r="B485" s="415"/>
      <c r="C485" s="416"/>
      <c r="D485" s="416"/>
      <c r="E485" s="416"/>
      <c r="F485" s="416"/>
      <c r="G485" s="416"/>
      <c r="H485" s="417"/>
      <c r="I485" s="418"/>
      <c r="J485" s="419"/>
      <c r="K485" s="893"/>
      <c r="L485" s="895"/>
      <c r="Q485" s="70"/>
      <c r="R485" s="70"/>
    </row>
    <row r="486" customFormat="false" ht="20" hidden="false" customHeight="true" outlineLevel="0" collapsed="false">
      <c r="A486" s="896" t="s">
        <v>1297</v>
      </c>
      <c r="B486" s="896"/>
      <c r="C486" s="896"/>
      <c r="D486" s="896"/>
      <c r="E486" s="896"/>
      <c r="F486" s="896"/>
      <c r="G486" s="896"/>
      <c r="H486" s="897"/>
      <c r="I486" s="897"/>
      <c r="J486" s="897"/>
      <c r="K486" s="898"/>
      <c r="L486" s="899" t="s">
        <v>1298</v>
      </c>
      <c r="Q486" s="70"/>
      <c r="R486" s="70"/>
    </row>
    <row r="487" customFormat="false" ht="20" hidden="false" customHeight="true" outlineLevel="0" collapsed="false">
      <c r="A487" s="415"/>
      <c r="B487" s="415"/>
      <c r="C487" s="416"/>
      <c r="K487" s="934"/>
      <c r="L487" s="906"/>
      <c r="Q487" s="70"/>
      <c r="R487" s="70"/>
    </row>
    <row r="488" customFormat="false" ht="20" hidden="false" customHeight="true" outlineLevel="0" collapsed="false">
      <c r="A488" s="415"/>
      <c r="B488" s="415"/>
      <c r="C488" s="416"/>
      <c r="D488" s="1023" t="s">
        <v>1290</v>
      </c>
      <c r="E488" s="1023"/>
      <c r="F488" s="1005" t="s">
        <v>1299</v>
      </c>
      <c r="G488" s="1005"/>
      <c r="H488" s="1005"/>
      <c r="I488" s="1005"/>
      <c r="J488" s="933" t="n">
        <v>2</v>
      </c>
      <c r="K488" s="934"/>
      <c r="L488" s="1022" t="s">
        <v>1300</v>
      </c>
      <c r="Q488" s="70"/>
      <c r="R488" s="70"/>
    </row>
    <row r="489" customFormat="false" ht="20" hidden="false" customHeight="true" outlineLevel="0" collapsed="false">
      <c r="A489" s="415"/>
      <c r="B489" s="415"/>
      <c r="C489" s="416"/>
      <c r="K489" s="934"/>
      <c r="L489" s="906"/>
      <c r="Q489" s="70"/>
      <c r="R489" s="70"/>
    </row>
    <row r="490" customFormat="false" ht="20" hidden="false" customHeight="true" outlineLevel="0" collapsed="false">
      <c r="A490" s="415"/>
      <c r="B490" s="415"/>
      <c r="C490" s="416"/>
      <c r="K490" s="934"/>
      <c r="L490" s="906"/>
      <c r="Q490" s="70"/>
      <c r="R490" s="70"/>
    </row>
    <row r="491" customFormat="false" ht="20" hidden="false" customHeight="true" outlineLevel="0" collapsed="false">
      <c r="A491" s="415"/>
      <c r="B491" s="415"/>
      <c r="C491" s="416"/>
      <c r="D491" s="1023" t="s">
        <v>1301</v>
      </c>
      <c r="E491" s="1023"/>
      <c r="F491" s="1005" t="s">
        <v>1302</v>
      </c>
      <c r="G491" s="1005"/>
      <c r="H491" s="1005"/>
      <c r="I491" s="1005"/>
      <c r="J491" s="933"/>
      <c r="K491" s="934"/>
      <c r="L491" s="906"/>
      <c r="Q491" s="70"/>
      <c r="R491" s="70"/>
    </row>
    <row r="492" customFormat="false" ht="20" hidden="false" customHeight="true" outlineLevel="0" collapsed="false">
      <c r="A492" s="415"/>
      <c r="B492" s="415"/>
      <c r="C492" s="416"/>
      <c r="K492" s="934"/>
      <c r="L492" s="906"/>
      <c r="Q492" s="70"/>
      <c r="R492" s="70"/>
    </row>
    <row r="493" customFormat="false" ht="20" hidden="false" customHeight="true" outlineLevel="0" collapsed="false">
      <c r="A493" s="415"/>
      <c r="B493" s="415"/>
      <c r="C493" s="416"/>
      <c r="D493" s="1023" t="s">
        <v>95</v>
      </c>
      <c r="E493" s="1023"/>
      <c r="F493" s="1005" t="s">
        <v>1302</v>
      </c>
      <c r="G493" s="1005"/>
      <c r="H493" s="1005"/>
      <c r="I493" s="1005"/>
      <c r="J493" s="933"/>
      <c r="K493" s="934"/>
      <c r="L493" s="906"/>
      <c r="Q493" s="70"/>
      <c r="R493" s="70"/>
    </row>
    <row r="494" customFormat="false" ht="20" hidden="false" customHeight="true" outlineLevel="0" collapsed="false">
      <c r="A494" s="415"/>
      <c r="B494" s="415"/>
      <c r="C494" s="416"/>
      <c r="K494" s="934"/>
      <c r="L494" s="906"/>
      <c r="Q494" s="70"/>
      <c r="R494" s="70"/>
    </row>
    <row r="495" customFormat="false" ht="20" hidden="false" customHeight="true" outlineLevel="0" collapsed="false">
      <c r="A495" s="415"/>
      <c r="B495" s="415"/>
      <c r="C495" s="416"/>
      <c r="D495" s="416"/>
      <c r="E495" s="416"/>
      <c r="F495" s="416"/>
      <c r="G495" s="416"/>
      <c r="H495" s="417"/>
      <c r="I495" s="418"/>
      <c r="J495" s="419"/>
      <c r="K495" s="934"/>
      <c r="L495" s="906"/>
      <c r="Q495" s="70"/>
      <c r="R495" s="70"/>
    </row>
    <row r="496" customFormat="false" ht="20" hidden="false" customHeight="true" outlineLevel="0" collapsed="false">
      <c r="A496" s="415"/>
      <c r="B496" s="415"/>
      <c r="C496" s="416"/>
      <c r="D496" s="1023" t="s">
        <v>97</v>
      </c>
      <c r="E496" s="1023"/>
      <c r="F496" s="1005" t="s">
        <v>1302</v>
      </c>
      <c r="G496" s="1005"/>
      <c r="H496" s="1005"/>
      <c r="I496" s="1005"/>
      <c r="J496" s="933"/>
      <c r="K496" s="934"/>
      <c r="L496" s="906"/>
      <c r="Q496" s="70"/>
      <c r="R496" s="70"/>
    </row>
    <row r="497" customFormat="false" ht="20" hidden="false" customHeight="true" outlineLevel="0" collapsed="false">
      <c r="D497" s="1023"/>
      <c r="E497" s="1023"/>
      <c r="F497" s="416"/>
      <c r="G497" s="416"/>
      <c r="H497" s="417"/>
      <c r="I497" s="418"/>
      <c r="J497" s="419"/>
      <c r="K497" s="934"/>
      <c r="L497" s="906"/>
      <c r="Q497" s="70"/>
      <c r="R497" s="70"/>
    </row>
    <row r="498" customFormat="false" ht="20" hidden="false" customHeight="true" outlineLevel="0" collapsed="false">
      <c r="A498" s="1032"/>
      <c r="B498" s="1032"/>
      <c r="C498" s="1032"/>
      <c r="D498" s="1023"/>
      <c r="E498" s="1023"/>
      <c r="F498" s="936" t="s">
        <v>1303</v>
      </c>
      <c r="G498" s="936"/>
      <c r="H498" s="936"/>
      <c r="I498" s="936"/>
      <c r="J498" s="937"/>
      <c r="K498" s="934"/>
      <c r="L498" s="1022" t="s">
        <v>1296</v>
      </c>
      <c r="Q498" s="70"/>
      <c r="R498" s="70"/>
    </row>
    <row r="499" customFormat="false" ht="20" hidden="false" customHeight="true" outlineLevel="0" collapsed="false">
      <c r="A499" s="415"/>
      <c r="B499" s="415"/>
      <c r="C499" s="416"/>
      <c r="D499" s="416"/>
      <c r="E499" s="416"/>
      <c r="F499" s="416"/>
      <c r="G499" s="416"/>
      <c r="H499" s="417"/>
      <c r="I499" s="418"/>
      <c r="J499" s="419"/>
      <c r="K499" s="934"/>
      <c r="L499" s="906"/>
      <c r="Q499" s="70"/>
      <c r="R499" s="70"/>
    </row>
    <row r="500" customFormat="false" ht="20" hidden="false" customHeight="true" outlineLevel="0" collapsed="false">
      <c r="A500" s="966" t="s">
        <v>1304</v>
      </c>
      <c r="B500" s="966"/>
      <c r="C500" s="966"/>
      <c r="D500" s="966"/>
      <c r="E500" s="966"/>
      <c r="F500" s="966"/>
      <c r="G500" s="966"/>
      <c r="H500" s="966"/>
      <c r="I500" s="966"/>
      <c r="K500" s="934"/>
      <c r="L500" s="906"/>
      <c r="Q500" s="70"/>
      <c r="R500" s="70"/>
    </row>
    <row r="501" customFormat="false" ht="20" hidden="false" customHeight="true" outlineLevel="0" collapsed="false">
      <c r="C501" s="1033" t="s">
        <v>1236</v>
      </c>
      <c r="K501" s="934"/>
      <c r="Q501" s="70"/>
      <c r="R501" s="70"/>
    </row>
    <row r="502" customFormat="false" ht="20" hidden="false" customHeight="true" outlineLevel="0" collapsed="false">
      <c r="B502" s="1034"/>
      <c r="C502" s="19"/>
      <c r="D502" s="1035" t="s">
        <v>1305</v>
      </c>
      <c r="E502" s="1036" t="s">
        <v>1306</v>
      </c>
      <c r="F502" s="1036" t="s">
        <v>1307</v>
      </c>
      <c r="K502" s="934"/>
      <c r="L502" s="1022" t="s">
        <v>1300</v>
      </c>
      <c r="Q502" s="70"/>
      <c r="R502" s="70"/>
    </row>
    <row r="503" customFormat="false" ht="20" hidden="false" customHeight="true" outlineLevel="0" collapsed="false">
      <c r="C503" s="1037"/>
      <c r="D503" s="1038" t="s">
        <v>593</v>
      </c>
      <c r="E503" s="1038" t="s">
        <v>1308</v>
      </c>
      <c r="F503" s="1038" t="s">
        <v>1308</v>
      </c>
      <c r="H503" s="463"/>
      <c r="K503" s="934"/>
      <c r="L503" s="906"/>
      <c r="Q503" s="70"/>
      <c r="R503" s="70"/>
    </row>
    <row r="504" customFormat="false" ht="20" hidden="false" customHeight="true" outlineLevel="0" collapsed="false">
      <c r="B504" s="1039" t="s">
        <v>594</v>
      </c>
      <c r="C504" s="1039"/>
      <c r="D504" s="1040"/>
      <c r="E504" s="506" t="n">
        <f aca="false">7000/100</f>
        <v>70</v>
      </c>
      <c r="F504" s="851" t="n">
        <f aca="false">D504*E504</f>
        <v>0</v>
      </c>
      <c r="K504" s="934"/>
      <c r="L504" s="906"/>
      <c r="Q504" s="70"/>
      <c r="R504" s="70"/>
    </row>
    <row r="505" customFormat="false" ht="20" hidden="false" customHeight="true" outlineLevel="0" collapsed="false">
      <c r="B505" s="1039" t="s">
        <v>596</v>
      </c>
      <c r="C505" s="1039"/>
      <c r="D505" s="1040" t="n">
        <v>7125</v>
      </c>
      <c r="E505" s="506" t="n">
        <f aca="false">1200/100</f>
        <v>12</v>
      </c>
      <c r="F505" s="851" t="n">
        <f aca="false">D505*E505</f>
        <v>85500</v>
      </c>
      <c r="H505" s="1041"/>
      <c r="K505" s="934"/>
      <c r="L505" s="906"/>
      <c r="Q505" s="70"/>
      <c r="R505" s="70"/>
    </row>
    <row r="506" customFormat="false" ht="20" hidden="false" customHeight="true" outlineLevel="0" collapsed="false">
      <c r="B506" s="1039" t="s">
        <v>1309</v>
      </c>
      <c r="C506" s="1039"/>
      <c r="D506" s="1040" t="n">
        <v>16</v>
      </c>
      <c r="E506" s="506" t="n">
        <f aca="false">500/100</f>
        <v>5</v>
      </c>
      <c r="F506" s="851" t="n">
        <f aca="false">D506*E506</f>
        <v>80</v>
      </c>
      <c r="H506" s="942" t="s">
        <v>1310</v>
      </c>
      <c r="I506" s="942"/>
      <c r="J506" s="1042" t="n">
        <f aca="false">(F517/10000/B13)</f>
        <v>0.422849462365591</v>
      </c>
      <c r="Q506" s="70"/>
      <c r="R506" s="70"/>
    </row>
    <row r="507" customFormat="false" ht="30.75" hidden="false" customHeight="true" outlineLevel="0" collapsed="false">
      <c r="B507" s="1039" t="s">
        <v>1311</v>
      </c>
      <c r="C507" s="1039"/>
      <c r="D507" s="1040" t="n">
        <v>700</v>
      </c>
      <c r="E507" s="506" t="n">
        <f aca="false">100/1</f>
        <v>100</v>
      </c>
      <c r="F507" s="851" t="n">
        <f aca="false">D507*E507</f>
        <v>70000</v>
      </c>
      <c r="H507" s="942"/>
      <c r="I507" s="942"/>
      <c r="J507" s="1042"/>
      <c r="Q507" s="70"/>
      <c r="R507" s="70"/>
    </row>
    <row r="508" customFormat="false" ht="20" hidden="false" customHeight="true" outlineLevel="0" collapsed="false">
      <c r="B508" s="1039" t="s">
        <v>601</v>
      </c>
      <c r="C508" s="1039"/>
      <c r="D508" s="1040"/>
      <c r="E508" s="506" t="n">
        <f aca="false">5680/100</f>
        <v>56.8</v>
      </c>
      <c r="F508" s="851" t="n">
        <f aca="false">D508*E508</f>
        <v>0</v>
      </c>
      <c r="H508" s="1041"/>
      <c r="K508" s="934"/>
      <c r="L508" s="906"/>
      <c r="Q508" s="70"/>
      <c r="R508" s="70"/>
    </row>
    <row r="509" customFormat="false" ht="20" hidden="false" customHeight="true" outlineLevel="0" collapsed="false">
      <c r="B509" s="1039" t="s">
        <v>1312</v>
      </c>
      <c r="C509" s="1039"/>
      <c r="D509" s="1040"/>
      <c r="E509" s="506" t="n">
        <v>10</v>
      </c>
      <c r="F509" s="851" t="n">
        <f aca="false">D509*E509</f>
        <v>0</v>
      </c>
      <c r="H509" s="1041"/>
      <c r="K509" s="934"/>
      <c r="L509" s="906"/>
      <c r="Q509" s="70"/>
      <c r="R509" s="70"/>
    </row>
    <row r="510" customFormat="false" ht="20" hidden="false" customHeight="true" outlineLevel="0" collapsed="false">
      <c r="D510" s="1038" t="s">
        <v>91</v>
      </c>
      <c r="E510" s="1038" t="s">
        <v>1313</v>
      </c>
      <c r="F510" s="1038"/>
      <c r="G510" s="1043"/>
      <c r="H510" s="1044"/>
      <c r="K510" s="934"/>
      <c r="L510" s="459"/>
      <c r="Q510" s="70"/>
      <c r="R510" s="70"/>
    </row>
    <row r="511" customFormat="false" ht="20" hidden="false" customHeight="true" outlineLevel="0" collapsed="false">
      <c r="A511" s="70"/>
      <c r="B511" s="1039" t="s">
        <v>595</v>
      </c>
      <c r="C511" s="1039"/>
      <c r="D511" s="1045"/>
      <c r="E511" s="506" t="n">
        <v>52880</v>
      </c>
      <c r="F511" s="851" t="n">
        <f aca="false">D511*E511</f>
        <v>0</v>
      </c>
      <c r="H511" s="463"/>
      <c r="K511" s="934"/>
      <c r="L511" s="459"/>
      <c r="Q511" s="70"/>
      <c r="R511" s="70"/>
    </row>
    <row r="512" customFormat="false" ht="20" hidden="false" customHeight="true" outlineLevel="0" collapsed="false">
      <c r="A512" s="70"/>
      <c r="B512" s="1039" t="s">
        <v>597</v>
      </c>
      <c r="C512" s="1039"/>
      <c r="D512" s="1045"/>
      <c r="E512" s="506" t="n">
        <v>10000</v>
      </c>
      <c r="F512" s="851" t="n">
        <f aca="false">D512*E512</f>
        <v>0</v>
      </c>
      <c r="G512" s="70"/>
      <c r="H512" s="961"/>
      <c r="K512" s="934"/>
      <c r="L512" s="459"/>
      <c r="Q512" s="70"/>
      <c r="R512" s="70"/>
    </row>
    <row r="513" customFormat="false" ht="20" hidden="false" customHeight="true" outlineLevel="0" collapsed="false">
      <c r="A513" s="70"/>
      <c r="B513" s="1039" t="s">
        <v>1314</v>
      </c>
      <c r="C513" s="1039"/>
      <c r="D513" s="851" t="n">
        <f aca="false">B16</f>
        <v>54.8</v>
      </c>
      <c r="E513" s="506" t="n">
        <v>10000</v>
      </c>
      <c r="F513" s="851" t="n">
        <f aca="false">D513*E513</f>
        <v>548000</v>
      </c>
      <c r="G513" s="70"/>
      <c r="H513" s="70"/>
      <c r="I513" s="1043"/>
      <c r="J513" s="1043"/>
      <c r="K513" s="1046"/>
      <c r="L513" s="459"/>
      <c r="Q513" s="70"/>
      <c r="R513" s="70"/>
    </row>
    <row r="514" customFormat="false" ht="20" hidden="false" customHeight="true" outlineLevel="0" collapsed="false">
      <c r="A514" s="70"/>
      <c r="B514" s="1039" t="s">
        <v>359</v>
      </c>
      <c r="C514" s="1039"/>
      <c r="D514" s="851" t="n">
        <f aca="false">D296</f>
        <v>0</v>
      </c>
      <c r="E514" s="506" t="n">
        <v>10000</v>
      </c>
      <c r="F514" s="851" t="n">
        <f aca="false">D514*E514</f>
        <v>0</v>
      </c>
      <c r="G514" s="70"/>
      <c r="H514" s="70"/>
      <c r="I514" s="1043"/>
      <c r="J514" s="1043"/>
      <c r="K514" s="1046"/>
      <c r="L514" s="459"/>
      <c r="Q514" s="70"/>
      <c r="R514" s="70"/>
    </row>
    <row r="515" customFormat="false" ht="27.75" hidden="false" customHeight="true" outlineLevel="0" collapsed="false">
      <c r="A515" s="70"/>
      <c r="B515" s="1039" t="s">
        <v>1315</v>
      </c>
      <c r="C515" s="1039"/>
      <c r="D515" s="1045" t="n">
        <v>2</v>
      </c>
      <c r="E515" s="506" t="n">
        <v>10000</v>
      </c>
      <c r="F515" s="851" t="n">
        <f aca="false">D515*E515</f>
        <v>20000</v>
      </c>
      <c r="G515" s="70"/>
      <c r="H515" s="70"/>
      <c r="I515" s="1043"/>
      <c r="J515" s="1043"/>
      <c r="K515" s="1046"/>
      <c r="L515" s="459"/>
      <c r="Q515" s="70"/>
      <c r="R515" s="70"/>
    </row>
    <row r="516" customFormat="false" ht="32.25" hidden="false" customHeight="true" outlineLevel="0" collapsed="false">
      <c r="A516" s="70"/>
      <c r="B516" s="1039" t="s">
        <v>604</v>
      </c>
      <c r="C516" s="1039"/>
      <c r="D516" s="1045"/>
      <c r="E516" s="506" t="n">
        <v>10000</v>
      </c>
      <c r="F516" s="851" t="n">
        <f aca="false">D516*E516</f>
        <v>0</v>
      </c>
      <c r="G516" s="70"/>
      <c r="H516" s="70"/>
      <c r="I516" s="1043"/>
      <c r="J516" s="1043"/>
      <c r="K516" s="1046"/>
      <c r="L516" s="459"/>
      <c r="Q516" s="70"/>
      <c r="R516" s="70"/>
    </row>
    <row r="517" customFormat="false" ht="20" hidden="false" customHeight="true" outlineLevel="0" collapsed="false">
      <c r="A517" s="70"/>
      <c r="B517" s="1047"/>
      <c r="C517" s="635"/>
      <c r="E517" s="1001" t="s">
        <v>1220</v>
      </c>
      <c r="F517" s="851" t="n">
        <f aca="false">SUM(F504:F509,F511:F516)</f>
        <v>723580</v>
      </c>
      <c r="G517" s="635"/>
      <c r="H517" s="635"/>
      <c r="I517" s="910"/>
      <c r="J517" s="910"/>
      <c r="K517" s="458"/>
      <c r="L517" s="459"/>
      <c r="Q517" s="70"/>
      <c r="R517" s="70"/>
    </row>
    <row r="518" customFormat="false" ht="20" hidden="false" customHeight="true" outlineLevel="0" collapsed="false">
      <c r="A518" s="415"/>
      <c r="B518" s="1047"/>
      <c r="C518" s="416"/>
      <c r="D518" s="416"/>
      <c r="E518" s="416"/>
      <c r="F518" s="416"/>
      <c r="G518" s="416"/>
      <c r="H518" s="417"/>
      <c r="I518" s="418"/>
      <c r="J518" s="419"/>
      <c r="K518" s="893"/>
      <c r="L518" s="895"/>
      <c r="Q518" s="70"/>
      <c r="R518" s="70"/>
    </row>
    <row r="519" customFormat="false" ht="20" hidden="false" customHeight="true" outlineLevel="0" collapsed="false">
      <c r="A519" s="415"/>
      <c r="B519" s="415"/>
      <c r="C519" s="416"/>
      <c r="D519" s="416"/>
      <c r="E519" s="416"/>
      <c r="F519" s="416"/>
      <c r="G519" s="416"/>
      <c r="H519" s="417"/>
      <c r="I519" s="418"/>
      <c r="J519" s="419"/>
      <c r="K519" s="893"/>
      <c r="L519" s="895"/>
      <c r="Q519" s="70"/>
      <c r="R519" s="70"/>
    </row>
    <row r="520" customFormat="false" ht="20" hidden="false" customHeight="true" outlineLevel="0" collapsed="false">
      <c r="A520" s="896" t="s">
        <v>1316</v>
      </c>
      <c r="B520" s="896"/>
      <c r="C520" s="896"/>
      <c r="D520" s="896"/>
      <c r="E520" s="896"/>
      <c r="F520" s="896"/>
      <c r="G520" s="896"/>
      <c r="H520" s="897"/>
      <c r="I520" s="897"/>
      <c r="J520" s="897"/>
      <c r="K520" s="898"/>
      <c r="L520" s="899" t="s">
        <v>1317</v>
      </c>
      <c r="Q520" s="70"/>
      <c r="R520" s="70"/>
    </row>
    <row r="521" customFormat="false" ht="20" hidden="false" customHeight="true" outlineLevel="0" collapsed="false">
      <c r="A521" s="1048"/>
      <c r="B521" s="1048"/>
      <c r="C521" s="1048"/>
      <c r="D521" s="1048"/>
      <c r="E521" s="1048"/>
      <c r="F521" s="416"/>
      <c r="G521" s="416"/>
      <c r="H521" s="417"/>
      <c r="I521" s="418"/>
      <c r="J521" s="419"/>
      <c r="K521" s="934"/>
      <c r="L521" s="1049"/>
      <c r="Q521" s="70"/>
      <c r="R521" s="70"/>
    </row>
    <row r="522" customFormat="false" ht="20" hidden="false" customHeight="true" outlineLevel="0" collapsed="false">
      <c r="E522" s="416"/>
      <c r="G522" s="1050" t="s">
        <v>608</v>
      </c>
      <c r="H522" s="1050"/>
      <c r="I522" s="1050"/>
      <c r="J522" s="933" t="s">
        <v>609</v>
      </c>
      <c r="K522" s="934"/>
      <c r="L522" s="1022" t="s">
        <v>1300</v>
      </c>
      <c r="M522" s="1022"/>
      <c r="Q522" s="70"/>
      <c r="R522" s="70"/>
    </row>
    <row r="523" s="11" customFormat="true" ht="20" hidden="false" customHeight="true" outlineLevel="0" collapsed="false">
      <c r="A523" s="1051"/>
      <c r="B523" s="1051"/>
      <c r="D523" s="635"/>
      <c r="K523" s="934"/>
      <c r="L523" s="1022"/>
      <c r="M523" s="1022"/>
      <c r="Q523" s="70"/>
      <c r="R523" s="70"/>
    </row>
    <row r="524" s="11" customFormat="true" ht="20" hidden="false" customHeight="true" outlineLevel="0" collapsed="false">
      <c r="A524" s="1051"/>
      <c r="B524" s="1051"/>
      <c r="D524" s="635"/>
      <c r="K524" s="934"/>
      <c r="L524" s="1022"/>
      <c r="M524" s="1022"/>
      <c r="Q524" s="70"/>
      <c r="R524" s="70"/>
    </row>
    <row r="525" customFormat="false" ht="20" hidden="false" customHeight="true" outlineLevel="0" collapsed="false">
      <c r="A525" s="415"/>
      <c r="B525" s="415"/>
      <c r="C525" s="416"/>
      <c r="D525" s="416"/>
      <c r="E525" s="1052" t="s">
        <v>1318</v>
      </c>
      <c r="F525" s="1052"/>
      <c r="G525" s="1052"/>
      <c r="H525" s="1053" t="n">
        <f aca="false">19.15+11.03+7.37</f>
        <v>37.55</v>
      </c>
      <c r="I525" s="382" t="s">
        <v>91</v>
      </c>
      <c r="J525" s="1024" t="n">
        <f aca="false">H525/B13</f>
        <v>0.219436652641421</v>
      </c>
      <c r="K525" s="934"/>
      <c r="L525" s="1022" t="s">
        <v>1296</v>
      </c>
      <c r="M525" s="1022"/>
      <c r="Q525" s="70"/>
      <c r="R525" s="70"/>
    </row>
    <row r="526" customFormat="false" ht="15.75" hidden="false" customHeight="true" outlineLevel="0" collapsed="false">
      <c r="A526" s="1051"/>
      <c r="B526" s="1051"/>
      <c r="D526" s="635"/>
      <c r="E526" s="635"/>
      <c r="J526" s="14"/>
      <c r="K526" s="934"/>
      <c r="L526" s="1022"/>
      <c r="M526" s="1022"/>
      <c r="Q526" s="70"/>
      <c r="R526" s="70"/>
    </row>
    <row r="527" customFormat="false" ht="20" hidden="false" customHeight="true" outlineLevel="0" collapsed="false">
      <c r="A527" s="961"/>
      <c r="C527" s="961"/>
      <c r="E527" s="1052" t="s">
        <v>1319</v>
      </c>
      <c r="F527" s="1052"/>
      <c r="G527" s="1052"/>
      <c r="H527" s="1053" t="n">
        <v>30</v>
      </c>
      <c r="I527" s="382" t="s">
        <v>1320</v>
      </c>
      <c r="J527" s="1024" t="n">
        <f aca="false">IF(I83=0,0,H527/I83)</f>
        <v>0.194552529182879</v>
      </c>
      <c r="K527" s="934"/>
      <c r="L527" s="1022" t="s">
        <v>1099</v>
      </c>
      <c r="M527" s="1022"/>
      <c r="Q527" s="70"/>
      <c r="R527" s="70"/>
    </row>
    <row r="528" s="11" customFormat="true" ht="16.5" hidden="false" customHeight="true" outlineLevel="0" collapsed="false">
      <c r="B528" s="1054"/>
      <c r="C528" s="1054"/>
      <c r="K528" s="934"/>
      <c r="L528" s="1022"/>
      <c r="M528" s="1022"/>
      <c r="Q528" s="70"/>
      <c r="R528" s="70"/>
    </row>
    <row r="529" s="11" customFormat="true" ht="20" hidden="false" customHeight="true" outlineLevel="0" collapsed="false">
      <c r="B529" s="1054"/>
      <c r="C529" s="1054"/>
      <c r="D529" s="1054"/>
      <c r="K529" s="934"/>
      <c r="L529" s="1022"/>
      <c r="M529" s="1022"/>
      <c r="Q529" s="70"/>
      <c r="R529" s="70"/>
    </row>
    <row r="530" customFormat="false" ht="35.25" hidden="false" customHeight="true" outlineLevel="0" collapsed="false">
      <c r="B530" s="1055"/>
      <c r="C530" s="961"/>
      <c r="D530" s="961"/>
      <c r="E530" s="1056" t="s">
        <v>607</v>
      </c>
      <c r="F530" s="1056"/>
      <c r="G530" s="1056"/>
      <c r="H530" s="1056"/>
      <c r="I530" s="1056"/>
      <c r="J530" s="933" t="s">
        <v>243</v>
      </c>
      <c r="K530" s="934"/>
      <c r="L530" s="1022" t="s">
        <v>1300</v>
      </c>
      <c r="M530" s="1022"/>
      <c r="Q530" s="70"/>
      <c r="R530" s="70"/>
    </row>
    <row r="531" customFormat="false" ht="20" hidden="false" customHeight="true" outlineLevel="0" collapsed="false">
      <c r="A531" s="415"/>
      <c r="B531" s="415"/>
      <c r="C531" s="416"/>
      <c r="D531" s="416"/>
      <c r="F531" s="453"/>
      <c r="G531" s="14"/>
      <c r="H531" s="961"/>
      <c r="I531" s="14"/>
      <c r="J531" s="14"/>
      <c r="K531" s="893"/>
      <c r="L531" s="895"/>
      <c r="Q531" s="70"/>
      <c r="R531" s="70"/>
    </row>
    <row r="532" customFormat="false" ht="20" hidden="false" customHeight="true" outlineLevel="0" collapsed="false">
      <c r="A532" s="1057"/>
      <c r="B532" s="428"/>
      <c r="C532" s="428"/>
      <c r="D532" s="428"/>
      <c r="E532" s="428"/>
      <c r="F532" s="428"/>
      <c r="G532" s="428"/>
      <c r="H532" s="428"/>
      <c r="I532" s="428"/>
      <c r="J532" s="1043"/>
      <c r="K532" s="934"/>
      <c r="L532" s="906"/>
      <c r="N532" s="70"/>
      <c r="O532" s="70"/>
      <c r="Q532" s="70"/>
      <c r="R532" s="70"/>
    </row>
    <row r="533" customFormat="false" ht="20" hidden="false" customHeight="true" outlineLevel="0" collapsed="false">
      <c r="A533" s="896" t="s">
        <v>1321</v>
      </c>
      <c r="B533" s="896"/>
      <c r="C533" s="896"/>
      <c r="D533" s="896"/>
      <c r="E533" s="896"/>
      <c r="F533" s="896"/>
      <c r="G533" s="896"/>
      <c r="H533" s="897"/>
      <c r="I533" s="897"/>
      <c r="J533" s="897"/>
      <c r="K533" s="898"/>
      <c r="L533" s="899" t="s">
        <v>1322</v>
      </c>
      <c r="N533" s="70"/>
      <c r="O533" s="70"/>
      <c r="Q533" s="70"/>
      <c r="R533" s="70"/>
    </row>
    <row r="534" customFormat="false" ht="20" hidden="false" customHeight="true" outlineLevel="0" collapsed="false">
      <c r="A534" s="1048"/>
      <c r="B534" s="1048"/>
      <c r="C534" s="1048"/>
      <c r="D534" s="1048"/>
      <c r="E534" s="1048"/>
      <c r="F534" s="428"/>
      <c r="G534" s="428"/>
      <c r="H534" s="428"/>
      <c r="I534" s="428"/>
      <c r="J534" s="1043"/>
      <c r="K534" s="934"/>
      <c r="L534" s="906"/>
      <c r="N534" s="70"/>
      <c r="O534" s="70"/>
      <c r="Q534" s="70"/>
      <c r="R534" s="70"/>
    </row>
    <row r="535" customFormat="false" ht="20" hidden="false" customHeight="true" outlineLevel="0" collapsed="false">
      <c r="A535" s="1057"/>
      <c r="B535" s="428"/>
      <c r="C535" s="936" t="s">
        <v>528</v>
      </c>
      <c r="D535" s="936"/>
      <c r="E535" s="936"/>
      <c r="F535" s="936"/>
      <c r="G535" s="936"/>
      <c r="H535" s="1058" t="s">
        <v>1323</v>
      </c>
      <c r="I535" s="1058"/>
      <c r="J535" s="1058"/>
      <c r="K535" s="934"/>
      <c r="L535" s="906" t="s">
        <v>1296</v>
      </c>
      <c r="N535" s="70"/>
      <c r="O535" s="70"/>
      <c r="Q535" s="70"/>
      <c r="R535" s="70"/>
    </row>
    <row r="536" customFormat="false" ht="20" hidden="false" customHeight="true" outlineLevel="0" collapsed="false">
      <c r="A536" s="1057"/>
      <c r="B536" s="428"/>
      <c r="C536" s="428"/>
      <c r="D536" s="428"/>
      <c r="E536" s="1059"/>
      <c r="F536" s="1059"/>
      <c r="G536" s="940"/>
      <c r="I536" s="1059"/>
      <c r="J536" s="1043"/>
      <c r="K536" s="934"/>
      <c r="L536" s="906"/>
      <c r="N536" s="70"/>
      <c r="O536" s="70"/>
      <c r="Q536" s="70"/>
      <c r="R536" s="70"/>
    </row>
    <row r="537" customFormat="false" ht="20" hidden="false" customHeight="true" outlineLevel="0" collapsed="false">
      <c r="A537" s="1057"/>
      <c r="B537" s="428"/>
      <c r="C537" s="428"/>
      <c r="D537" s="428"/>
      <c r="E537" s="1059"/>
      <c r="F537" s="1059"/>
      <c r="G537" s="940"/>
      <c r="I537" s="1059"/>
      <c r="J537" s="1043"/>
      <c r="K537" s="934"/>
      <c r="L537" s="906"/>
      <c r="N537" s="70"/>
      <c r="O537" s="70"/>
      <c r="Q537" s="70"/>
      <c r="R537" s="70"/>
    </row>
    <row r="538" customFormat="false" ht="20" hidden="false" customHeight="true" outlineLevel="0" collapsed="false">
      <c r="A538" s="1057"/>
      <c r="B538" s="428"/>
      <c r="C538" s="428"/>
      <c r="D538" s="1060" t="s">
        <v>650</v>
      </c>
      <c r="E538" s="1060"/>
      <c r="F538" s="1060"/>
      <c r="G538" s="1060"/>
      <c r="H538" s="1061" t="s">
        <v>1323</v>
      </c>
      <c r="I538" s="1062" t="n">
        <f aca="false">IF(H538="Oui",1,0)</f>
        <v>0</v>
      </c>
      <c r="J538" s="1043"/>
      <c r="K538" s="934"/>
      <c r="L538" s="906" t="s">
        <v>1324</v>
      </c>
      <c r="N538" s="70"/>
      <c r="O538" s="70"/>
      <c r="Q538" s="70"/>
      <c r="R538" s="70"/>
    </row>
    <row r="539" customFormat="false" ht="20" hidden="false" customHeight="true" outlineLevel="0" collapsed="false">
      <c r="A539" s="1057"/>
      <c r="B539" s="428"/>
      <c r="C539" s="428"/>
      <c r="D539" s="1060" t="s">
        <v>1325</v>
      </c>
      <c r="E539" s="1060"/>
      <c r="F539" s="1060"/>
      <c r="G539" s="1060"/>
      <c r="H539" s="1061" t="s">
        <v>1323</v>
      </c>
      <c r="I539" s="1062" t="n">
        <f aca="false">IF(H539="Oui",1,0)</f>
        <v>0</v>
      </c>
      <c r="J539" s="1043"/>
      <c r="K539" s="934"/>
      <c r="L539" s="906"/>
      <c r="N539" s="70"/>
      <c r="O539" s="70"/>
      <c r="Q539" s="70"/>
      <c r="R539" s="70"/>
    </row>
    <row r="540" customFormat="false" ht="20" hidden="false" customHeight="true" outlineLevel="0" collapsed="false">
      <c r="A540" s="1057"/>
      <c r="B540" s="428"/>
      <c r="C540" s="428"/>
      <c r="D540" s="1060" t="s">
        <v>1326</v>
      </c>
      <c r="E540" s="1060"/>
      <c r="F540" s="1060"/>
      <c r="G540" s="1060"/>
      <c r="H540" s="1061" t="s">
        <v>1327</v>
      </c>
      <c r="I540" s="1062" t="n">
        <f aca="false">IF(H540="Oui",1,0)</f>
        <v>1</v>
      </c>
      <c r="J540" s="1043"/>
      <c r="K540" s="934"/>
      <c r="L540" s="906"/>
      <c r="N540" s="70"/>
      <c r="O540" s="70"/>
      <c r="Q540" s="70"/>
      <c r="R540" s="70"/>
    </row>
    <row r="541" customFormat="false" ht="20" hidden="false" customHeight="true" outlineLevel="0" collapsed="false">
      <c r="A541" s="1057"/>
      <c r="B541" s="428"/>
      <c r="C541" s="428"/>
      <c r="D541" s="428"/>
      <c r="E541" s="1059"/>
      <c r="F541" s="1059"/>
      <c r="G541" s="940"/>
      <c r="I541" s="1059"/>
      <c r="J541" s="1043"/>
      <c r="K541" s="934"/>
      <c r="L541" s="906"/>
      <c r="N541" s="70"/>
      <c r="O541" s="70"/>
      <c r="Q541" s="70"/>
      <c r="R541" s="70"/>
    </row>
    <row r="542" customFormat="false" ht="20" hidden="false" customHeight="true" outlineLevel="0" collapsed="false">
      <c r="A542" s="1057"/>
      <c r="B542" s="428"/>
      <c r="D542" s="1063"/>
      <c r="E542" s="1063"/>
      <c r="F542" s="1063"/>
      <c r="G542" s="1063" t="s">
        <v>1328</v>
      </c>
      <c r="H542" s="1064" t="n">
        <f aca="false">SUM(I538:I540)</f>
        <v>1</v>
      </c>
      <c r="K542" s="934"/>
      <c r="L542" s="906"/>
      <c r="N542" s="70"/>
      <c r="O542" s="70"/>
      <c r="Q542" s="70"/>
      <c r="R542" s="70"/>
    </row>
    <row r="543" customFormat="false" ht="20" hidden="false" customHeight="true" outlineLevel="0" collapsed="false">
      <c r="A543" s="1057"/>
      <c r="B543" s="428"/>
      <c r="C543" s="428"/>
      <c r="D543" s="428"/>
      <c r="E543" s="428"/>
      <c r="F543" s="428"/>
      <c r="G543" s="1065"/>
      <c r="H543" s="1043"/>
      <c r="J543" s="1043"/>
      <c r="K543" s="934"/>
      <c r="L543" s="906"/>
      <c r="N543" s="70"/>
      <c r="O543" s="70"/>
      <c r="Q543" s="70"/>
      <c r="R543" s="70"/>
    </row>
    <row r="544" customFormat="false" ht="20" hidden="false" customHeight="true" outlineLevel="0" collapsed="false">
      <c r="A544" s="1057"/>
      <c r="B544" s="428"/>
      <c r="C544" s="428"/>
      <c r="D544" s="1066" t="s">
        <v>1329</v>
      </c>
      <c r="E544" s="1066"/>
      <c r="F544" s="1066"/>
      <c r="G544" s="1066"/>
      <c r="H544" s="1066"/>
      <c r="I544" s="1066"/>
      <c r="J544" s="1067" t="n">
        <f aca="false">0.0643+0.0286+0.0429</f>
        <v>0.1358</v>
      </c>
      <c r="K544" s="934"/>
      <c r="L544" s="906" t="s">
        <v>1296</v>
      </c>
      <c r="N544" s="70"/>
      <c r="O544" s="70"/>
      <c r="Q544" s="70"/>
      <c r="R544" s="70"/>
    </row>
    <row r="545" customFormat="false" ht="20" hidden="false" customHeight="true" outlineLevel="0" collapsed="false">
      <c r="A545" s="1057"/>
      <c r="B545" s="428"/>
      <c r="C545" s="428"/>
      <c r="D545" s="428"/>
      <c r="E545" s="428"/>
      <c r="F545" s="428"/>
      <c r="J545" s="1043"/>
      <c r="K545" s="934"/>
      <c r="L545" s="906"/>
      <c r="N545" s="70"/>
      <c r="O545" s="70"/>
      <c r="Q545" s="70"/>
      <c r="R545" s="70"/>
    </row>
    <row r="546" customFormat="false" ht="20" hidden="false" customHeight="true" outlineLevel="0" collapsed="false">
      <c r="A546" s="34"/>
      <c r="B546" s="34"/>
      <c r="C546" s="978"/>
      <c r="D546" s="978"/>
      <c r="I546" s="1068"/>
      <c r="J546" s="1069"/>
      <c r="M546" s="1070"/>
      <c r="Q546" s="70"/>
      <c r="R546" s="70"/>
    </row>
    <row r="547" customFormat="false" ht="20" hidden="false" customHeight="true" outlineLevel="0" collapsed="false">
      <c r="A547" s="896" t="s">
        <v>1330</v>
      </c>
      <c r="B547" s="896"/>
      <c r="C547" s="896"/>
      <c r="D547" s="896"/>
      <c r="E547" s="896"/>
      <c r="F547" s="896"/>
      <c r="G547" s="896"/>
      <c r="H547" s="897"/>
      <c r="I547" s="897"/>
      <c r="J547" s="897"/>
      <c r="K547" s="898"/>
      <c r="L547" s="899" t="s">
        <v>1067</v>
      </c>
      <c r="M547" s="1070"/>
      <c r="Q547" s="70"/>
      <c r="R547" s="70"/>
    </row>
    <row r="548" customFormat="false" ht="20" hidden="false" customHeight="true" outlineLevel="0" collapsed="false">
      <c r="A548" s="1048"/>
      <c r="B548" s="1048"/>
      <c r="C548" s="1048"/>
      <c r="D548" s="1048"/>
      <c r="E548" s="1048"/>
      <c r="F548" s="314"/>
      <c r="G548" s="1071"/>
      <c r="H548" s="314"/>
      <c r="I548" s="1068"/>
      <c r="J548" s="1069"/>
      <c r="K548" s="1072"/>
      <c r="L548" s="1073"/>
      <c r="M548" s="1070"/>
      <c r="Q548" s="70"/>
      <c r="R548" s="70"/>
    </row>
    <row r="549" customFormat="false" ht="20" hidden="false" customHeight="true" outlineLevel="0" collapsed="false">
      <c r="A549" s="463" t="s">
        <v>1331</v>
      </c>
      <c r="B549" s="1058" t="s">
        <v>1332</v>
      </c>
      <c r="C549" s="1058"/>
      <c r="D549" s="1074"/>
      <c r="E549" s="1048"/>
      <c r="F549" s="314"/>
      <c r="G549" s="314"/>
      <c r="I549" s="1068"/>
      <c r="J549" s="1069"/>
      <c r="K549" s="1072"/>
      <c r="L549" s="1073"/>
      <c r="M549" s="1070"/>
      <c r="Q549" s="70"/>
      <c r="R549" s="70"/>
    </row>
    <row r="550" customFormat="false" ht="30" hidden="false" customHeight="true" outlineLevel="0" collapsed="false">
      <c r="A550" s="1060"/>
      <c r="B550" s="34"/>
      <c r="C550" s="978"/>
      <c r="D550" s="1071"/>
      <c r="E550" s="1075" t="s">
        <v>1333</v>
      </c>
      <c r="F550" s="1075"/>
      <c r="G550" s="557"/>
      <c r="I550" s="1068"/>
      <c r="J550" s="1069"/>
      <c r="M550" s="1070"/>
      <c r="Q550" s="70"/>
      <c r="R550" s="70"/>
    </row>
    <row r="551" customFormat="false" ht="13.5" hidden="false" customHeight="true" outlineLevel="0" collapsed="false">
      <c r="A551" s="1076"/>
      <c r="B551" s="422"/>
      <c r="E551" s="416"/>
      <c r="F551" s="557"/>
      <c r="G551" s="557"/>
      <c r="J551" s="1077"/>
      <c r="K551" s="934"/>
      <c r="L551" s="906"/>
      <c r="M551" s="1070"/>
      <c r="Q551" s="70"/>
      <c r="R551" s="70"/>
    </row>
    <row r="552" customFormat="false" ht="29.25" hidden="false" customHeight="true" outlineLevel="0" collapsed="false">
      <c r="A552" s="463" t="s">
        <v>1334</v>
      </c>
      <c r="B552" s="1078" t="n">
        <f aca="false">I161+B174</f>
        <v>0</v>
      </c>
      <c r="C552" s="11" t="s">
        <v>1335</v>
      </c>
      <c r="D552" s="1079" t="s">
        <v>1336</v>
      </c>
      <c r="E552" s="1079"/>
      <c r="F552" s="1078" t="n">
        <f aca="false">I84*5</f>
        <v>771</v>
      </c>
      <c r="G552" s="11" t="s">
        <v>1337</v>
      </c>
      <c r="H552" s="1080" t="s">
        <v>1338</v>
      </c>
      <c r="I552" s="1080"/>
      <c r="J552" s="943" t="n">
        <f aca="false">IF(F552&gt;0,1-(B552/F552),0)</f>
        <v>1</v>
      </c>
      <c r="M552" s="1081"/>
      <c r="Q552" s="70"/>
      <c r="R552" s="70"/>
    </row>
    <row r="553" customFormat="false" ht="20" hidden="false" customHeight="true" outlineLevel="0" collapsed="false">
      <c r="A553" s="1082"/>
      <c r="B553" s="418"/>
      <c r="C553" s="416"/>
      <c r="D553" s="1083" t="s">
        <v>1339</v>
      </c>
      <c r="E553" s="1083"/>
      <c r="F553" s="1084" t="n">
        <f aca="false">G243+B552</f>
        <v>381.1502</v>
      </c>
      <c r="H553" s="1085"/>
      <c r="I553" s="1085"/>
      <c r="J553" s="1086"/>
      <c r="L553" s="906"/>
      <c r="M553" s="1070"/>
      <c r="Q553" s="70"/>
      <c r="R553" s="70"/>
    </row>
    <row r="554" customFormat="false" ht="20" hidden="false" customHeight="true" outlineLevel="0" collapsed="false">
      <c r="A554" s="1082"/>
      <c r="B554" s="418"/>
      <c r="C554" s="416"/>
      <c r="D554" s="1083"/>
      <c r="E554" s="1083"/>
      <c r="F554" s="418"/>
      <c r="H554" s="1085"/>
      <c r="I554" s="1085"/>
      <c r="J554" s="1086"/>
      <c r="L554" s="906"/>
      <c r="M554" s="1070"/>
      <c r="Q554" s="70"/>
      <c r="R554" s="70"/>
    </row>
    <row r="555" customFormat="false" ht="32.25" hidden="false" customHeight="true" outlineLevel="0" collapsed="false">
      <c r="A555" s="463" t="s">
        <v>1340</v>
      </c>
      <c r="B555" s="1087" t="n">
        <f aca="false">SUM(C186,G251:G266,G268:G273)-B174</f>
        <v>23</v>
      </c>
      <c r="C555" s="11" t="s">
        <v>1341</v>
      </c>
      <c r="D555" s="1079" t="s">
        <v>1342</v>
      </c>
      <c r="E555" s="1079"/>
      <c r="F555" s="1053" t="n">
        <v>23</v>
      </c>
      <c r="G555" s="11" t="s">
        <v>1341</v>
      </c>
      <c r="H555" s="1080" t="s">
        <v>1343</v>
      </c>
      <c r="I555" s="1080"/>
      <c r="J555" s="943" t="n">
        <f aca="false">IF(F555&gt;0,1-(B555/F555),0)</f>
        <v>0</v>
      </c>
      <c r="L555" s="1088"/>
      <c r="M555" s="1089" t="s">
        <v>1344</v>
      </c>
      <c r="N555" s="1089"/>
      <c r="O555" s="1090" t="s">
        <v>1345</v>
      </c>
      <c r="P555" s="1090"/>
      <c r="Q555" s="70"/>
      <c r="R555" s="70"/>
    </row>
    <row r="556" customFormat="false" ht="20" hidden="false" customHeight="true" outlineLevel="0" collapsed="false">
      <c r="A556" s="1091"/>
      <c r="B556" s="418"/>
      <c r="C556" s="416"/>
      <c r="D556" s="1083" t="s">
        <v>1339</v>
      </c>
      <c r="E556" s="1083"/>
      <c r="F556" s="1084" t="n">
        <f aca="false">SUM(C186,F251:F266,F268:F273,G251:G266,G268:G273)-SUM(J251:J266,J268:J273)-B174</f>
        <v>155.425</v>
      </c>
      <c r="J556" s="1077"/>
      <c r="K556" s="934"/>
      <c r="L556" s="906"/>
      <c r="M556" s="1089"/>
      <c r="N556" s="1089"/>
      <c r="O556" s="1090"/>
      <c r="P556" s="1090"/>
      <c r="Q556" s="70"/>
      <c r="R556" s="70"/>
    </row>
    <row r="557" customFormat="false" ht="20" hidden="false" customHeight="true" outlineLevel="0" collapsed="false">
      <c r="A557" s="14"/>
      <c r="B557" s="1092"/>
      <c r="C557" s="1092"/>
      <c r="E557" s="14"/>
      <c r="F557" s="416"/>
      <c r="J557" s="1077"/>
      <c r="K557" s="934"/>
      <c r="L557" s="906"/>
      <c r="M557" s="1089"/>
      <c r="N557" s="1089"/>
      <c r="O557" s="1090"/>
      <c r="P557" s="1090"/>
      <c r="Q557" s="70"/>
      <c r="R557" s="70"/>
    </row>
    <row r="558" customFormat="false" ht="20" hidden="false" customHeight="true" outlineLevel="0" collapsed="false">
      <c r="A558" s="1091"/>
      <c r="B558" s="421"/>
      <c r="C558" s="421"/>
      <c r="D558" s="416"/>
      <c r="J558" s="1077"/>
      <c r="K558" s="934"/>
      <c r="L558" s="906"/>
      <c r="M558" s="1070"/>
      <c r="Q558" s="70"/>
      <c r="R558" s="70"/>
    </row>
    <row r="559" customFormat="false" ht="20" hidden="false" customHeight="true" outlineLevel="0" collapsed="false">
      <c r="A559" s="1091"/>
      <c r="C559" s="418"/>
      <c r="D559" s="416"/>
      <c r="J559" s="1077"/>
      <c r="K559" s="934"/>
      <c r="L559" s="906"/>
      <c r="M559" s="1070"/>
      <c r="Q559" s="70"/>
      <c r="R559" s="70"/>
    </row>
    <row r="560" customFormat="false" ht="20" hidden="false" customHeight="true" outlineLevel="0" collapsed="false">
      <c r="A560" s="896" t="s">
        <v>1346</v>
      </c>
      <c r="B560" s="896"/>
      <c r="C560" s="896"/>
      <c r="D560" s="896"/>
      <c r="E560" s="896"/>
      <c r="F560" s="896"/>
      <c r="G560" s="896"/>
      <c r="H560" s="897"/>
      <c r="I560" s="897"/>
      <c r="J560" s="897"/>
      <c r="K560" s="898"/>
      <c r="L560" s="899" t="s">
        <v>1347</v>
      </c>
      <c r="M560" s="1070"/>
      <c r="Q560" s="70"/>
      <c r="R560" s="70"/>
    </row>
    <row r="561" s="11" customFormat="true" ht="20" hidden="false" customHeight="true" outlineLevel="0" collapsed="false">
      <c r="K561" s="934"/>
      <c r="L561" s="906"/>
      <c r="M561" s="1070"/>
      <c r="Q561" s="70"/>
      <c r="R561" s="70"/>
    </row>
    <row r="562" customFormat="false" ht="18" hidden="false" customHeight="true" outlineLevel="0" collapsed="false">
      <c r="B562" s="1093" t="s">
        <v>1348</v>
      </c>
      <c r="C562" s="985" t="n">
        <f aca="false">(C563+C564)</f>
        <v>5420</v>
      </c>
      <c r="D562" s="417" t="s">
        <v>1349</v>
      </c>
      <c r="F562" s="940" t="s">
        <v>1350</v>
      </c>
      <c r="G562" s="985" t="n">
        <f aca="false">G563+G564</f>
        <v>6170</v>
      </c>
      <c r="H562" s="1094" t="s">
        <v>1349</v>
      </c>
      <c r="I562" s="942" t="s">
        <v>1351</v>
      </c>
      <c r="J562" s="1095" t="n">
        <f aca="false">IF(G562=0,1,1-(C562/G562))</f>
        <v>0.121555915721232</v>
      </c>
      <c r="K562" s="458"/>
      <c r="L562" s="458"/>
      <c r="M562" s="1070"/>
      <c r="Q562" s="70"/>
      <c r="R562" s="70"/>
    </row>
    <row r="563" customFormat="false" ht="20" hidden="false" customHeight="true" outlineLevel="0" collapsed="false">
      <c r="B563" s="1096" t="s">
        <v>1352</v>
      </c>
      <c r="C563" s="418" t="n">
        <f aca="false">'Bilan apparent'!F46</f>
        <v>5420</v>
      </c>
      <c r="D563" s="418" t="s">
        <v>540</v>
      </c>
      <c r="F563" s="1096" t="s">
        <v>1352</v>
      </c>
      <c r="G563" s="418" t="n">
        <f aca="false">'Bilan apparent'!F46</f>
        <v>5420</v>
      </c>
      <c r="H563" s="418" t="s">
        <v>540</v>
      </c>
      <c r="I563" s="942"/>
      <c r="J563" s="1095"/>
      <c r="K563" s="458"/>
      <c r="L563" s="458"/>
      <c r="M563" s="1070"/>
      <c r="Q563" s="70"/>
      <c r="R563" s="70"/>
    </row>
    <row r="564" customFormat="false" ht="20" hidden="false" customHeight="true" outlineLevel="0" collapsed="false">
      <c r="B564" s="1096" t="s">
        <v>1353</v>
      </c>
      <c r="C564" s="587" t="n">
        <f aca="false">J355</f>
        <v>0</v>
      </c>
      <c r="D564" s="418" t="s">
        <v>540</v>
      </c>
      <c r="F564" s="1096" t="s">
        <v>1354</v>
      </c>
      <c r="G564" s="587" t="n">
        <f aca="false">I355</f>
        <v>750</v>
      </c>
      <c r="H564" s="418" t="s">
        <v>540</v>
      </c>
      <c r="I564" s="942"/>
      <c r="J564" s="1095"/>
      <c r="K564" s="458"/>
      <c r="L564" s="458"/>
      <c r="M564" s="1070"/>
      <c r="Q564" s="70"/>
      <c r="R564" s="70"/>
    </row>
    <row r="565" customFormat="false" ht="20" hidden="false" customHeight="true" outlineLevel="0" collapsed="false">
      <c r="A565" s="1097"/>
      <c r="B565" s="1098"/>
      <c r="C565" s="1099"/>
      <c r="D565" s="416"/>
      <c r="F565" s="416"/>
      <c r="G565" s="416"/>
      <c r="H565" s="70"/>
      <c r="I565" s="70"/>
      <c r="J565" s="1100"/>
      <c r="K565" s="458"/>
      <c r="L565" s="458"/>
      <c r="M565" s="1070"/>
      <c r="Q565" s="70"/>
      <c r="R565" s="70"/>
    </row>
    <row r="566" customFormat="false" ht="20" hidden="false" customHeight="true" outlineLevel="0" collapsed="false">
      <c r="A566" s="1048"/>
      <c r="B566" s="1048"/>
      <c r="C566" s="1048"/>
      <c r="D566" s="1048"/>
      <c r="E566" s="1048"/>
      <c r="F566" s="416" t="s">
        <v>1355</v>
      </c>
      <c r="J566" s="1077"/>
      <c r="K566" s="458"/>
      <c r="L566" s="458"/>
      <c r="M566" s="1070"/>
      <c r="Q566" s="70"/>
      <c r="R566" s="70"/>
    </row>
    <row r="567" customFormat="false" ht="20" hidden="false" customHeight="true" outlineLevel="0" collapsed="false">
      <c r="A567" s="1101" t="s">
        <v>1356</v>
      </c>
      <c r="B567" s="1101"/>
      <c r="C567" s="1101"/>
      <c r="D567" s="1101"/>
      <c r="F567" s="1102" t="n">
        <f aca="false">SUMPRODUCT(C208:C212,E208:E212)+(C222*E222)+SUMPRODUCT(C224:C231,E224:E231)+SUMPRODUCT(C233:C238,E233:E238)+SUM(D268:D273)+SUM(D280:D281)</f>
        <v>13.686</v>
      </c>
      <c r="G567" s="417" t="s">
        <v>91</v>
      </c>
      <c r="H567" s="1080" t="s">
        <v>1357</v>
      </c>
      <c r="I567" s="1080"/>
      <c r="J567" s="943" t="n">
        <f aca="false">IF(B13-B16&gt;0,(F567+F568*0.3+F569*0.3+F570*0.1)/(B13-B16),0)</f>
        <v>0.201220770288858</v>
      </c>
      <c r="K567" s="458"/>
      <c r="L567" s="458"/>
      <c r="M567" s="1070"/>
      <c r="Q567" s="70"/>
      <c r="R567" s="70"/>
    </row>
    <row r="568" customFormat="false" ht="19.5" hidden="false" customHeight="true" outlineLevel="0" collapsed="false">
      <c r="A568" s="1029" t="s">
        <v>504</v>
      </c>
      <c r="B568" s="1029"/>
      <c r="C568" s="1029"/>
      <c r="D568" s="1029"/>
      <c r="F568" s="1061" t="n">
        <v>5</v>
      </c>
      <c r="G568" s="416" t="s">
        <v>91</v>
      </c>
      <c r="H568" s="70"/>
      <c r="I568" s="70"/>
      <c r="J568" s="1103"/>
      <c r="K568" s="458"/>
      <c r="L568" s="458"/>
      <c r="M568" s="1070"/>
      <c r="Q568" s="70"/>
      <c r="R568" s="70"/>
    </row>
    <row r="569" customFormat="false" ht="20" hidden="false" customHeight="true" outlineLevel="0" collapsed="false">
      <c r="A569" s="1029" t="s">
        <v>505</v>
      </c>
      <c r="B569" s="1029"/>
      <c r="C569" s="1029"/>
      <c r="D569" s="1029"/>
      <c r="E569" s="416"/>
      <c r="F569" s="1061" t="n">
        <v>27.4</v>
      </c>
      <c r="G569" s="416" t="s">
        <v>91</v>
      </c>
      <c r="H569" s="70"/>
      <c r="I569" s="70"/>
      <c r="J569" s="1103"/>
      <c r="K569" s="458"/>
      <c r="L569" s="458"/>
      <c r="M569" s="1104"/>
      <c r="Q569" s="70"/>
      <c r="R569" s="70"/>
    </row>
    <row r="570" customFormat="false" ht="20" hidden="false" customHeight="true" outlineLevel="0" collapsed="false">
      <c r="A570" s="1096"/>
      <c r="B570" s="1096"/>
      <c r="C570" s="1096"/>
      <c r="D570" s="1096" t="s">
        <v>506</v>
      </c>
      <c r="E570" s="416"/>
      <c r="F570" s="1061"/>
      <c r="G570" s="416" t="s">
        <v>91</v>
      </c>
      <c r="H570" s="70"/>
      <c r="I570" s="70"/>
      <c r="J570" s="1103"/>
      <c r="K570" s="458"/>
      <c r="L570" s="459"/>
      <c r="M570" s="1104"/>
      <c r="Q570" s="70"/>
      <c r="R570" s="70"/>
    </row>
    <row r="571" customFormat="false" ht="20" hidden="false" customHeight="true" outlineLevel="0" collapsed="false">
      <c r="A571" s="1096"/>
      <c r="B571" s="1096"/>
      <c r="C571" s="1096"/>
      <c r="D571" s="1096"/>
      <c r="E571" s="416"/>
      <c r="F571" s="592"/>
      <c r="G571" s="416"/>
      <c r="H571" s="70"/>
      <c r="I571" s="70"/>
      <c r="J571" s="1103"/>
      <c r="K571" s="458"/>
      <c r="L571" s="459"/>
      <c r="M571" s="1104"/>
      <c r="Q571" s="70"/>
      <c r="R571" s="70"/>
    </row>
    <row r="572" s="11" customFormat="true" ht="20" hidden="false" customHeight="true" outlineLevel="0" collapsed="false">
      <c r="E572" s="382"/>
      <c r="F572" s="382"/>
      <c r="K572" s="458"/>
      <c r="L572" s="459"/>
      <c r="M572" s="1104"/>
      <c r="Q572" s="70"/>
      <c r="R572" s="70"/>
    </row>
    <row r="573" customFormat="false" ht="20" hidden="false" customHeight="true" outlineLevel="0" collapsed="false">
      <c r="A573" s="896" t="s">
        <v>1358</v>
      </c>
      <c r="B573" s="896"/>
      <c r="C573" s="896"/>
      <c r="D573" s="896"/>
      <c r="E573" s="896"/>
      <c r="F573" s="896"/>
      <c r="G573" s="896"/>
      <c r="H573" s="897"/>
      <c r="I573" s="897"/>
      <c r="J573" s="897"/>
      <c r="K573" s="898"/>
      <c r="L573" s="899" t="s">
        <v>1359</v>
      </c>
    </row>
    <row r="574" customFormat="false" ht="20" hidden="false" customHeight="true" outlineLevel="0" collapsed="false">
      <c r="A574" s="1048"/>
      <c r="B574" s="1048"/>
      <c r="C574" s="1048"/>
      <c r="D574" s="1048"/>
      <c r="E574" s="1048"/>
      <c r="F574" s="1048"/>
      <c r="G574" s="1048"/>
      <c r="H574" s="1105"/>
      <c r="I574" s="70"/>
      <c r="J574" s="423"/>
      <c r="K574" s="458"/>
      <c r="L574" s="459"/>
    </row>
    <row r="575" customFormat="false" ht="20" hidden="false" customHeight="true" outlineLevel="0" collapsed="false">
      <c r="A575" s="1106" t="s">
        <v>1360</v>
      </c>
      <c r="B575" s="1074"/>
      <c r="C575" s="1074"/>
      <c r="D575" s="1107" t="s">
        <v>1327</v>
      </c>
      <c r="E575" s="449" t="s">
        <v>1361</v>
      </c>
      <c r="F575" s="1074"/>
      <c r="G575" s="1074"/>
      <c r="H575" s="1105"/>
      <c r="I575" s="70"/>
      <c r="J575" s="423"/>
      <c r="K575" s="458"/>
      <c r="L575" s="459"/>
    </row>
    <row r="576" customFormat="false" ht="20" hidden="false" customHeight="true" outlineLevel="0" collapsed="false">
      <c r="A576" s="1108" t="s">
        <v>1362</v>
      </c>
      <c r="B576" s="1109"/>
      <c r="C576" s="1109"/>
      <c r="D576" s="1109"/>
      <c r="E576" s="1109"/>
      <c r="F576" s="1109"/>
      <c r="G576" s="1109"/>
      <c r="K576" s="458"/>
      <c r="L576" s="459"/>
    </row>
    <row r="577" customFormat="false" ht="20" hidden="false" customHeight="true" outlineLevel="0" collapsed="false">
      <c r="B577" s="1109"/>
      <c r="C577" s="1109"/>
      <c r="D577" s="1109"/>
      <c r="E577" s="1109"/>
      <c r="F577" s="1109"/>
      <c r="G577" s="1109"/>
      <c r="K577" s="458"/>
      <c r="L577" s="459"/>
    </row>
    <row r="578" customFormat="false" ht="20" hidden="false" customHeight="true" outlineLevel="0" collapsed="false">
      <c r="A578" s="1106" t="s">
        <v>1363</v>
      </c>
      <c r="C578" s="1110" t="s">
        <v>557</v>
      </c>
      <c r="D578" s="1110"/>
      <c r="E578" s="1110"/>
      <c r="F578" s="1110"/>
      <c r="G578" s="1109"/>
      <c r="K578" s="458"/>
      <c r="L578" s="459"/>
    </row>
    <row r="579" customFormat="false" ht="14" hidden="false" customHeight="false" outlineLevel="0" collapsed="false">
      <c r="A579" s="1106"/>
      <c r="C579" s="1111" t="s">
        <v>558</v>
      </c>
      <c r="D579" s="1112" t="s">
        <v>559</v>
      </c>
      <c r="E579" s="1112"/>
      <c r="F579" s="1113" t="s">
        <v>560</v>
      </c>
      <c r="G579" s="1109"/>
      <c r="K579" s="458"/>
      <c r="L579" s="459"/>
    </row>
    <row r="580" customFormat="false" ht="20" hidden="false" customHeight="true" outlineLevel="0" collapsed="false">
      <c r="A580" s="1110" t="s">
        <v>556</v>
      </c>
      <c r="B580" s="1114" t="s">
        <v>1327</v>
      </c>
      <c r="C580" s="1115" t="s">
        <v>1364</v>
      </c>
      <c r="D580" s="1116" t="s">
        <v>1365</v>
      </c>
      <c r="E580" s="1116"/>
      <c r="F580" s="1117" t="s">
        <v>1366</v>
      </c>
      <c r="G580" s="1109"/>
      <c r="K580" s="458"/>
      <c r="L580" s="459"/>
    </row>
    <row r="581" customFormat="false" ht="20" hidden="false" customHeight="true" outlineLevel="0" collapsed="false">
      <c r="A581" s="1110"/>
      <c r="B581" s="1114" t="s">
        <v>1323</v>
      </c>
      <c r="C581" s="1115"/>
      <c r="D581" s="1116" t="s">
        <v>1367</v>
      </c>
      <c r="E581" s="1116"/>
      <c r="F581" s="1117"/>
      <c r="G581" s="1109"/>
      <c r="K581" s="458"/>
      <c r="L581" s="459"/>
    </row>
    <row r="582" customFormat="false" ht="16.5" hidden="false" customHeight="true" outlineLevel="0" collapsed="false">
      <c r="A582" s="1109"/>
      <c r="B582" s="1109"/>
      <c r="C582" s="1109"/>
      <c r="D582" s="1109"/>
      <c r="E582" s="1109"/>
      <c r="F582" s="1109"/>
      <c r="G582" s="1109"/>
      <c r="K582" s="458"/>
      <c r="L582" s="459"/>
    </row>
    <row r="583" customFormat="false" ht="31.5" hidden="false" customHeight="true" outlineLevel="0" collapsed="false">
      <c r="A583" s="1109" t="s">
        <v>1368</v>
      </c>
      <c r="B583" s="1109"/>
      <c r="C583" s="1118" t="s">
        <v>1369</v>
      </c>
      <c r="D583" s="1061" t="n">
        <v>1200</v>
      </c>
      <c r="E583" s="1109" t="s">
        <v>1370</v>
      </c>
      <c r="F583" s="1109"/>
      <c r="G583" s="1109"/>
      <c r="K583" s="458"/>
      <c r="L583" s="459"/>
    </row>
    <row r="584" customFormat="false" ht="16.5" hidden="false" customHeight="true" outlineLevel="0" collapsed="false">
      <c r="A584" s="1109"/>
      <c r="B584" s="1109"/>
      <c r="C584" s="1109"/>
      <c r="D584" s="1109"/>
      <c r="E584" s="1109"/>
      <c r="F584" s="1109"/>
      <c r="G584" s="1109"/>
      <c r="K584" s="458"/>
      <c r="L584" s="459"/>
    </row>
    <row r="585" customFormat="false" ht="15" hidden="false" customHeight="true" outlineLevel="0" collapsed="false">
      <c r="A585" s="1106"/>
      <c r="B585" s="1109"/>
      <c r="C585" s="1119" t="s">
        <v>1371</v>
      </c>
      <c r="D585" s="1119"/>
      <c r="E585" s="1119"/>
      <c r="F585" s="1119"/>
      <c r="G585" s="1109"/>
      <c r="K585" s="458"/>
      <c r="L585" s="459"/>
    </row>
    <row r="586" customFormat="false" ht="15" hidden="false" customHeight="true" outlineLevel="0" collapsed="false">
      <c r="A586" s="1109"/>
      <c r="B586" s="1109"/>
      <c r="C586" s="1114" t="s">
        <v>1372</v>
      </c>
      <c r="D586" s="1114" t="s">
        <v>1373</v>
      </c>
      <c r="E586" s="1114"/>
      <c r="F586" s="1114" t="s">
        <v>1374</v>
      </c>
      <c r="G586" s="1109"/>
      <c r="K586" s="458"/>
      <c r="L586" s="459"/>
    </row>
    <row r="587" customFormat="false" ht="15" hidden="false" customHeight="true" outlineLevel="0" collapsed="false">
      <c r="A587" s="1110" t="s">
        <v>1375</v>
      </c>
      <c r="B587" s="1114" t="s">
        <v>1376</v>
      </c>
      <c r="C587" s="1120" t="n">
        <v>4</v>
      </c>
      <c r="D587" s="1120" t="n">
        <v>0</v>
      </c>
      <c r="E587" s="1120"/>
      <c r="F587" s="1120" t="n">
        <v>0</v>
      </c>
      <c r="G587" s="1109"/>
      <c r="K587" s="458"/>
      <c r="L587" s="459"/>
    </row>
    <row r="588" customFormat="false" ht="15.75" hidden="false" customHeight="true" outlineLevel="0" collapsed="false">
      <c r="A588" s="1110"/>
      <c r="B588" s="1114" t="s">
        <v>1377</v>
      </c>
      <c r="C588" s="1120" t="n">
        <v>4</v>
      </c>
      <c r="D588" s="1120" t="n">
        <v>2</v>
      </c>
      <c r="E588" s="1120"/>
      <c r="F588" s="1120" t="n">
        <v>0</v>
      </c>
      <c r="G588" s="1121" t="s">
        <v>1378</v>
      </c>
      <c r="H588" s="1122" t="n">
        <v>8</v>
      </c>
      <c r="K588" s="458"/>
      <c r="L588" s="459"/>
    </row>
    <row r="589" customFormat="false" ht="15.75" hidden="false" customHeight="true" outlineLevel="0" collapsed="false">
      <c r="A589" s="1110"/>
      <c r="B589" s="1114" t="s">
        <v>1379</v>
      </c>
      <c r="C589" s="1120" t="n">
        <v>6</v>
      </c>
      <c r="D589" s="1120" t="n">
        <v>4</v>
      </c>
      <c r="E589" s="1120"/>
      <c r="F589" s="1120" t="n">
        <v>2</v>
      </c>
      <c r="G589" s="1121"/>
      <c r="H589" s="1122"/>
      <c r="K589" s="458"/>
      <c r="L589" s="459"/>
    </row>
    <row r="590" customFormat="false" ht="15.75" hidden="false" customHeight="true" outlineLevel="0" collapsed="false">
      <c r="A590" s="1110"/>
      <c r="B590" s="1114" t="s">
        <v>1380</v>
      </c>
      <c r="C590" s="1120" t="n">
        <v>8</v>
      </c>
      <c r="D590" s="1120" t="n">
        <v>6</v>
      </c>
      <c r="E590" s="1120"/>
      <c r="F590" s="1120" t="n">
        <v>4</v>
      </c>
      <c r="G590" s="1121" t="s">
        <v>1378</v>
      </c>
      <c r="H590" s="1122"/>
      <c r="K590" s="458"/>
      <c r="L590" s="459"/>
    </row>
    <row r="591" customFormat="false" ht="15.75" hidden="false" customHeight="true" outlineLevel="0" collapsed="false">
      <c r="A591" s="1109"/>
      <c r="B591" s="1109"/>
      <c r="C591" s="1109"/>
      <c r="D591" s="1109"/>
      <c r="E591" s="1109"/>
      <c r="F591" s="1109"/>
      <c r="G591" s="1109"/>
      <c r="K591" s="458"/>
      <c r="L591" s="459"/>
    </row>
    <row r="593" customFormat="false" ht="15" hidden="false" customHeight="true" outlineLevel="0" collapsed="false">
      <c r="A593" s="896" t="s">
        <v>1381</v>
      </c>
      <c r="B593" s="896"/>
      <c r="C593" s="896"/>
      <c r="D593" s="896"/>
      <c r="E593" s="896"/>
      <c r="F593" s="896"/>
      <c r="G593" s="896"/>
      <c r="H593" s="897"/>
      <c r="I593" s="897"/>
      <c r="J593" s="897"/>
      <c r="K593" s="898"/>
      <c r="L593" s="899"/>
    </row>
    <row r="594" customFormat="false" ht="15" hidden="false" customHeight="true" outlineLevel="0" collapsed="false">
      <c r="A594" s="1048"/>
      <c r="B594" s="1048"/>
      <c r="C594" s="1048"/>
      <c r="D594" s="1048"/>
      <c r="E594" s="1048"/>
      <c r="F594" s="1048"/>
      <c r="G594" s="1048"/>
      <c r="H594" s="14"/>
      <c r="I594" s="14"/>
      <c r="K594" s="458"/>
      <c r="L594" s="459"/>
    </row>
    <row r="595" customFormat="false" ht="20" hidden="false" customHeight="true" outlineLevel="0" collapsed="false">
      <c r="A595" s="1085" t="s">
        <v>1382</v>
      </c>
      <c r="B595" s="1123" t="n">
        <f aca="false">'Bilan apparent'!G43</f>
        <v>800</v>
      </c>
      <c r="D595" s="1080" t="s">
        <v>1383</v>
      </c>
      <c r="E595" s="1080"/>
      <c r="F595" s="1124" t="n">
        <f aca="false">B595/B13</f>
        <v>4.67508181393175</v>
      </c>
      <c r="G595" s="70"/>
      <c r="J595" s="972"/>
      <c r="K595" s="1125"/>
      <c r="L595" s="1125"/>
    </row>
    <row r="596" customFormat="false" ht="16.5" hidden="false" customHeight="true" outlineLevel="0" collapsed="false"/>
    <row r="597" customFormat="false" ht="20" hidden="false" customHeight="true" outlineLevel="0" collapsed="false"/>
    <row r="598" customFormat="false" ht="20" hidden="false" customHeight="true" outlineLevel="0" collapsed="false">
      <c r="A598" s="896" t="s">
        <v>1384</v>
      </c>
      <c r="B598" s="896"/>
      <c r="C598" s="896"/>
      <c r="D598" s="896"/>
      <c r="E598" s="896"/>
      <c r="F598" s="896"/>
      <c r="G598" s="896"/>
      <c r="H598" s="897"/>
      <c r="I598" s="897"/>
      <c r="J598" s="897"/>
      <c r="K598" s="898"/>
      <c r="L598" s="899" t="s">
        <v>1359</v>
      </c>
    </row>
    <row r="599" customFormat="false" ht="20" hidden="false" customHeight="true" outlineLevel="0" collapsed="false">
      <c r="A599" s="1126"/>
      <c r="B599" s="1126"/>
      <c r="C599" s="1126"/>
      <c r="D599" s="1126"/>
      <c r="E599" s="1126"/>
      <c r="F599" s="1126"/>
      <c r="G599" s="1126"/>
      <c r="H599" s="146"/>
      <c r="I599" s="146"/>
      <c r="J599" s="146"/>
      <c r="K599" s="458"/>
      <c r="L599" s="459"/>
    </row>
    <row r="600" customFormat="false" ht="20" hidden="false" customHeight="true" outlineLevel="0" collapsed="false">
      <c r="A600" s="1127" t="s">
        <v>1385</v>
      </c>
      <c r="B600" s="1127"/>
      <c r="C600" s="1127"/>
      <c r="D600" s="1127"/>
      <c r="E600" s="1127"/>
      <c r="F600" s="1127"/>
      <c r="G600" s="840"/>
      <c r="H600" s="840"/>
      <c r="I600" s="1068"/>
      <c r="J600" s="1069"/>
      <c r="K600" s="1072"/>
      <c r="L600" s="906"/>
    </row>
    <row r="601" customFormat="false" ht="15" hidden="false" customHeight="true" outlineLevel="0" collapsed="false">
      <c r="A601" s="1128" t="s">
        <v>1386</v>
      </c>
      <c r="B601" s="1128"/>
      <c r="C601" s="1129" t="s">
        <v>1387</v>
      </c>
      <c r="D601" s="1129" t="s">
        <v>1388</v>
      </c>
      <c r="E601" s="1130" t="s">
        <v>1389</v>
      </c>
      <c r="F601" s="1131" t="s">
        <v>1390</v>
      </c>
      <c r="G601" s="635"/>
      <c r="H601" s="635"/>
      <c r="I601" s="1068"/>
      <c r="J601" s="1069"/>
      <c r="K601" s="1072"/>
      <c r="L601" s="906"/>
    </row>
    <row r="602" customFormat="false" ht="20" hidden="false" customHeight="true" outlineLevel="0" collapsed="false">
      <c r="A602" s="1132"/>
      <c r="B602" s="1132"/>
      <c r="C602" s="569"/>
      <c r="D602" s="569"/>
      <c r="E602" s="569" t="s">
        <v>1391</v>
      </c>
      <c r="F602" s="572" t="s">
        <v>1392</v>
      </c>
      <c r="G602" s="1133"/>
      <c r="H602" s="1133"/>
      <c r="I602" s="1068"/>
      <c r="J602" s="1069"/>
      <c r="K602" s="1072"/>
      <c r="L602" s="906"/>
    </row>
    <row r="603" customFormat="false" ht="20" hidden="false" customHeight="true" outlineLevel="0" collapsed="false">
      <c r="A603" s="1134" t="s">
        <v>534</v>
      </c>
      <c r="B603" s="1134"/>
      <c r="C603" s="569" t="s">
        <v>535</v>
      </c>
      <c r="D603" s="965" t="n">
        <f aca="false">971.1/0.15</f>
        <v>6474</v>
      </c>
      <c r="E603" s="1135" t="n">
        <v>0.290502793296089</v>
      </c>
      <c r="F603" s="1136" t="n">
        <f aca="false">D603*E603</f>
        <v>1880.71508379888</v>
      </c>
      <c r="G603" s="1137" t="s">
        <v>1393</v>
      </c>
      <c r="H603" s="1138"/>
      <c r="I603" s="1068"/>
      <c r="J603" s="1069"/>
      <c r="K603" s="1072"/>
      <c r="L603" s="906"/>
    </row>
    <row r="604" s="1139" customFormat="true" ht="20" hidden="false" customHeight="true" outlineLevel="0" collapsed="false">
      <c r="A604" s="1134" t="s">
        <v>536</v>
      </c>
      <c r="B604" s="1134"/>
      <c r="C604" s="569" t="s">
        <v>172</v>
      </c>
      <c r="D604" s="968" t="n">
        <v>15000</v>
      </c>
      <c r="E604" s="1135" t="n">
        <v>1.28491620111732</v>
      </c>
      <c r="F604" s="1136" t="n">
        <f aca="false">D604*E604</f>
        <v>19273.7430167598</v>
      </c>
      <c r="G604" s="1137"/>
      <c r="H604" s="978"/>
      <c r="I604" s="1068"/>
      <c r="J604" s="1069"/>
      <c r="K604" s="1072"/>
      <c r="L604" s="906"/>
    </row>
    <row r="605" customFormat="false" ht="20" hidden="false" customHeight="true" outlineLevel="0" collapsed="false">
      <c r="A605" s="1134" t="s">
        <v>538</v>
      </c>
      <c r="B605" s="1134"/>
      <c r="C605" s="569" t="s">
        <v>172</v>
      </c>
      <c r="D605" s="968"/>
      <c r="E605" s="968"/>
      <c r="F605" s="1136" t="n">
        <f aca="false">D605*E605</f>
        <v>0</v>
      </c>
      <c r="G605" s="1137"/>
      <c r="H605" s="1138"/>
      <c r="I605" s="1068"/>
      <c r="J605" s="1069"/>
      <c r="K605" s="1072"/>
      <c r="L605" s="906"/>
    </row>
    <row r="606" customFormat="false" ht="20" hidden="false" customHeight="true" outlineLevel="0" collapsed="false">
      <c r="A606" s="1134" t="s">
        <v>539</v>
      </c>
      <c r="B606" s="1134"/>
      <c r="C606" s="569" t="s">
        <v>540</v>
      </c>
      <c r="D606" s="968"/>
      <c r="E606" s="1135" t="n">
        <v>1.58100558659218</v>
      </c>
      <c r="F606" s="1136" t="n">
        <f aca="false">D606*E606</f>
        <v>0</v>
      </c>
      <c r="G606" s="1137"/>
      <c r="H606" s="978"/>
      <c r="I606" s="1068"/>
      <c r="J606" s="1069"/>
      <c r="K606" s="1072"/>
      <c r="L606" s="906"/>
    </row>
    <row r="607" customFormat="false" ht="20" hidden="false" customHeight="true" outlineLevel="0" collapsed="false">
      <c r="A607" s="1134" t="s">
        <v>541</v>
      </c>
      <c r="B607" s="1134"/>
      <c r="C607" s="569" t="s">
        <v>540</v>
      </c>
      <c r="D607" s="968"/>
      <c r="E607" s="1135" t="n">
        <v>0.51</v>
      </c>
      <c r="F607" s="1136" t="n">
        <f aca="false">D607*E607</f>
        <v>0</v>
      </c>
      <c r="G607" s="978"/>
      <c r="H607" s="1138"/>
      <c r="I607" s="1068"/>
      <c r="J607" s="1069"/>
      <c r="K607" s="1072"/>
      <c r="L607" s="906"/>
    </row>
    <row r="608" customFormat="false" ht="20" hidden="false" customHeight="true" outlineLevel="0" collapsed="false">
      <c r="A608" s="1134" t="s">
        <v>542</v>
      </c>
      <c r="B608" s="1134"/>
      <c r="C608" s="569" t="s">
        <v>543</v>
      </c>
      <c r="D608" s="968"/>
      <c r="E608" s="1135" t="n">
        <v>0.502793296089386</v>
      </c>
      <c r="F608" s="1136" t="n">
        <f aca="false">D608*E608</f>
        <v>0</v>
      </c>
      <c r="G608" s="978"/>
      <c r="H608" s="1138"/>
      <c r="I608" s="1068"/>
      <c r="J608" s="1069"/>
      <c r="K608" s="1072"/>
      <c r="L608" s="906"/>
    </row>
    <row r="609" customFormat="false" ht="20" hidden="false" customHeight="true" outlineLevel="0" collapsed="false">
      <c r="A609" s="1140" t="s">
        <v>544</v>
      </c>
      <c r="B609" s="1140"/>
      <c r="C609" s="569" t="s">
        <v>543</v>
      </c>
      <c r="D609" s="968"/>
      <c r="E609" s="1135" t="n">
        <v>0.502793296089386</v>
      </c>
      <c r="F609" s="1136" t="n">
        <f aca="false">D609*E609</f>
        <v>0</v>
      </c>
      <c r="G609" s="978"/>
      <c r="H609" s="1138"/>
      <c r="I609" s="1068"/>
      <c r="J609" s="1069"/>
      <c r="K609" s="1072"/>
      <c r="L609" s="906"/>
    </row>
    <row r="610" customFormat="false" ht="20" hidden="false" customHeight="true" outlineLevel="0" collapsed="false">
      <c r="A610" s="1134" t="s">
        <v>545</v>
      </c>
      <c r="B610" s="1134"/>
      <c r="C610" s="569" t="s">
        <v>540</v>
      </c>
      <c r="D610" s="968"/>
      <c r="E610" s="1135" t="n">
        <v>0.782122905027933</v>
      </c>
      <c r="F610" s="1136" t="n">
        <f aca="false">D610*E610</f>
        <v>0</v>
      </c>
      <c r="G610" s="978"/>
      <c r="H610" s="978"/>
      <c r="I610" s="1068"/>
      <c r="J610" s="1069"/>
      <c r="K610" s="1072"/>
      <c r="L610" s="906"/>
    </row>
    <row r="611" customFormat="false" ht="20" hidden="false" customHeight="true" outlineLevel="0" collapsed="false">
      <c r="A611" s="1134" t="s">
        <v>546</v>
      </c>
      <c r="B611" s="1134"/>
      <c r="C611" s="569" t="s">
        <v>172</v>
      </c>
      <c r="D611" s="968" t="n">
        <v>200</v>
      </c>
      <c r="E611" s="1135" t="n">
        <v>1.01061452513966</v>
      </c>
      <c r="F611" s="1136" t="n">
        <f aca="false">D611*E611</f>
        <v>202.122905027932</v>
      </c>
      <c r="G611" s="978"/>
      <c r="H611" s="978"/>
      <c r="I611" s="1068"/>
      <c r="J611" s="1069"/>
      <c r="K611" s="1072"/>
      <c r="L611" s="906"/>
    </row>
    <row r="612" customFormat="false" ht="20" hidden="false" customHeight="true" outlineLevel="0" collapsed="false">
      <c r="A612" s="1134" t="s">
        <v>547</v>
      </c>
      <c r="B612" s="1134"/>
      <c r="C612" s="569" t="s">
        <v>540</v>
      </c>
      <c r="D612" s="968"/>
      <c r="E612" s="1135" t="n">
        <v>0.53072625698324</v>
      </c>
      <c r="F612" s="1141" t="n">
        <f aca="false">D612*E612</f>
        <v>0</v>
      </c>
      <c r="G612" s="978"/>
      <c r="H612" s="1138"/>
      <c r="I612" s="1068"/>
      <c r="J612" s="1069"/>
      <c r="K612" s="1072"/>
      <c r="L612" s="906"/>
    </row>
    <row r="613" customFormat="false" ht="20" hidden="false" customHeight="true" outlineLevel="0" collapsed="false">
      <c r="A613" s="1142"/>
      <c r="B613" s="1143"/>
      <c r="C613" s="1144" t="s">
        <v>1394</v>
      </c>
      <c r="D613" s="1144"/>
      <c r="E613" s="1144"/>
      <c r="F613" s="1145" t="n">
        <f aca="false">SUM(F603:F612)</f>
        <v>21356.5810055866</v>
      </c>
      <c r="G613" s="1146"/>
      <c r="H613" s="314"/>
      <c r="I613" s="1068"/>
      <c r="J613" s="1069"/>
      <c r="K613" s="1072"/>
      <c r="L613" s="906"/>
    </row>
    <row r="614" customFormat="false" ht="20" hidden="false" customHeight="true" outlineLevel="0" collapsed="false">
      <c r="A614" s="1147" t="s">
        <v>1395</v>
      </c>
      <c r="B614" s="1147"/>
      <c r="C614" s="1147"/>
      <c r="D614" s="1147"/>
      <c r="E614" s="1147"/>
      <c r="F614" s="1147"/>
      <c r="H614" s="314"/>
      <c r="K614" s="1148"/>
      <c r="L614" s="906"/>
    </row>
    <row r="615" customFormat="false" ht="28" hidden="false" customHeight="true" outlineLevel="0" collapsed="false">
      <c r="A615" s="1128" t="s">
        <v>1386</v>
      </c>
      <c r="B615" s="1128"/>
      <c r="C615" s="1129" t="s">
        <v>1387</v>
      </c>
      <c r="D615" s="1149" t="s">
        <v>1396</v>
      </c>
      <c r="E615" s="1150" t="s">
        <v>1389</v>
      </c>
      <c r="F615" s="480" t="s">
        <v>1397</v>
      </c>
      <c r="H615" s="70"/>
      <c r="I615" s="1151" t="s">
        <v>1398</v>
      </c>
      <c r="J615" s="1152" t="n">
        <f aca="false">F613+F626</f>
        <v>31230.6592178771</v>
      </c>
      <c r="K615" s="1148"/>
      <c r="L615" s="906"/>
    </row>
    <row r="616" customFormat="false" ht="20" hidden="false" customHeight="true" outlineLevel="0" collapsed="false">
      <c r="A616" s="1153"/>
      <c r="B616" s="1154"/>
      <c r="C616" s="707"/>
      <c r="D616" s="707"/>
      <c r="E616" s="785" t="s">
        <v>1391</v>
      </c>
      <c r="F616" s="572" t="s">
        <v>1392</v>
      </c>
      <c r="H616" s="70"/>
      <c r="I616" s="1151"/>
      <c r="J616" s="1151"/>
      <c r="K616" s="1148"/>
      <c r="L616" s="906"/>
    </row>
    <row r="617" customFormat="false" ht="20" hidden="false" customHeight="true" outlineLevel="0" collapsed="false">
      <c r="A617" s="1155" t="s">
        <v>1399</v>
      </c>
      <c r="B617" s="1155"/>
      <c r="C617" s="707" t="s">
        <v>1400</v>
      </c>
      <c r="D617" s="1156" t="n">
        <f aca="false">B144</f>
        <v>0</v>
      </c>
      <c r="E617" s="1157" t="n">
        <v>159.357541899441</v>
      </c>
      <c r="F617" s="1136" t="n">
        <f aca="false">D617*E617</f>
        <v>0</v>
      </c>
      <c r="G617" s="1158"/>
      <c r="H617" s="70"/>
      <c r="I617" s="70"/>
      <c r="J617" s="70"/>
      <c r="K617" s="1148"/>
      <c r="L617" s="906"/>
    </row>
    <row r="618" customFormat="false" ht="20" hidden="false" customHeight="true" outlineLevel="0" collapsed="false">
      <c r="A618" s="1155" t="s">
        <v>1401</v>
      </c>
      <c r="B618" s="1155"/>
      <c r="C618" s="707" t="s">
        <v>1400</v>
      </c>
      <c r="D618" s="1156" t="n">
        <f aca="false">C148</f>
        <v>0</v>
      </c>
      <c r="E618" s="1157" t="n">
        <v>92.9888268156425</v>
      </c>
      <c r="F618" s="1136" t="n">
        <f aca="false">D618*E618</f>
        <v>0</v>
      </c>
      <c r="G618" s="1159"/>
      <c r="H618" s="1159"/>
      <c r="L618" s="906"/>
    </row>
    <row r="619" customFormat="false" ht="20" hidden="false" customHeight="true" outlineLevel="0" collapsed="false">
      <c r="A619" s="1160" t="s">
        <v>1402</v>
      </c>
      <c r="B619" s="1160"/>
      <c r="C619" s="707" t="s">
        <v>1400</v>
      </c>
      <c r="D619" s="1156" t="n">
        <f aca="false">B149</f>
        <v>0</v>
      </c>
      <c r="E619" s="1157" t="n">
        <v>71.5921787709497</v>
      </c>
      <c r="F619" s="1136" t="n">
        <f aca="false">D619*E619</f>
        <v>0</v>
      </c>
      <c r="G619" s="1159"/>
      <c r="H619" s="1159"/>
      <c r="I619" s="1161"/>
      <c r="J619" s="1162"/>
      <c r="K619" s="1148"/>
      <c r="L619" s="906"/>
    </row>
    <row r="620" customFormat="false" ht="20" hidden="false" customHeight="true" outlineLevel="0" collapsed="false">
      <c r="A620" s="1155" t="s">
        <v>1403</v>
      </c>
      <c r="B620" s="1155"/>
      <c r="C620" s="707" t="s">
        <v>1404</v>
      </c>
      <c r="D620" s="1156" t="n">
        <f aca="false">C157</f>
        <v>0</v>
      </c>
      <c r="E620" s="1157" t="n">
        <v>84.3016759776536</v>
      </c>
      <c r="F620" s="1136" t="n">
        <f aca="false">D620*E620</f>
        <v>0</v>
      </c>
      <c r="G620" s="1159"/>
      <c r="H620" s="1080" t="s">
        <v>1405</v>
      </c>
      <c r="I620" s="1080"/>
      <c r="J620" s="1163" t="n">
        <f aca="false">IF(J615=0,"Erreur",J615/B13)</f>
        <v>182.507358683246</v>
      </c>
    </row>
    <row r="621" customFormat="false" ht="20" hidden="false" customHeight="true" outlineLevel="0" collapsed="false">
      <c r="A621" s="1160" t="s">
        <v>1406</v>
      </c>
      <c r="B621" s="1160"/>
      <c r="C621" s="707" t="s">
        <v>1407</v>
      </c>
      <c r="D621" s="1156" t="n">
        <f aca="false">B158</f>
        <v>19</v>
      </c>
      <c r="E621" s="1157" t="n">
        <v>100.558659217877</v>
      </c>
      <c r="F621" s="1136" t="n">
        <f aca="false">D621*E621</f>
        <v>1910.61452513966</v>
      </c>
      <c r="G621" s="1159"/>
      <c r="H621" s="1159"/>
      <c r="I621" s="1159"/>
      <c r="J621" s="1162"/>
      <c r="K621" s="1148"/>
      <c r="L621" s="906"/>
    </row>
    <row r="622" customFormat="false" ht="20" hidden="false" customHeight="true" outlineLevel="0" collapsed="false">
      <c r="A622" s="1140" t="s">
        <v>1408</v>
      </c>
      <c r="B622" s="1140"/>
      <c r="C622" s="707" t="s">
        <v>1407</v>
      </c>
      <c r="D622" s="1156" t="n">
        <f aca="false">C170+C171+C169</f>
        <v>0</v>
      </c>
      <c r="E622" s="1157" t="n">
        <v>92.3743016759777</v>
      </c>
      <c r="F622" s="1136" t="n">
        <f aca="false">D622*E622</f>
        <v>0</v>
      </c>
      <c r="G622" s="679"/>
      <c r="H622" s="1159"/>
      <c r="I622" s="1159"/>
      <c r="J622" s="1162"/>
      <c r="K622" s="1148"/>
      <c r="L622" s="906"/>
    </row>
    <row r="623" customFormat="false" ht="15.75" hidden="false" customHeight="true" outlineLevel="0" collapsed="false">
      <c r="A623" s="1140" t="s">
        <v>1409</v>
      </c>
      <c r="B623" s="1140"/>
      <c r="C623" s="707" t="s">
        <v>1407</v>
      </c>
      <c r="D623" s="1156" t="n">
        <f aca="false">C172+C173</f>
        <v>0</v>
      </c>
      <c r="E623" s="1157" t="n">
        <v>164.804469273743</v>
      </c>
      <c r="F623" s="1136" t="n">
        <f aca="false">D623*E623</f>
        <v>0</v>
      </c>
      <c r="G623" s="679"/>
      <c r="H623" s="1159"/>
      <c r="I623" s="1159"/>
      <c r="J623" s="1162"/>
      <c r="K623" s="1148"/>
      <c r="L623" s="906"/>
    </row>
    <row r="624" customFormat="false" ht="20" hidden="false" customHeight="true" outlineLevel="0" collapsed="false">
      <c r="A624" s="1155" t="s">
        <v>1410</v>
      </c>
      <c r="B624" s="1155"/>
      <c r="C624" s="707" t="s">
        <v>1404</v>
      </c>
      <c r="D624" s="1156" t="n">
        <f aca="false">B174</f>
        <v>0</v>
      </c>
      <c r="E624" s="1157" t="n">
        <v>368.659217877095</v>
      </c>
      <c r="F624" s="1136" t="n">
        <f aca="false">D624*E624</f>
        <v>0</v>
      </c>
      <c r="G624" s="1159"/>
      <c r="H624" s="1159"/>
      <c r="I624" s="1159"/>
      <c r="J624" s="1162"/>
      <c r="K624" s="1148"/>
      <c r="L624" s="906"/>
    </row>
    <row r="625" s="11" customFormat="true" ht="20" hidden="false" customHeight="true" outlineLevel="0" collapsed="false">
      <c r="A625" s="1155" t="s">
        <v>1411</v>
      </c>
      <c r="B625" s="1155"/>
      <c r="C625" s="707" t="s">
        <v>1412</v>
      </c>
      <c r="D625" s="823" t="n">
        <f aca="false">'Bilan apparent'!F46</f>
        <v>5420</v>
      </c>
      <c r="E625" s="1157" t="n">
        <v>1.46927374301676</v>
      </c>
      <c r="F625" s="1136" t="n">
        <f aca="false">D625*E625</f>
        <v>7963.46368715084</v>
      </c>
      <c r="G625" s="70"/>
      <c r="H625" s="70"/>
      <c r="I625" s="70"/>
      <c r="K625" s="1125"/>
      <c r="L625" s="1125"/>
    </row>
    <row r="626" s="11" customFormat="true" ht="20" hidden="false" customHeight="true" outlineLevel="0" collapsed="false">
      <c r="A626" s="1164"/>
      <c r="B626" s="1165"/>
      <c r="C626" s="1166"/>
      <c r="D626" s="1167"/>
      <c r="E626" s="1168" t="s">
        <v>1413</v>
      </c>
      <c r="F626" s="1169" t="n">
        <f aca="false">SUM(F617:F625)</f>
        <v>9874.0782122905</v>
      </c>
      <c r="G626" s="1170"/>
      <c r="H626" s="19"/>
      <c r="K626" s="1148"/>
      <c r="L626" s="906"/>
    </row>
    <row r="627" customFormat="false" ht="20" hidden="false" customHeight="true" outlineLevel="0" collapsed="false">
      <c r="Q627" s="70"/>
      <c r="R627" s="70"/>
    </row>
    <row r="628" customFormat="false" ht="20" hidden="false" customHeight="true" outlineLevel="0" collapsed="false">
      <c r="Q628" s="70"/>
      <c r="R628" s="70"/>
    </row>
    <row r="629" customFormat="false" ht="16" hidden="false" customHeight="false" outlineLevel="0" collapsed="false">
      <c r="A629" s="896" t="s">
        <v>1414</v>
      </c>
      <c r="B629" s="896"/>
      <c r="C629" s="896"/>
      <c r="D629" s="896"/>
      <c r="E629" s="896"/>
      <c r="F629" s="896"/>
      <c r="G629" s="896"/>
      <c r="H629" s="897"/>
      <c r="I629" s="897"/>
      <c r="J629" s="897"/>
      <c r="K629" s="898"/>
      <c r="L629" s="899" t="s">
        <v>1415</v>
      </c>
      <c r="M629" s="1104"/>
      <c r="Q629" s="70"/>
      <c r="R629" s="70"/>
    </row>
    <row r="630" s="11" customFormat="true" ht="15" hidden="false" customHeight="true" outlineLevel="0" collapsed="false">
      <c r="A630" s="1048"/>
      <c r="B630" s="1048"/>
      <c r="C630" s="1048"/>
      <c r="D630" s="1048"/>
      <c r="E630" s="1048"/>
      <c r="K630" s="458"/>
      <c r="L630" s="459"/>
      <c r="M630" s="1104"/>
      <c r="Q630" s="70"/>
      <c r="R630" s="70"/>
    </row>
    <row r="631" s="11" customFormat="true" ht="15" hidden="false" customHeight="true" outlineLevel="0" collapsed="false">
      <c r="A631" s="1171" t="s">
        <v>1416</v>
      </c>
      <c r="B631" s="1171"/>
      <c r="C631" s="1171"/>
      <c r="D631" s="1048"/>
      <c r="E631" s="1048"/>
      <c r="K631" s="458"/>
      <c r="L631" s="459"/>
      <c r="M631" s="1104"/>
      <c r="Q631" s="70"/>
      <c r="R631" s="70"/>
    </row>
    <row r="632" customFormat="false" ht="15" hidden="false" customHeight="true" outlineLevel="0" collapsed="false">
      <c r="A632" s="1172" t="s">
        <v>1417</v>
      </c>
      <c r="B632" s="1048"/>
      <c r="C632" s="1048"/>
      <c r="D632" s="1048"/>
      <c r="E632" s="1048"/>
      <c r="F632" s="1104"/>
      <c r="G632" s="1104"/>
      <c r="H632" s="1104"/>
      <c r="I632" s="1104"/>
      <c r="J632" s="1104"/>
      <c r="K632" s="1104"/>
      <c r="L632" s="459"/>
      <c r="M632" s="1104"/>
      <c r="Q632" s="70"/>
      <c r="R632" s="70"/>
    </row>
    <row r="633" customFormat="false" ht="20" hidden="false" customHeight="true" outlineLevel="0" collapsed="false">
      <c r="A633" s="69" t="s">
        <v>1418</v>
      </c>
      <c r="B633" s="1173"/>
      <c r="C633" s="635"/>
      <c r="D633" s="1174"/>
      <c r="E633" s="1174"/>
      <c r="F633" s="1104"/>
      <c r="G633" s="1104"/>
      <c r="H633" s="1104"/>
      <c r="I633" s="1104"/>
      <c r="J633" s="1104"/>
      <c r="K633" s="1104"/>
      <c r="L633" s="459"/>
      <c r="M633" s="146"/>
      <c r="Q633" s="70"/>
      <c r="R633" s="70"/>
    </row>
    <row r="634" customFormat="false" ht="20.25" hidden="false" customHeight="true" outlineLevel="0" collapsed="false">
      <c r="E634" s="1173"/>
      <c r="F634" s="1104"/>
      <c r="G634" s="1104"/>
      <c r="H634" s="1104"/>
      <c r="I634" s="1104"/>
      <c r="J634" s="1104"/>
      <c r="K634" s="1104"/>
      <c r="L634" s="459"/>
      <c r="M634" s="146"/>
      <c r="Q634" s="70"/>
      <c r="R634" s="70"/>
    </row>
    <row r="635" customFormat="false" ht="20.25" hidden="false" customHeight="true" outlineLevel="0" collapsed="false">
      <c r="A635" s="1172" t="s">
        <v>1419</v>
      </c>
      <c r="B635" s="422"/>
      <c r="D635" s="635"/>
      <c r="E635" s="1173"/>
      <c r="F635" s="1104"/>
      <c r="G635" s="1104"/>
      <c r="H635" s="1104"/>
      <c r="I635" s="1104"/>
      <c r="J635" s="1104"/>
      <c r="K635" s="1104"/>
      <c r="L635" s="459"/>
      <c r="M635" s="146"/>
      <c r="Q635" s="70"/>
      <c r="R635" s="70"/>
    </row>
    <row r="636" customFormat="false" ht="20" hidden="false" customHeight="true" outlineLevel="0" collapsed="false">
      <c r="A636" s="382" t="s">
        <v>1420</v>
      </c>
      <c r="B636" s="1098"/>
      <c r="C636" s="70"/>
      <c r="D636" s="1174" t="s">
        <v>242</v>
      </c>
      <c r="E636" s="1173"/>
      <c r="F636" s="1104"/>
      <c r="G636" s="1104"/>
      <c r="H636" s="1104"/>
      <c r="I636" s="1104"/>
      <c r="J636" s="1104"/>
      <c r="K636" s="1104"/>
      <c r="L636" s="459"/>
      <c r="M636" s="146"/>
      <c r="Q636" s="70"/>
      <c r="R636" s="70"/>
    </row>
    <row r="637" customFormat="false" ht="20" hidden="false" customHeight="true" outlineLevel="0" collapsed="false">
      <c r="F637" s="1104"/>
      <c r="G637" s="1104"/>
      <c r="H637" s="1104"/>
      <c r="I637" s="1104"/>
      <c r="J637" s="1104"/>
      <c r="K637" s="1104"/>
      <c r="L637" s="459"/>
      <c r="M637" s="146"/>
      <c r="Q637" s="70"/>
      <c r="R637" s="70"/>
    </row>
    <row r="638" customFormat="false" ht="21.75" hidden="false" customHeight="true" outlineLevel="0" collapsed="false">
      <c r="A638" s="1175" t="s">
        <v>1421</v>
      </c>
      <c r="B638" s="1175"/>
      <c r="C638" s="1175"/>
      <c r="D638" s="1174" t="s">
        <v>243</v>
      </c>
      <c r="E638" s="1173"/>
      <c r="F638" s="1104"/>
      <c r="G638" s="1104"/>
      <c r="H638" s="1104"/>
      <c r="I638" s="1104"/>
      <c r="J638" s="1104"/>
      <c r="K638" s="1104"/>
      <c r="L638" s="459"/>
      <c r="M638" s="146"/>
      <c r="Q638" s="70"/>
      <c r="R638" s="70"/>
      <c r="S638" s="70"/>
    </row>
    <row r="639" customFormat="false" ht="75" hidden="false" customHeight="true" outlineLevel="0" collapsed="false">
      <c r="A639" s="1176" t="s">
        <v>1422</v>
      </c>
      <c r="B639" s="1176"/>
      <c r="C639" s="1176"/>
      <c r="D639" s="1176"/>
      <c r="E639" s="1176"/>
      <c r="F639" s="314"/>
      <c r="G639" s="961"/>
      <c r="H639" s="1105"/>
      <c r="I639" s="70"/>
      <c r="K639" s="458"/>
      <c r="L639" s="459"/>
      <c r="M639" s="70"/>
      <c r="Q639" s="70"/>
      <c r="R639" s="70"/>
      <c r="S639" s="70"/>
    </row>
    <row r="640" customFormat="false" ht="20" hidden="false" customHeight="true" outlineLevel="0" collapsed="false">
      <c r="K640" s="458"/>
      <c r="L640" s="459"/>
      <c r="M640" s="146"/>
      <c r="Q640" s="70"/>
      <c r="R640" s="70"/>
      <c r="S640" s="70"/>
    </row>
    <row r="641" customFormat="false" ht="20" hidden="false" customHeight="true" outlineLevel="0" collapsed="false">
      <c r="A641" s="14" t="s">
        <v>1423</v>
      </c>
      <c r="B641" s="1177"/>
      <c r="C641" s="1178"/>
      <c r="D641" s="635"/>
      <c r="K641" s="458"/>
      <c r="L641" s="459"/>
      <c r="M641" s="146"/>
      <c r="Q641" s="70"/>
      <c r="R641" s="70"/>
      <c r="S641" s="70"/>
    </row>
    <row r="642" customFormat="false" ht="20" hidden="false" customHeight="true" outlineLevel="0" collapsed="false">
      <c r="A642" s="11" t="s">
        <v>564</v>
      </c>
      <c r="B642" s="1177"/>
      <c r="C642" s="1178"/>
      <c r="D642" s="1174" t="s">
        <v>242</v>
      </c>
      <c r="E642" s="146"/>
      <c r="K642" s="458"/>
      <c r="L642" s="459"/>
      <c r="M642" s="146"/>
      <c r="Q642" s="70"/>
      <c r="R642" s="70"/>
      <c r="S642" s="70"/>
    </row>
    <row r="643" customFormat="false" ht="20" hidden="false" customHeight="true" outlineLevel="0" collapsed="false">
      <c r="A643" s="14"/>
      <c r="B643" s="1177"/>
      <c r="C643" s="1178"/>
      <c r="D643" s="635"/>
      <c r="K643" s="458"/>
      <c r="L643" s="459"/>
      <c r="M643" s="146"/>
      <c r="Q643" s="70"/>
      <c r="R643" s="70"/>
      <c r="S643" s="70"/>
    </row>
    <row r="644" customFormat="false" ht="20" hidden="false" customHeight="true" outlineLevel="0" collapsed="false">
      <c r="A644" s="14" t="s">
        <v>1424</v>
      </c>
      <c r="D644" s="1179" t="n">
        <f aca="false">E645+E647+E649+E651</f>
        <v>0</v>
      </c>
      <c r="K644" s="458"/>
      <c r="L644" s="459"/>
      <c r="M644" s="146"/>
      <c r="Q644" s="70"/>
      <c r="R644" s="70"/>
      <c r="S644" s="70"/>
    </row>
    <row r="645" customFormat="false" ht="20" hidden="false" customHeight="true" outlineLevel="0" collapsed="false">
      <c r="A645" s="1180" t="s">
        <v>1425</v>
      </c>
      <c r="B645" s="1180"/>
      <c r="C645" s="1178"/>
      <c r="D645" s="1181" t="s">
        <v>243</v>
      </c>
      <c r="E645" s="1182" t="n">
        <f aca="false">IF(D645="oui",1,0)</f>
        <v>0</v>
      </c>
      <c r="K645" s="458"/>
      <c r="L645" s="459"/>
      <c r="M645" s="146"/>
      <c r="Q645" s="70"/>
      <c r="R645" s="70"/>
      <c r="S645" s="70"/>
    </row>
    <row r="646" customFormat="false" ht="20" hidden="false" customHeight="true" outlineLevel="0" collapsed="false">
      <c r="A646" s="1183" t="s">
        <v>1426</v>
      </c>
      <c r="B646" s="1180"/>
      <c r="C646" s="1178"/>
      <c r="E646" s="1182"/>
      <c r="K646" s="458"/>
      <c r="L646" s="459"/>
      <c r="M646" s="146"/>
      <c r="Q646" s="70"/>
      <c r="R646" s="70"/>
      <c r="S646" s="70"/>
    </row>
    <row r="647" customFormat="false" ht="19.5" hidden="false" customHeight="true" outlineLevel="0" collapsed="false">
      <c r="A647" s="1184" t="s">
        <v>1427</v>
      </c>
      <c r="B647" s="1184"/>
      <c r="C647" s="1184"/>
      <c r="D647" s="1181" t="s">
        <v>243</v>
      </c>
      <c r="E647" s="1182" t="n">
        <f aca="false">IF(D647="oui",1,0)</f>
        <v>0</v>
      </c>
      <c r="K647" s="458"/>
      <c r="L647" s="459"/>
      <c r="M647" s="146"/>
      <c r="Q647" s="70"/>
      <c r="R647" s="70"/>
      <c r="S647" s="70"/>
    </row>
    <row r="648" customFormat="false" ht="19.5" hidden="false" customHeight="true" outlineLevel="0" collapsed="false">
      <c r="A648" s="1183" t="s">
        <v>1428</v>
      </c>
      <c r="B648" s="1180"/>
      <c r="C648" s="1178"/>
      <c r="E648" s="1182"/>
      <c r="K648" s="458"/>
      <c r="L648" s="459"/>
      <c r="M648" s="146"/>
      <c r="Q648" s="70"/>
      <c r="R648" s="70"/>
      <c r="S648" s="70"/>
    </row>
    <row r="649" customFormat="false" ht="20" hidden="false" customHeight="true" outlineLevel="0" collapsed="false">
      <c r="A649" s="1180" t="s">
        <v>1429</v>
      </c>
      <c r="B649" s="1180"/>
      <c r="C649" s="1178"/>
      <c r="D649" s="1181" t="s">
        <v>243</v>
      </c>
      <c r="E649" s="1182" t="n">
        <f aca="false">IF(D649="oui",1,0)</f>
        <v>0</v>
      </c>
      <c r="K649" s="458"/>
      <c r="L649" s="459"/>
      <c r="M649" s="146"/>
      <c r="Q649" s="70"/>
      <c r="R649" s="70"/>
      <c r="S649" s="70"/>
    </row>
    <row r="650" customFormat="false" ht="20" hidden="false" customHeight="true" outlineLevel="0" collapsed="false">
      <c r="A650" s="1183" t="s">
        <v>1430</v>
      </c>
      <c r="B650" s="1180"/>
      <c r="C650" s="1178"/>
      <c r="E650" s="1182"/>
      <c r="K650" s="458"/>
      <c r="L650" s="459"/>
      <c r="M650" s="146"/>
      <c r="Q650" s="70"/>
      <c r="R650" s="70"/>
      <c r="S650" s="70"/>
    </row>
    <row r="651" customFormat="false" ht="20" hidden="false" customHeight="true" outlineLevel="0" collapsed="false">
      <c r="A651" s="1180" t="s">
        <v>1431</v>
      </c>
      <c r="B651" s="1180"/>
      <c r="C651" s="1178"/>
      <c r="D651" s="1181" t="s">
        <v>243</v>
      </c>
      <c r="E651" s="1182" t="n">
        <f aca="false">IF(D651="oui",1,0)</f>
        <v>0</v>
      </c>
      <c r="K651" s="458"/>
      <c r="L651" s="459"/>
      <c r="M651" s="146"/>
      <c r="Q651" s="70"/>
      <c r="R651" s="70"/>
      <c r="S651" s="70"/>
    </row>
    <row r="652" customFormat="false" ht="20" hidden="false" customHeight="true" outlineLevel="0" collapsed="false">
      <c r="A652" s="1183" t="s">
        <v>1432</v>
      </c>
      <c r="K652" s="458"/>
      <c r="L652" s="459"/>
      <c r="M652" s="146"/>
      <c r="Q652" s="70"/>
      <c r="R652" s="70"/>
      <c r="S652" s="70"/>
    </row>
    <row r="653" customFormat="false" ht="20" hidden="false" customHeight="true" outlineLevel="0" collapsed="false">
      <c r="K653" s="458"/>
      <c r="L653" s="459"/>
      <c r="M653" s="146"/>
      <c r="Q653" s="70"/>
      <c r="R653" s="70"/>
      <c r="S653" s="70"/>
    </row>
    <row r="654" customFormat="false" ht="20" hidden="false" customHeight="true" outlineLevel="0" collapsed="false">
      <c r="A654" s="1185" t="s">
        <v>1433</v>
      </c>
      <c r="B654" s="422"/>
      <c r="K654" s="458"/>
      <c r="L654" s="459"/>
      <c r="M654" s="146"/>
      <c r="Q654" s="70"/>
      <c r="R654" s="70"/>
      <c r="S654" s="70"/>
    </row>
    <row r="655" customFormat="false" ht="20" hidden="false" customHeight="true" outlineLevel="0" collapsed="false">
      <c r="A655" s="16" t="s">
        <v>1434</v>
      </c>
      <c r="E655" s="910"/>
      <c r="F655" s="314"/>
      <c r="G655" s="639"/>
      <c r="H655" s="1174" t="s">
        <v>243</v>
      </c>
      <c r="K655" s="458"/>
      <c r="L655" s="459"/>
      <c r="M655" s="146"/>
      <c r="Q655" s="70"/>
      <c r="R655" s="70"/>
      <c r="S655" s="70"/>
    </row>
    <row r="656" customFormat="false" ht="20" hidden="false" customHeight="true" outlineLevel="0" collapsed="false">
      <c r="I656" s="1182"/>
      <c r="J656" s="909"/>
      <c r="K656" s="926"/>
      <c r="L656" s="1083"/>
      <c r="M656" s="70"/>
      <c r="Q656" s="70"/>
      <c r="R656" s="70"/>
      <c r="S656" s="70"/>
    </row>
    <row r="657" customFormat="false" ht="20" hidden="false" customHeight="true" outlineLevel="0" collapsed="false">
      <c r="A657" s="1186"/>
      <c r="D657" s="910"/>
      <c r="F657" s="15"/>
      <c r="K657" s="458"/>
      <c r="L657" s="1187"/>
      <c r="M657" s="70"/>
      <c r="Q657" s="70"/>
      <c r="R657" s="70"/>
      <c r="S657" s="70"/>
    </row>
    <row r="658" customFormat="false" ht="20" hidden="false" customHeight="true" outlineLevel="0" collapsed="false">
      <c r="A658" s="896" t="s">
        <v>1435</v>
      </c>
      <c r="B658" s="896"/>
      <c r="C658" s="896"/>
      <c r="D658" s="896"/>
      <c r="E658" s="896"/>
      <c r="F658" s="896"/>
      <c r="G658" s="896"/>
      <c r="H658" s="897"/>
      <c r="I658" s="897"/>
      <c r="J658" s="897"/>
      <c r="K658" s="898"/>
      <c r="L658" s="899" t="s">
        <v>1347</v>
      </c>
      <c r="M658" s="146"/>
      <c r="Q658" s="70"/>
      <c r="R658" s="70"/>
      <c r="S658" s="70"/>
    </row>
    <row r="659" s="11" customFormat="true" ht="20" hidden="false" customHeight="true" outlineLevel="0" collapsed="false">
      <c r="M659" s="146"/>
      <c r="Q659" s="70"/>
      <c r="R659" s="70"/>
      <c r="S659" s="70"/>
    </row>
    <row r="660" customFormat="false" ht="20" hidden="false" customHeight="true" outlineLevel="0" collapsed="false">
      <c r="A660" s="1185" t="s">
        <v>1436</v>
      </c>
      <c r="B660" s="1188"/>
      <c r="C660" s="1188"/>
      <c r="D660" s="1189" t="s">
        <v>91</v>
      </c>
      <c r="E660" s="1190"/>
      <c r="F660" s="1191" t="s">
        <v>1437</v>
      </c>
      <c r="G660" s="961"/>
      <c r="H660" s="1192"/>
      <c r="I660" s="961"/>
      <c r="J660" s="1013"/>
      <c r="K660" s="458"/>
      <c r="L660" s="459"/>
      <c r="M660" s="1104"/>
      <c r="Q660" s="70"/>
      <c r="R660" s="70"/>
      <c r="S660" s="70"/>
    </row>
    <row r="661" customFormat="false" ht="20" hidden="false" customHeight="true" outlineLevel="0" collapsed="false">
      <c r="A661" s="1193" t="s">
        <v>509</v>
      </c>
      <c r="B661" s="1193"/>
      <c r="C661" s="1193"/>
      <c r="D661" s="1194" t="n">
        <v>0</v>
      </c>
      <c r="E661" s="639"/>
      <c r="F661" s="1195" t="n">
        <f aca="false">D661/B13</f>
        <v>0</v>
      </c>
      <c r="G661" s="314"/>
      <c r="H661" s="314"/>
      <c r="I661" s="314"/>
      <c r="J661" s="314"/>
      <c r="K661" s="314"/>
      <c r="L661" s="459"/>
      <c r="M661" s="1104"/>
      <c r="Q661" s="70"/>
      <c r="R661" s="70"/>
      <c r="S661" s="70"/>
    </row>
    <row r="662" customFormat="false" ht="20" hidden="false" customHeight="true" outlineLevel="0" collapsed="false">
      <c r="A662" s="1196" t="s">
        <v>1438</v>
      </c>
      <c r="B662" s="1197"/>
      <c r="C662" s="1197"/>
      <c r="D662" s="1197"/>
      <c r="E662" s="1197"/>
      <c r="F662" s="314"/>
      <c r="G662" s="314"/>
      <c r="H662" s="314"/>
      <c r="I662" s="314"/>
      <c r="J662" s="314"/>
      <c r="K662" s="314"/>
      <c r="L662" s="639"/>
      <c r="M662" s="1104"/>
      <c r="Q662" s="70"/>
      <c r="R662" s="70"/>
      <c r="S662" s="70"/>
    </row>
    <row r="663" customFormat="false" ht="20" hidden="false" customHeight="true" outlineLevel="0" collapsed="false">
      <c r="A663" s="1198"/>
      <c r="B663" s="1199"/>
      <c r="C663" s="1199"/>
      <c r="D663" s="1199"/>
      <c r="E663" s="1199"/>
      <c r="F663" s="1139"/>
      <c r="G663" s="1139"/>
      <c r="H663" s="1139"/>
      <c r="I663" s="1139"/>
      <c r="J663" s="1139"/>
      <c r="K663" s="1139"/>
      <c r="L663" s="1200"/>
      <c r="M663" s="1201"/>
      <c r="Q663" s="70"/>
      <c r="R663" s="70"/>
      <c r="S663" s="70"/>
    </row>
    <row r="664" customFormat="false" ht="20" hidden="false" customHeight="true" outlineLevel="0" collapsed="false">
      <c r="A664" s="1202" t="s">
        <v>511</v>
      </c>
      <c r="B664" s="1202"/>
      <c r="C664" s="1202"/>
      <c r="D664" s="1107" t="s">
        <v>243</v>
      </c>
      <c r="E664" s="639"/>
      <c r="F664" s="639"/>
      <c r="G664" s="639"/>
      <c r="H664" s="639"/>
      <c r="I664" s="639"/>
      <c r="J664" s="639"/>
      <c r="K664" s="458"/>
      <c r="L664" s="459"/>
      <c r="M664" s="1104"/>
      <c r="Q664" s="70"/>
      <c r="R664" s="70"/>
      <c r="S664" s="70"/>
    </row>
    <row r="665" customFormat="false" ht="20" hidden="false" customHeight="true" outlineLevel="0" collapsed="false">
      <c r="A665" s="1085"/>
      <c r="B665" s="639"/>
      <c r="C665" s="639"/>
      <c r="D665" s="639"/>
      <c r="E665" s="639"/>
      <c r="F665" s="639"/>
      <c r="G665" s="639"/>
      <c r="H665" s="639"/>
      <c r="I665" s="639"/>
      <c r="J665" s="639"/>
      <c r="K665" s="458"/>
      <c r="L665" s="459"/>
      <c r="M665" s="1104"/>
      <c r="Q665" s="70"/>
      <c r="R665" s="70"/>
      <c r="S665" s="70"/>
    </row>
    <row r="666" customFormat="false" ht="20" hidden="false" customHeight="true" outlineLevel="0" collapsed="false">
      <c r="A666" s="1202" t="s">
        <v>512</v>
      </c>
      <c r="B666" s="1202"/>
      <c r="C666" s="1202"/>
      <c r="D666" s="1107" t="s">
        <v>243</v>
      </c>
      <c r="E666" s="1190"/>
      <c r="F666" s="639"/>
      <c r="G666" s="961"/>
      <c r="H666" s="1192"/>
      <c r="I666" s="961"/>
      <c r="J666" s="1013"/>
      <c r="K666" s="458"/>
      <c r="L666" s="459"/>
      <c r="M666" s="1104"/>
      <c r="Q666" s="70"/>
      <c r="R666" s="70"/>
      <c r="S666" s="70"/>
    </row>
    <row r="667" customFormat="false" ht="20" hidden="false" customHeight="true" outlineLevel="0" collapsed="false">
      <c r="A667" s="14"/>
      <c r="B667" s="1188"/>
      <c r="C667" s="1188"/>
      <c r="D667" s="1190"/>
      <c r="E667" s="1190"/>
      <c r="F667" s="314"/>
      <c r="G667" s="1071"/>
      <c r="H667" s="1203"/>
      <c r="I667" s="639"/>
      <c r="J667" s="1013"/>
      <c r="K667" s="926"/>
      <c r="L667" s="459"/>
      <c r="M667" s="1104"/>
      <c r="Q667" s="70"/>
      <c r="R667" s="70"/>
      <c r="S667" s="70"/>
    </row>
    <row r="668" customFormat="false" ht="20" hidden="false" customHeight="true" outlineLevel="0" collapsed="false">
      <c r="A668" s="1185" t="s">
        <v>514</v>
      </c>
      <c r="B668" s="1188"/>
      <c r="C668" s="1188"/>
      <c r="D668" s="1190"/>
      <c r="E668" s="1189" t="s">
        <v>91</v>
      </c>
      <c r="F668" s="1071"/>
      <c r="G668" s="961"/>
      <c r="H668" s="1191" t="s">
        <v>1437</v>
      </c>
      <c r="I668" s="1094"/>
      <c r="J668" s="1009"/>
      <c r="K668" s="458"/>
      <c r="L668" s="459"/>
      <c r="M668" s="1104"/>
      <c r="Q668" s="70"/>
      <c r="R668" s="70"/>
      <c r="S668" s="70"/>
    </row>
    <row r="669" customFormat="false" ht="20" hidden="false" customHeight="true" outlineLevel="0" collapsed="false">
      <c r="A669" s="1204" t="s">
        <v>1439</v>
      </c>
      <c r="B669" s="1204"/>
      <c r="C669" s="1204"/>
      <c r="D669" s="940" t="s">
        <v>1440</v>
      </c>
      <c r="E669" s="1194" t="n">
        <f aca="false">64.06+55.02+4.9</f>
        <v>123.98</v>
      </c>
      <c r="F669" s="1071"/>
      <c r="G669" s="961"/>
      <c r="H669" s="1195" t="n">
        <f aca="false">E669/B13</f>
        <v>0.724520804114072</v>
      </c>
      <c r="I669" s="1094"/>
      <c r="J669" s="1009"/>
      <c r="K669" s="458"/>
      <c r="L669" s="459"/>
      <c r="M669" s="1104"/>
      <c r="Q669" s="70"/>
      <c r="R669" s="70"/>
      <c r="S669" s="70"/>
    </row>
    <row r="670" customFormat="false" ht="20" hidden="false" customHeight="true" outlineLevel="0" collapsed="false">
      <c r="A670" s="1204" t="s">
        <v>1441</v>
      </c>
      <c r="B670" s="1204"/>
      <c r="C670" s="1204"/>
      <c r="D670" s="940" t="s">
        <v>1442</v>
      </c>
      <c r="E670" s="1194" t="n">
        <v>64.06</v>
      </c>
      <c r="F670" s="1071"/>
      <c r="G670" s="961"/>
      <c r="H670" s="1195" t="n">
        <f aca="false">E670/B13</f>
        <v>0.374357176250584</v>
      </c>
      <c r="I670" s="1094"/>
      <c r="J670" s="1009"/>
      <c r="K670" s="458"/>
      <c r="L670" s="459"/>
      <c r="M670" s="1104"/>
      <c r="Q670" s="70"/>
      <c r="R670" s="70"/>
      <c r="S670" s="70"/>
    </row>
    <row r="671" customFormat="false" ht="20" hidden="false" customHeight="true" outlineLevel="0" collapsed="false">
      <c r="A671" s="1204" t="s">
        <v>1443</v>
      </c>
      <c r="B671" s="1204"/>
      <c r="C671" s="1204"/>
      <c r="D671" s="1008"/>
      <c r="E671" s="1194" t="n">
        <f aca="false">64.06+55.02</f>
        <v>119.08</v>
      </c>
      <c r="F671" s="73"/>
      <c r="G671" s="1205"/>
      <c r="H671" s="1195" t="n">
        <f aca="false">E671/B13</f>
        <v>0.69588592800374</v>
      </c>
      <c r="J671" s="1094"/>
      <c r="K671" s="458"/>
      <c r="L671" s="459"/>
      <c r="M671" s="1104"/>
      <c r="Q671" s="70"/>
      <c r="R671" s="70"/>
      <c r="S671" s="70"/>
    </row>
    <row r="672" customFormat="false" ht="20" hidden="false" customHeight="true" outlineLevel="0" collapsed="false">
      <c r="A672" s="1206"/>
      <c r="B672" s="1207"/>
      <c r="C672" s="1207"/>
      <c r="D672" s="989"/>
      <c r="E672" s="989"/>
      <c r="F672" s="1208"/>
      <c r="G672" s="989"/>
      <c r="H672" s="1094"/>
      <c r="I672" s="1094"/>
      <c r="J672" s="14"/>
      <c r="K672" s="1209"/>
      <c r="L672" s="1210"/>
      <c r="M672" s="1104"/>
      <c r="Q672" s="70"/>
      <c r="R672" s="70"/>
      <c r="S672" s="70"/>
    </row>
    <row r="673" customFormat="false" ht="20" hidden="false" customHeight="true" outlineLevel="0" collapsed="false">
      <c r="A673" s="1202" t="s">
        <v>518</v>
      </c>
      <c r="B673" s="1202"/>
      <c r="C673" s="1202"/>
      <c r="D673" s="1174" t="s">
        <v>243</v>
      </c>
      <c r="E673" s="989"/>
      <c r="F673" s="1208"/>
      <c r="G673" s="989"/>
      <c r="H673" s="1094"/>
      <c r="I673" s="1094"/>
      <c r="J673" s="14"/>
      <c r="K673" s="1209"/>
      <c r="L673" s="1210"/>
      <c r="M673" s="1104"/>
      <c r="Q673" s="70"/>
      <c r="R673" s="70"/>
      <c r="S673" s="70"/>
    </row>
    <row r="674" customFormat="false" ht="20" hidden="false" customHeight="true" outlineLevel="0" collapsed="false">
      <c r="A674" s="1206"/>
      <c r="B674" s="1207"/>
      <c r="C674" s="1207"/>
      <c r="D674" s="989"/>
      <c r="E674" s="989"/>
      <c r="F674" s="1208"/>
      <c r="G674" s="989"/>
      <c r="H674" s="1094"/>
      <c r="I674" s="1094"/>
      <c r="J674" s="14"/>
      <c r="K674" s="1209"/>
      <c r="L674" s="1210"/>
      <c r="M674" s="1104"/>
      <c r="Q674" s="70"/>
      <c r="R674" s="70"/>
      <c r="S674" s="70"/>
    </row>
    <row r="675" customFormat="false" ht="20" hidden="false" customHeight="true" outlineLevel="0" collapsed="false">
      <c r="A675" s="14" t="s">
        <v>519</v>
      </c>
      <c r="B675" s="635"/>
      <c r="C675" s="635"/>
      <c r="D675" s="910"/>
      <c r="F675" s="314"/>
      <c r="G675" s="961"/>
      <c r="H675" s="1105"/>
      <c r="K675" s="458"/>
      <c r="L675" s="459"/>
      <c r="M675" s="146"/>
      <c r="Q675" s="70"/>
      <c r="R675" s="70"/>
      <c r="S675" s="70"/>
    </row>
    <row r="676" customFormat="false" ht="20" hidden="false" customHeight="true" outlineLevel="0" collapsed="false">
      <c r="A676" s="1211" t="s">
        <v>520</v>
      </c>
      <c r="B676" s="1008"/>
      <c r="C676" s="1008"/>
      <c r="D676" s="978"/>
      <c r="E676" s="1107" t="s">
        <v>243</v>
      </c>
      <c r="F676" s="1060" t="s">
        <v>1444</v>
      </c>
      <c r="G676" s="1212"/>
      <c r="H676" s="1212"/>
      <c r="I676" s="1212"/>
      <c r="J676" s="1212"/>
      <c r="K676" s="1072"/>
      <c r="L676" s="459"/>
      <c r="M676" s="1104"/>
      <c r="Q676" s="70"/>
      <c r="R676" s="70"/>
      <c r="S676" s="70"/>
    </row>
    <row r="677" customFormat="false" ht="20" hidden="false" customHeight="true" outlineLevel="0" collapsed="false">
      <c r="A677" s="1213" t="s">
        <v>1445</v>
      </c>
      <c r="B677" s="1213"/>
      <c r="C677" s="1213"/>
      <c r="D677" s="1213"/>
      <c r="E677" s="1213"/>
      <c r="F677" s="314"/>
      <c r="G677" s="1212"/>
      <c r="H677" s="1212"/>
      <c r="I677" s="1212"/>
      <c r="J677" s="1212"/>
      <c r="K677" s="1072"/>
      <c r="L677" s="459"/>
      <c r="M677" s="1104"/>
      <c r="Q677" s="70"/>
      <c r="R677" s="70"/>
      <c r="S677" s="70"/>
    </row>
    <row r="678" customFormat="false" ht="20" hidden="false" customHeight="true" outlineLevel="0" collapsed="false">
      <c r="A678" s="1213"/>
      <c r="B678" s="1213"/>
      <c r="C678" s="1213"/>
      <c r="D678" s="1213"/>
      <c r="E678" s="1213"/>
      <c r="F678" s="314"/>
      <c r="G678" s="1212"/>
      <c r="H678" s="1212"/>
      <c r="I678" s="1212"/>
      <c r="J678" s="1212"/>
      <c r="K678" s="1072"/>
      <c r="L678" s="459"/>
      <c r="M678" s="1104"/>
      <c r="Q678" s="70"/>
      <c r="R678" s="70"/>
      <c r="S678" s="70"/>
    </row>
    <row r="679" customFormat="false" ht="20" hidden="false" customHeight="true" outlineLevel="0" collapsed="false">
      <c r="A679" s="1214"/>
      <c r="B679" s="635"/>
      <c r="C679" s="635"/>
      <c r="D679" s="910"/>
      <c r="E679" s="910"/>
      <c r="F679" s="314"/>
      <c r="G679" s="961"/>
      <c r="H679" s="1105"/>
      <c r="I679" s="70"/>
      <c r="J679" s="909"/>
      <c r="K679" s="458"/>
      <c r="L679" s="459"/>
      <c r="M679" s="1104"/>
      <c r="Q679" s="70"/>
      <c r="R679" s="70"/>
      <c r="S679" s="70"/>
    </row>
    <row r="680" customFormat="false" ht="20" hidden="false" customHeight="true" outlineLevel="0" collapsed="false">
      <c r="A680" s="34"/>
      <c r="B680" s="34"/>
      <c r="C680" s="978"/>
      <c r="D680" s="978"/>
      <c r="E680" s="1071"/>
      <c r="F680" s="314"/>
      <c r="G680" s="1071"/>
      <c r="H680" s="314"/>
      <c r="I680" s="1068"/>
      <c r="J680" s="1069"/>
      <c r="M680" s="1104"/>
      <c r="Q680" s="70"/>
      <c r="R680" s="70"/>
      <c r="S680" s="70"/>
    </row>
    <row r="681" customFormat="false" ht="20" hidden="false" customHeight="true" outlineLevel="0" collapsed="false">
      <c r="A681" s="896" t="s">
        <v>1446</v>
      </c>
      <c r="B681" s="896"/>
      <c r="C681" s="896"/>
      <c r="D681" s="896"/>
      <c r="E681" s="896"/>
      <c r="F681" s="896"/>
      <c r="G681" s="896"/>
      <c r="H681" s="897"/>
      <c r="I681" s="897"/>
      <c r="J681" s="897"/>
      <c r="K681" s="898"/>
      <c r="L681" s="899" t="s">
        <v>1447</v>
      </c>
      <c r="M681" s="146"/>
      <c r="Q681" s="70"/>
      <c r="R681" s="70"/>
      <c r="S681" s="70"/>
    </row>
    <row r="682" customFormat="false" ht="20" hidden="false" customHeight="true" outlineLevel="0" collapsed="false">
      <c r="A682" s="1048"/>
      <c r="B682" s="1048"/>
      <c r="C682" s="1048"/>
      <c r="D682" s="1048"/>
      <c r="E682" s="1048"/>
      <c r="F682" s="1048"/>
      <c r="G682" s="416"/>
      <c r="H682" s="417"/>
      <c r="I682" s="418"/>
      <c r="J682" s="419"/>
      <c r="K682" s="893"/>
      <c r="L682" s="895"/>
      <c r="M682" s="146"/>
      <c r="Q682" s="70"/>
      <c r="R682" s="70"/>
      <c r="S682" s="70"/>
    </row>
    <row r="683" customFormat="false" ht="20" hidden="false" customHeight="true" outlineLevel="0" collapsed="false">
      <c r="A683" s="456" t="s">
        <v>1448</v>
      </c>
      <c r="B683" s="456"/>
      <c r="C683" s="456"/>
      <c r="D683" s="1215" t="s">
        <v>1449</v>
      </c>
      <c r="E683" s="1215"/>
      <c r="F683" s="1074"/>
      <c r="G683" s="416"/>
      <c r="H683" s="417"/>
      <c r="I683" s="418"/>
      <c r="J683" s="419"/>
      <c r="K683" s="893"/>
      <c r="L683" s="895"/>
      <c r="M683" s="146"/>
      <c r="Q683" s="70"/>
      <c r="R683" s="70"/>
      <c r="S683" s="70"/>
    </row>
    <row r="684" customFormat="false" ht="20" hidden="false" customHeight="true" outlineLevel="0" collapsed="false">
      <c r="A684" s="1216" t="s">
        <v>1450</v>
      </c>
      <c r="B684" s="1216"/>
      <c r="C684" s="1216"/>
      <c r="G684" s="416"/>
      <c r="H684" s="417"/>
      <c r="I684" s="418"/>
      <c r="J684" s="419"/>
      <c r="K684" s="893"/>
      <c r="L684" s="895" t="s">
        <v>1296</v>
      </c>
      <c r="M684" s="146"/>
      <c r="Q684" s="70"/>
      <c r="R684" s="70"/>
      <c r="S684" s="70"/>
    </row>
    <row r="685" s="11" customFormat="true" ht="20" hidden="false" customHeight="true" outlineLevel="0" collapsed="false">
      <c r="A685" s="1217" t="s">
        <v>478</v>
      </c>
      <c r="B685" s="1217"/>
      <c r="C685" s="1217"/>
      <c r="D685" s="1107" t="s">
        <v>480</v>
      </c>
      <c r="E685" s="1218"/>
      <c r="K685" s="458"/>
      <c r="L685" s="459"/>
      <c r="M685" s="146"/>
      <c r="Q685" s="70"/>
      <c r="R685" s="70"/>
      <c r="S685" s="70"/>
    </row>
    <row r="686" s="11" customFormat="true" ht="20" hidden="false" customHeight="true" outlineLevel="0" collapsed="false">
      <c r="B686" s="15"/>
      <c r="K686" s="458"/>
      <c r="L686" s="459"/>
      <c r="M686" s="382"/>
      <c r="Q686" s="70"/>
      <c r="R686" s="70"/>
      <c r="S686" s="70"/>
    </row>
    <row r="687" customFormat="false" ht="20" hidden="false" customHeight="true" outlineLevel="0" collapsed="false">
      <c r="A687" s="1216" t="s">
        <v>1451</v>
      </c>
      <c r="B687" s="1216"/>
      <c r="C687" s="1216"/>
      <c r="K687" s="458"/>
      <c r="L687" s="459" t="s">
        <v>1452</v>
      </c>
      <c r="M687" s="146"/>
      <c r="Q687" s="70"/>
      <c r="R687" s="70"/>
      <c r="S687" s="70"/>
    </row>
    <row r="688" customFormat="false" ht="20" hidden="false" customHeight="true" outlineLevel="0" collapsed="false">
      <c r="B688" s="15"/>
      <c r="K688" s="458"/>
      <c r="L688" s="459"/>
      <c r="M688" s="146"/>
      <c r="Q688" s="70"/>
      <c r="R688" s="70"/>
      <c r="S688" s="70"/>
    </row>
    <row r="689" customFormat="false" ht="20" hidden="false" customHeight="true" outlineLevel="0" collapsed="false">
      <c r="A689" s="1219" t="s">
        <v>1453</v>
      </c>
      <c r="B689" s="1219"/>
      <c r="C689" s="1181" t="s">
        <v>1454</v>
      </c>
      <c r="D689" s="1219" t="s">
        <v>1455</v>
      </c>
      <c r="E689" s="1219"/>
      <c r="F689" s="1181" t="s">
        <v>1456</v>
      </c>
      <c r="K689" s="458"/>
      <c r="L689" s="459"/>
      <c r="M689" s="146"/>
      <c r="P689" s="1220"/>
      <c r="Q689" s="70"/>
      <c r="R689" s="70"/>
      <c r="S689" s="70"/>
    </row>
    <row r="690" s="11" customFormat="true" ht="36" hidden="false" customHeight="true" outlineLevel="0" collapsed="false">
      <c r="A690" s="70"/>
      <c r="D690" s="1221" t="s">
        <v>1457</v>
      </c>
      <c r="E690" s="1221"/>
      <c r="F690" s="70"/>
      <c r="G690" s="70"/>
      <c r="H690" s="70"/>
      <c r="I690" s="70"/>
      <c r="K690" s="458"/>
      <c r="L690" s="459"/>
      <c r="M690" s="146"/>
      <c r="P690" s="1220"/>
      <c r="Q690" s="70"/>
      <c r="R690" s="1222"/>
      <c r="S690" s="70"/>
    </row>
    <row r="691" s="11" customFormat="true" ht="43" hidden="false" customHeight="true" outlineLevel="0" collapsed="false">
      <c r="A691" s="70"/>
      <c r="B691" s="1127" t="s">
        <v>1458</v>
      </c>
      <c r="C691" s="1127"/>
      <c r="D691" s="1223" t="s">
        <v>1459</v>
      </c>
      <c r="E691" s="1224" t="s">
        <v>1460</v>
      </c>
      <c r="F691" s="70"/>
      <c r="G691" s="1121" t="s">
        <v>1378</v>
      </c>
      <c r="H691" s="1122" t="n">
        <v>4</v>
      </c>
      <c r="I691" s="70"/>
      <c r="K691" s="458"/>
      <c r="L691" s="459"/>
      <c r="M691" s="146"/>
      <c r="P691" s="1220"/>
      <c r="Q691" s="70"/>
      <c r="R691" s="1222"/>
      <c r="S691" s="70"/>
    </row>
    <row r="692" s="11" customFormat="true" ht="20" hidden="false" customHeight="true" outlineLevel="0" collapsed="false">
      <c r="A692" s="70"/>
      <c r="B692" s="1225" t="s">
        <v>1461</v>
      </c>
      <c r="C692" s="1225"/>
      <c r="D692" s="1226" t="n">
        <v>0</v>
      </c>
      <c r="E692" s="1227" t="n">
        <v>4</v>
      </c>
      <c r="F692" s="70"/>
      <c r="G692" s="1121"/>
      <c r="H692" s="1122"/>
      <c r="I692" s="70"/>
      <c r="K692" s="458"/>
      <c r="L692" s="459"/>
      <c r="M692" s="146"/>
      <c r="P692" s="1220"/>
      <c r="Q692" s="70"/>
      <c r="R692" s="1222"/>
      <c r="S692" s="70"/>
    </row>
    <row r="693" s="11" customFormat="true" ht="20" hidden="false" customHeight="true" outlineLevel="0" collapsed="false">
      <c r="A693" s="1004"/>
      <c r="B693" s="1228" t="s">
        <v>1462</v>
      </c>
      <c r="C693" s="1228"/>
      <c r="D693" s="1226"/>
      <c r="E693" s="931" t="n">
        <v>2</v>
      </c>
      <c r="F693" s="70"/>
      <c r="G693" s="1121" t="s">
        <v>1378</v>
      </c>
      <c r="H693" s="1122"/>
      <c r="I693" s="70"/>
      <c r="K693" s="458"/>
      <c r="L693" s="459"/>
      <c r="M693" s="146"/>
      <c r="P693" s="1220"/>
      <c r="Q693" s="70"/>
      <c r="R693" s="1222"/>
      <c r="S693" s="70"/>
    </row>
    <row r="694" customFormat="false" ht="20" hidden="false" customHeight="true" outlineLevel="0" collapsed="false">
      <c r="A694" s="1229"/>
      <c r="B694" s="1229"/>
      <c r="C694" s="1229"/>
      <c r="D694" s="1229"/>
      <c r="E694" s="1229"/>
      <c r="F694" s="70"/>
      <c r="G694" s="70"/>
      <c r="H694" s="70"/>
      <c r="I694" s="70"/>
      <c r="J694" s="1230"/>
      <c r="K694" s="458"/>
      <c r="L694" s="459"/>
      <c r="M694" s="382"/>
      <c r="P694" s="1220"/>
      <c r="Q694" s="70"/>
      <c r="R694" s="70"/>
      <c r="S694" s="70"/>
    </row>
    <row r="695" s="11" customFormat="true" ht="20" hidden="false" customHeight="true" outlineLevel="0" collapsed="false">
      <c r="M695" s="146"/>
      <c r="P695" s="1220"/>
      <c r="Q695" s="70"/>
      <c r="R695" s="70"/>
      <c r="S695" s="70"/>
    </row>
    <row r="696" customFormat="false" ht="20" hidden="false" customHeight="true" outlineLevel="0" collapsed="false">
      <c r="A696" s="896" t="s">
        <v>1463</v>
      </c>
      <c r="B696" s="896"/>
      <c r="C696" s="896"/>
      <c r="D696" s="896"/>
      <c r="E696" s="896"/>
      <c r="F696" s="896"/>
      <c r="G696" s="896"/>
      <c r="H696" s="897"/>
      <c r="I696" s="897"/>
      <c r="J696" s="897"/>
      <c r="K696" s="898"/>
      <c r="L696" s="899" t="s">
        <v>1464</v>
      </c>
      <c r="M696" s="146"/>
      <c r="P696" s="1220"/>
      <c r="Q696" s="70"/>
      <c r="R696" s="70"/>
      <c r="S696" s="70"/>
    </row>
    <row r="697" customFormat="false" ht="20" hidden="false" customHeight="true" outlineLevel="0" collapsed="false">
      <c r="A697" s="1048"/>
      <c r="B697" s="1048"/>
      <c r="C697" s="1048"/>
      <c r="D697" s="1048"/>
      <c r="E697" s="1048"/>
      <c r="F697" s="1048"/>
      <c r="G697" s="428"/>
      <c r="H697" s="428"/>
      <c r="I697" s="428"/>
      <c r="J697" s="1043"/>
      <c r="K697" s="458"/>
      <c r="L697" s="459"/>
      <c r="M697" s="146"/>
      <c r="P697" s="1220"/>
      <c r="Q697" s="70"/>
      <c r="R697" s="70"/>
      <c r="S697" s="70"/>
    </row>
    <row r="698" customFormat="false" ht="20" hidden="false" customHeight="true" outlineLevel="0" collapsed="false">
      <c r="A698" s="1231" t="s">
        <v>632</v>
      </c>
      <c r="B698" s="1231"/>
      <c r="C698" s="1231"/>
      <c r="D698" s="1231"/>
      <c r="E698" s="1231"/>
      <c r="F698" s="1058" t="s">
        <v>634</v>
      </c>
      <c r="G698" s="70"/>
      <c r="H698" s="382"/>
      <c r="I698" s="382"/>
      <c r="J698" s="1008"/>
      <c r="K698" s="1008"/>
      <c r="L698" s="459" t="s">
        <v>1324</v>
      </c>
      <c r="M698" s="382"/>
      <c r="P698" s="1220"/>
      <c r="Q698" s="70"/>
      <c r="R698" s="70"/>
      <c r="S698" s="70"/>
      <c r="BF698" s="12"/>
      <c r="BG698" s="934"/>
      <c r="BH698" s="906"/>
    </row>
    <row r="699" customFormat="false" ht="20" hidden="false" customHeight="true" outlineLevel="0" collapsed="false">
      <c r="A699" s="1232" t="s">
        <v>1465</v>
      </c>
      <c r="B699" s="1232"/>
      <c r="C699" s="1232"/>
      <c r="D699" s="1232"/>
      <c r="E699" s="382"/>
      <c r="F699" s="1233" t="s">
        <v>634</v>
      </c>
      <c r="G699" s="1234" t="s">
        <v>635</v>
      </c>
      <c r="H699" s="1234"/>
      <c r="I699" s="1234"/>
      <c r="J699" s="1234"/>
      <c r="K699" s="1234"/>
      <c r="L699" s="1234"/>
      <c r="M699" s="382"/>
      <c r="P699" s="1220"/>
      <c r="Q699" s="70"/>
      <c r="R699" s="70"/>
      <c r="S699" s="70"/>
    </row>
    <row r="700" customFormat="false" ht="20" hidden="false" customHeight="true" outlineLevel="0" collapsed="false">
      <c r="A700" s="639"/>
      <c r="B700" s="1235"/>
      <c r="C700" s="1235"/>
      <c r="D700" s="146"/>
      <c r="E700" s="382"/>
      <c r="F700" s="1233" t="s">
        <v>636</v>
      </c>
      <c r="G700" s="1234" t="s">
        <v>1466</v>
      </c>
      <c r="H700" s="1234"/>
      <c r="I700" s="1234"/>
      <c r="J700" s="1234"/>
      <c r="K700" s="1234"/>
      <c r="L700" s="1234"/>
      <c r="M700" s="382"/>
      <c r="P700" s="1220"/>
      <c r="Q700" s="70"/>
      <c r="R700" s="70"/>
      <c r="S700" s="70"/>
    </row>
    <row r="701" customFormat="false" ht="20" hidden="false" customHeight="true" outlineLevel="0" collapsed="false">
      <c r="A701" s="639"/>
      <c r="B701" s="1235"/>
      <c r="C701" s="1235"/>
      <c r="D701" s="146"/>
      <c r="E701" s="382"/>
      <c r="F701" s="1233" t="s">
        <v>638</v>
      </c>
      <c r="G701" s="1234" t="s">
        <v>639</v>
      </c>
      <c r="H701" s="1234"/>
      <c r="I701" s="1234"/>
      <c r="J701" s="1234"/>
      <c r="K701" s="1234"/>
      <c r="L701" s="1234"/>
      <c r="M701" s="382"/>
      <c r="P701" s="1220"/>
      <c r="Q701" s="70"/>
      <c r="R701" s="70"/>
      <c r="S701" s="70"/>
    </row>
    <row r="702" customFormat="false" ht="20" hidden="false" customHeight="true" outlineLevel="0" collapsed="false">
      <c r="A702" s="639"/>
      <c r="B702" s="1236"/>
      <c r="C702" s="146"/>
      <c r="D702" s="1230"/>
      <c r="F702" s="1233" t="s">
        <v>640</v>
      </c>
      <c r="G702" s="1234" t="s">
        <v>641</v>
      </c>
      <c r="H702" s="1234"/>
      <c r="I702" s="1234"/>
      <c r="J702" s="1234"/>
      <c r="K702" s="1234"/>
      <c r="L702" s="1234"/>
      <c r="M702" s="382"/>
      <c r="P702" s="1220"/>
      <c r="Q702" s="70"/>
      <c r="R702" s="70"/>
      <c r="S702" s="70"/>
    </row>
    <row r="703" customFormat="false" ht="20" hidden="false" customHeight="true" outlineLevel="0" collapsed="false">
      <c r="A703" s="382"/>
      <c r="B703" s="382"/>
      <c r="C703" s="382"/>
      <c r="D703" s="382"/>
      <c r="E703" s="382"/>
      <c r="F703" s="382"/>
      <c r="G703" s="382"/>
      <c r="H703" s="382"/>
      <c r="I703" s="382"/>
      <c r="J703" s="382"/>
      <c r="K703" s="70"/>
      <c r="L703" s="70"/>
      <c r="M703" s="382"/>
      <c r="P703" s="1220"/>
      <c r="Q703" s="70"/>
      <c r="R703" s="70"/>
      <c r="S703" s="70"/>
    </row>
    <row r="704" customFormat="false" ht="34.5" hidden="false" customHeight="true" outlineLevel="0" collapsed="false">
      <c r="A704" s="382"/>
      <c r="B704" s="382"/>
      <c r="C704" s="382"/>
      <c r="D704" s="382"/>
      <c r="E704" s="382"/>
      <c r="F704" s="382"/>
      <c r="G704" s="382"/>
      <c r="H704" s="382"/>
      <c r="I704" s="382"/>
      <c r="J704" s="382"/>
      <c r="K704" s="382"/>
      <c r="L704" s="382"/>
      <c r="M704" s="382"/>
      <c r="P704" s="1220"/>
      <c r="Q704" s="70"/>
      <c r="R704" s="70"/>
      <c r="S704" s="70"/>
    </row>
    <row r="705" customFormat="false" ht="20" hidden="false" customHeight="true" outlineLevel="0" collapsed="false">
      <c r="A705" s="1231" t="s">
        <v>642</v>
      </c>
      <c r="B705" s="1231"/>
      <c r="C705" s="1231"/>
      <c r="D705" s="1231"/>
      <c r="E705" s="1231"/>
      <c r="F705" s="1058" t="s">
        <v>634</v>
      </c>
      <c r="G705" s="382"/>
      <c r="H705" s="382"/>
      <c r="I705" s="382"/>
      <c r="J705" s="382"/>
      <c r="K705" s="382"/>
      <c r="L705" s="459" t="s">
        <v>1324</v>
      </c>
      <c r="M705" s="382"/>
      <c r="P705" s="1220"/>
      <c r="Q705" s="70"/>
      <c r="R705" s="70"/>
      <c r="S705" s="70"/>
    </row>
    <row r="706" customFormat="false" ht="20" hidden="false" customHeight="true" outlineLevel="0" collapsed="false">
      <c r="A706" s="1234" t="s">
        <v>1467</v>
      </c>
      <c r="B706" s="1234"/>
      <c r="C706" s="1234"/>
      <c r="D706" s="1234"/>
      <c r="E706" s="382"/>
      <c r="F706" s="1233" t="s">
        <v>634</v>
      </c>
      <c r="G706" s="1234" t="s">
        <v>1468</v>
      </c>
      <c r="H706" s="1234"/>
      <c r="I706" s="1234"/>
      <c r="J706" s="1234"/>
      <c r="K706" s="1234"/>
      <c r="L706" s="1234"/>
      <c r="M706" s="382"/>
      <c r="P706" s="1220"/>
      <c r="Q706" s="70"/>
      <c r="R706" s="70"/>
      <c r="S706" s="70"/>
    </row>
    <row r="707" customFormat="false" ht="20" hidden="false" customHeight="true" outlineLevel="0" collapsed="false">
      <c r="A707" s="382"/>
      <c r="B707" s="382"/>
      <c r="C707" s="382"/>
      <c r="D707" s="382"/>
      <c r="E707" s="382"/>
      <c r="F707" s="1233" t="s">
        <v>636</v>
      </c>
      <c r="G707" s="1234" t="s">
        <v>1469</v>
      </c>
      <c r="H707" s="1234"/>
      <c r="I707" s="1234"/>
      <c r="J707" s="1234"/>
      <c r="K707" s="1234"/>
      <c r="L707" s="1234"/>
      <c r="M707" s="382"/>
      <c r="P707" s="1220"/>
      <c r="Q707" s="70"/>
      <c r="R707" s="70"/>
      <c r="S707" s="70"/>
    </row>
    <row r="708" customFormat="false" ht="20" hidden="false" customHeight="true" outlineLevel="0" collapsed="false">
      <c r="A708" s="382"/>
      <c r="B708" s="382"/>
      <c r="C708" s="382"/>
      <c r="D708" s="382"/>
      <c r="E708" s="382"/>
      <c r="F708" s="1233" t="s">
        <v>638</v>
      </c>
      <c r="G708" s="1234" t="s">
        <v>646</v>
      </c>
      <c r="H708" s="1234"/>
      <c r="I708" s="1234"/>
      <c r="J708" s="1234"/>
      <c r="K708" s="1234"/>
      <c r="L708" s="1234"/>
      <c r="M708" s="382"/>
      <c r="P708" s="1220"/>
      <c r="Q708" s="70"/>
      <c r="R708" s="70"/>
      <c r="S708" s="70"/>
    </row>
    <row r="709" customFormat="false" ht="20" hidden="false" customHeight="true" outlineLevel="0" collapsed="false">
      <c r="A709" s="382"/>
      <c r="B709" s="382"/>
      <c r="C709" s="382"/>
      <c r="D709" s="382"/>
      <c r="F709" s="1233" t="s">
        <v>640</v>
      </c>
      <c r="G709" s="1234" t="s">
        <v>1470</v>
      </c>
      <c r="H709" s="1234"/>
      <c r="I709" s="1234"/>
      <c r="J709" s="1234"/>
      <c r="K709" s="1234"/>
      <c r="L709" s="1234"/>
      <c r="M709" s="382"/>
      <c r="Q709" s="70"/>
      <c r="R709" s="70"/>
      <c r="S709" s="70"/>
    </row>
    <row r="710" s="11" customFormat="true" ht="20" hidden="false" customHeight="true" outlineLevel="0" collapsed="false">
      <c r="M710" s="382"/>
      <c r="Q710" s="70"/>
      <c r="R710" s="70"/>
      <c r="S710" s="70"/>
    </row>
    <row r="711" s="11" customFormat="true" ht="20" hidden="false" customHeight="true" outlineLevel="0" collapsed="false">
      <c r="K711" s="458"/>
      <c r="L711" s="459"/>
      <c r="M711" s="382"/>
      <c r="Q711" s="70"/>
      <c r="R711" s="70"/>
      <c r="S711" s="70"/>
    </row>
    <row r="712" customFormat="false" ht="20" hidden="false" customHeight="true" outlineLevel="0" collapsed="false">
      <c r="A712" s="961" t="s">
        <v>1471</v>
      </c>
      <c r="B712" s="70"/>
      <c r="C712" s="70"/>
      <c r="D712" s="1061" t="s">
        <v>1472</v>
      </c>
      <c r="E712" s="70"/>
      <c r="F712" s="70"/>
      <c r="G712" s="70"/>
      <c r="H712" s="70"/>
      <c r="I712" s="70"/>
      <c r="J712" s="70"/>
      <c r="K712" s="458"/>
      <c r="L712" s="459" t="s">
        <v>1067</v>
      </c>
      <c r="M712" s="382"/>
      <c r="Q712" s="70"/>
      <c r="R712" s="70"/>
      <c r="S712" s="70"/>
    </row>
    <row r="713" customFormat="false" ht="20" hidden="false" customHeight="true" outlineLevel="0" collapsed="false">
      <c r="A713" s="453" t="s">
        <v>1473</v>
      </c>
      <c r="B713" s="453"/>
      <c r="D713" s="1061" t="n">
        <f aca="false">150+10+(100*500/1000)</f>
        <v>210</v>
      </c>
      <c r="E713" s="443" t="s">
        <v>1474</v>
      </c>
      <c r="F713" s="11" t="s">
        <v>1475</v>
      </c>
      <c r="G713" s="1237" t="n">
        <f aca="false">I84*0.42</f>
        <v>64.764</v>
      </c>
      <c r="H713" s="14" t="s">
        <v>1476</v>
      </c>
      <c r="I713" s="942" t="s">
        <v>1477</v>
      </c>
      <c r="J713" s="1238" t="n">
        <f aca="false">IF(D712="Non concerné","NC", IF(G713&gt;0,D713/G713,"NC"))</f>
        <v>3.24254215304799</v>
      </c>
      <c r="K713" s="458"/>
      <c r="L713" s="459"/>
      <c r="M713" s="382"/>
      <c r="Q713" s="70"/>
      <c r="R713" s="70"/>
      <c r="S713" s="70"/>
    </row>
    <row r="714" customFormat="false" ht="20" hidden="false" customHeight="true" outlineLevel="0" collapsed="false">
      <c r="A714" s="453"/>
      <c r="B714" s="453"/>
      <c r="D714" s="382"/>
      <c r="I714" s="942"/>
      <c r="J714" s="1238"/>
      <c r="K714" s="458"/>
      <c r="L714" s="459"/>
      <c r="M714" s="382"/>
      <c r="Q714" s="70"/>
      <c r="R714" s="70"/>
      <c r="S714" s="70"/>
    </row>
    <row r="715" customFormat="false" ht="20" hidden="false" customHeight="true" outlineLevel="0" collapsed="false">
      <c r="A715" s="467"/>
      <c r="B715" s="70"/>
      <c r="C715" s="463"/>
      <c r="D715" s="70"/>
      <c r="E715" s="1239"/>
      <c r="F715" s="1240"/>
      <c r="G715" s="1240"/>
      <c r="H715" s="418"/>
      <c r="I715" s="942"/>
      <c r="J715" s="1238"/>
      <c r="K715" s="458"/>
      <c r="L715" s="459"/>
      <c r="M715" s="382"/>
      <c r="Q715" s="70"/>
      <c r="R715" s="70"/>
      <c r="S715" s="70"/>
    </row>
    <row r="716" customFormat="false" ht="20" hidden="false" customHeight="true" outlineLevel="0" collapsed="false">
      <c r="A716" s="70"/>
      <c r="B716" s="70"/>
      <c r="C716" s="70"/>
      <c r="D716" s="70"/>
      <c r="E716" s="70"/>
      <c r="F716" s="70"/>
      <c r="G716" s="70"/>
      <c r="H716" s="70"/>
      <c r="I716" s="70"/>
      <c r="J716" s="70"/>
      <c r="K716" s="70"/>
      <c r="L716" s="70"/>
      <c r="M716" s="382"/>
      <c r="Q716" s="70"/>
      <c r="R716" s="70"/>
      <c r="S716" s="70"/>
    </row>
    <row r="717" customFormat="false" ht="20" hidden="false" customHeight="true" outlineLevel="0" collapsed="false">
      <c r="A717" s="70"/>
      <c r="B717" s="70"/>
      <c r="C717" s="70"/>
      <c r="D717" s="70"/>
      <c r="E717" s="70"/>
      <c r="F717" s="70"/>
      <c r="G717" s="70"/>
      <c r="H717" s="70"/>
      <c r="I717" s="70"/>
      <c r="J717" s="70"/>
      <c r="K717" s="70"/>
      <c r="L717" s="70"/>
      <c r="M717" s="382"/>
      <c r="Q717" s="70"/>
      <c r="R717" s="70"/>
      <c r="S717" s="70"/>
    </row>
    <row r="718" customFormat="false" ht="20" hidden="false" customHeight="true" outlineLevel="0" collapsed="false">
      <c r="A718" s="896" t="s">
        <v>1478</v>
      </c>
      <c r="B718" s="896"/>
      <c r="C718" s="896"/>
      <c r="D718" s="896"/>
      <c r="E718" s="896"/>
      <c r="F718" s="896"/>
      <c r="G718" s="896"/>
      <c r="H718" s="897"/>
      <c r="I718" s="897"/>
      <c r="J718" s="897"/>
      <c r="K718" s="898"/>
      <c r="L718" s="899" t="s">
        <v>1479</v>
      </c>
      <c r="M718" s="70"/>
      <c r="N718" s="146"/>
      <c r="O718" s="146"/>
      <c r="P718" s="146"/>
      <c r="Q718" s="146"/>
      <c r="R718" s="146"/>
      <c r="S718" s="146"/>
      <c r="T718" s="146"/>
    </row>
    <row r="719" customFormat="false" ht="20" hidden="false" customHeight="true" outlineLevel="0" collapsed="false">
      <c r="A719" s="1126"/>
      <c r="B719" s="1126"/>
      <c r="C719" s="1126"/>
      <c r="D719" s="1126"/>
      <c r="E719" s="1126"/>
      <c r="F719" s="1126"/>
      <c r="G719" s="1126"/>
      <c r="H719" s="146"/>
      <c r="I719" s="146"/>
      <c r="J719" s="146"/>
      <c r="K719" s="458"/>
      <c r="L719" s="459"/>
      <c r="M719" s="70"/>
      <c r="N719" s="146"/>
      <c r="O719" s="146"/>
      <c r="P719" s="146"/>
      <c r="Q719" s="146"/>
      <c r="R719" s="146"/>
      <c r="S719" s="146"/>
      <c r="T719" s="146"/>
    </row>
    <row r="720" customFormat="false" ht="19.5" hidden="false" customHeight="true" outlineLevel="0" collapsed="false">
      <c r="A720" s="1050" t="s">
        <v>1480</v>
      </c>
      <c r="B720" s="1050"/>
      <c r="C720" s="1050"/>
      <c r="D720" s="1241" t="n">
        <f aca="false">'Bilan apparent'!D483</f>
        <v>3.36540471389433</v>
      </c>
      <c r="J720" s="70"/>
      <c r="K720" s="70"/>
      <c r="L720" s="70"/>
      <c r="M720" s="146"/>
      <c r="N720" s="146"/>
      <c r="O720" s="146"/>
      <c r="P720" s="146"/>
      <c r="Q720" s="146"/>
      <c r="R720" s="146"/>
      <c r="S720" s="146"/>
      <c r="T720" s="146"/>
    </row>
    <row r="721" customFormat="false" ht="20" hidden="false" customHeight="true" outlineLevel="0" collapsed="false">
      <c r="B721" s="70"/>
      <c r="C721" s="70"/>
      <c r="D721" s="70"/>
      <c r="E721" s="70"/>
      <c r="F721" s="70"/>
      <c r="G721" s="635"/>
      <c r="H721" s="430"/>
      <c r="I721" s="438"/>
      <c r="J721" s="70"/>
      <c r="K721" s="70"/>
      <c r="L721" s="70"/>
      <c r="M721" s="146"/>
      <c r="N721" s="146"/>
      <c r="O721" s="146"/>
      <c r="P721" s="146"/>
      <c r="Q721" s="146"/>
      <c r="R721" s="146"/>
      <c r="S721" s="146"/>
      <c r="T721" s="146"/>
    </row>
    <row r="722" customFormat="false" ht="20" hidden="false" customHeight="true" outlineLevel="0" collapsed="false">
      <c r="A722" s="936" t="s">
        <v>1481</v>
      </c>
      <c r="B722" s="936"/>
      <c r="C722" s="936"/>
      <c r="D722" s="1242" t="n">
        <f aca="false">I83/B13</f>
        <v>0.901122019635344</v>
      </c>
      <c r="F722" s="70"/>
      <c r="G722" s="635"/>
      <c r="H722" s="430"/>
      <c r="I722" s="438"/>
      <c r="J722" s="70"/>
      <c r="K722" s="70"/>
      <c r="L722" s="70"/>
      <c r="M722" s="146"/>
      <c r="N722" s="146"/>
      <c r="O722" s="146"/>
      <c r="P722" s="146"/>
      <c r="Q722" s="146"/>
      <c r="R722" s="146"/>
      <c r="S722" s="146"/>
      <c r="T722" s="146"/>
    </row>
    <row r="723" customFormat="false" ht="20" hidden="false" customHeight="true" outlineLevel="0" collapsed="false">
      <c r="A723" s="936" t="s">
        <v>584</v>
      </c>
      <c r="B723" s="936"/>
      <c r="C723" s="936"/>
      <c r="D723" s="1107" t="s">
        <v>243</v>
      </c>
      <c r="F723" s="70"/>
      <c r="G723" s="635"/>
      <c r="H723" s="430"/>
      <c r="I723" s="438"/>
      <c r="J723" s="70"/>
      <c r="K723" s="70"/>
      <c r="L723" s="70"/>
      <c r="M723" s="146"/>
      <c r="N723" s="146"/>
      <c r="O723" s="146"/>
      <c r="P723" s="146"/>
      <c r="Q723" s="146"/>
      <c r="R723" s="146"/>
      <c r="S723" s="146"/>
      <c r="T723" s="146"/>
    </row>
    <row r="724" customFormat="false" ht="20" hidden="false" customHeight="true" outlineLevel="0" collapsed="false">
      <c r="B724" s="70"/>
      <c r="C724" s="70"/>
      <c r="D724" s="70"/>
      <c r="E724" s="70"/>
      <c r="F724" s="70"/>
      <c r="G724" s="635"/>
      <c r="H724" s="430"/>
      <c r="I724" s="438"/>
      <c r="J724" s="70"/>
      <c r="K724" s="70"/>
      <c r="L724" s="70"/>
      <c r="M724" s="146"/>
      <c r="N724" s="146"/>
      <c r="O724" s="146"/>
      <c r="P724" s="146"/>
      <c r="Q724" s="146"/>
      <c r="R724" s="146"/>
      <c r="S724" s="146"/>
      <c r="T724" s="146"/>
    </row>
    <row r="725" s="11" customFormat="true" ht="20" hidden="false" customHeight="true" outlineLevel="0" collapsed="false">
      <c r="K725" s="70"/>
      <c r="L725" s="70"/>
      <c r="M725" s="146"/>
      <c r="N725" s="146"/>
      <c r="O725" s="146"/>
      <c r="P725" s="146"/>
      <c r="Q725" s="146"/>
      <c r="R725" s="146"/>
      <c r="S725" s="146"/>
      <c r="T725" s="146"/>
    </row>
    <row r="726" s="11" customFormat="true" ht="20" hidden="false" customHeight="true" outlineLevel="0" collapsed="false">
      <c r="A726" s="936" t="s">
        <v>1482</v>
      </c>
      <c r="B726" s="936"/>
      <c r="C726" s="936"/>
      <c r="D726" s="1242" t="n">
        <f aca="false">H802</f>
        <v>0.182478962131837</v>
      </c>
      <c r="M726" s="382"/>
      <c r="N726" s="146"/>
      <c r="O726" s="146"/>
      <c r="P726" s="146"/>
      <c r="Q726" s="146"/>
      <c r="R726" s="146"/>
      <c r="S726" s="146"/>
      <c r="T726" s="146"/>
    </row>
    <row r="727" customFormat="false" ht="20" hidden="false" customHeight="true" outlineLevel="0" collapsed="false">
      <c r="A727" s="961"/>
      <c r="B727" s="70"/>
      <c r="C727" s="70"/>
      <c r="D727" s="70"/>
      <c r="E727" s="70"/>
      <c r="F727" s="70"/>
      <c r="G727" s="1092"/>
      <c r="H727" s="314"/>
      <c r="I727" s="314"/>
      <c r="J727" s="909"/>
      <c r="K727" s="70"/>
      <c r="L727" s="70"/>
      <c r="M727" s="70"/>
      <c r="N727" s="146"/>
      <c r="O727" s="146"/>
      <c r="P727" s="146"/>
      <c r="Q727" s="146"/>
      <c r="R727" s="146"/>
      <c r="S727" s="146"/>
      <c r="T727" s="146"/>
    </row>
    <row r="728" s="11" customFormat="true" ht="20" hidden="false" customHeight="true" outlineLevel="0" collapsed="false">
      <c r="A728" s="1243" t="s">
        <v>1483</v>
      </c>
      <c r="B728" s="1243"/>
      <c r="C728" s="1243"/>
      <c r="D728" s="1107" t="s">
        <v>242</v>
      </c>
      <c r="F728" s="15"/>
      <c r="K728" s="70"/>
      <c r="L728" s="70"/>
      <c r="M728" s="70"/>
      <c r="N728" s="146"/>
      <c r="O728" s="146"/>
      <c r="P728" s="146"/>
      <c r="Q728" s="146"/>
      <c r="R728" s="146"/>
      <c r="S728" s="146"/>
      <c r="T728" s="146"/>
    </row>
    <row r="729" s="11" customFormat="true" ht="19.5" hidden="false" customHeight="true" outlineLevel="0" collapsed="false">
      <c r="A729" s="1244" t="s">
        <v>1484</v>
      </c>
      <c r="B729" s="1245"/>
      <c r="C729" s="1245"/>
      <c r="D729" s="1245"/>
      <c r="E729" s="1245"/>
      <c r="K729" s="70"/>
      <c r="L729" s="70"/>
      <c r="M729" s="70"/>
      <c r="N729" s="146"/>
      <c r="O729" s="146"/>
      <c r="P729" s="146"/>
      <c r="Q729" s="146"/>
      <c r="R729" s="146"/>
      <c r="S729" s="146"/>
      <c r="T729" s="146"/>
    </row>
    <row r="730" customFormat="false" ht="20" hidden="false" customHeight="true" outlineLevel="0" collapsed="false">
      <c r="A730" s="961"/>
      <c r="B730" s="70"/>
      <c r="D730" s="70"/>
      <c r="F730" s="70"/>
      <c r="G730" s="1092"/>
      <c r="H730" s="314"/>
      <c r="I730" s="314"/>
      <c r="J730" s="909"/>
      <c r="K730" s="70"/>
      <c r="L730" s="70"/>
      <c r="M730" s="70"/>
      <c r="N730" s="146"/>
      <c r="O730" s="146"/>
      <c r="P730" s="146"/>
      <c r="Q730" s="146"/>
      <c r="R730" s="146"/>
      <c r="S730" s="146"/>
      <c r="T730" s="146"/>
    </row>
    <row r="731" s="11" customFormat="true" ht="20" hidden="false" customHeight="true" outlineLevel="0" collapsed="false">
      <c r="K731" s="934"/>
      <c r="L731" s="459"/>
      <c r="M731" s="382"/>
      <c r="N731" s="146"/>
      <c r="O731" s="146"/>
      <c r="P731" s="146"/>
      <c r="Q731" s="146"/>
      <c r="R731" s="146"/>
      <c r="S731" s="146"/>
      <c r="T731" s="146"/>
    </row>
    <row r="732" customFormat="false" ht="20" hidden="false" customHeight="true" outlineLevel="0" collapsed="false">
      <c r="A732" s="1246" t="s">
        <v>1485</v>
      </c>
      <c r="B732" s="1246"/>
      <c r="C732" s="1246"/>
      <c r="D732" s="1246"/>
      <c r="E732" s="1045"/>
      <c r="F732" s="11" t="s">
        <v>292</v>
      </c>
      <c r="H732" s="1052" t="s">
        <v>1486</v>
      </c>
      <c r="I732" s="1052"/>
      <c r="J732" s="1247" t="n">
        <f aca="false">E732/B13</f>
        <v>0</v>
      </c>
      <c r="K732" s="458"/>
      <c r="L732" s="459"/>
      <c r="M732" s="382"/>
      <c r="N732" s="146"/>
      <c r="O732" s="146"/>
      <c r="P732" s="146"/>
      <c r="Q732" s="146"/>
      <c r="R732" s="146"/>
      <c r="S732" s="146"/>
      <c r="T732" s="146"/>
    </row>
    <row r="733" customFormat="false" ht="18.75" hidden="false" customHeight="true" outlineLevel="0" collapsed="false">
      <c r="A733" s="1248" t="s">
        <v>1487</v>
      </c>
      <c r="B733" s="1248"/>
      <c r="C733" s="1248"/>
      <c r="D733" s="1248"/>
      <c r="E733" s="1248"/>
      <c r="F733" s="70"/>
      <c r="G733" s="1092"/>
      <c r="H733" s="314"/>
      <c r="I733" s="314"/>
      <c r="J733" s="909"/>
      <c r="K733" s="934"/>
      <c r="L733" s="459"/>
      <c r="M733" s="146"/>
      <c r="N733" s="146"/>
      <c r="O733" s="146"/>
      <c r="P733" s="146"/>
      <c r="Q733" s="146"/>
      <c r="R733" s="146"/>
      <c r="S733" s="146"/>
      <c r="T733" s="146"/>
    </row>
    <row r="734" customFormat="false" ht="18.75" hidden="false" customHeight="true" outlineLevel="0" collapsed="false">
      <c r="A734" s="1213" t="s">
        <v>1488</v>
      </c>
      <c r="B734" s="1213"/>
      <c r="C734" s="1213"/>
      <c r="D734" s="1213"/>
      <c r="E734" s="1213"/>
      <c r="F734" s="70"/>
      <c r="G734" s="1092"/>
      <c r="H734" s="314"/>
      <c r="I734" s="314"/>
      <c r="J734" s="909"/>
      <c r="K734" s="934"/>
      <c r="L734" s="459"/>
      <c r="M734" s="146"/>
      <c r="N734" s="146"/>
      <c r="O734" s="146"/>
      <c r="P734" s="146"/>
      <c r="Q734" s="146"/>
      <c r="R734" s="146"/>
      <c r="S734" s="146"/>
      <c r="T734" s="146"/>
    </row>
    <row r="735" customFormat="false" ht="18.75" hidden="false" customHeight="true" outlineLevel="0" collapsed="false">
      <c r="A735" s="1213" t="s">
        <v>1489</v>
      </c>
      <c r="B735" s="1213"/>
      <c r="C735" s="1213"/>
      <c r="D735" s="1213"/>
      <c r="E735" s="1213"/>
      <c r="F735" s="70"/>
      <c r="G735" s="1092"/>
      <c r="H735" s="314"/>
      <c r="I735" s="314"/>
      <c r="J735" s="909"/>
      <c r="K735" s="934"/>
      <c r="L735" s="459"/>
      <c r="M735" s="146"/>
      <c r="N735" s="146"/>
      <c r="O735" s="146"/>
      <c r="P735" s="146"/>
      <c r="Q735" s="146"/>
      <c r="R735" s="146"/>
      <c r="S735" s="146"/>
      <c r="T735" s="146"/>
    </row>
    <row r="736" customFormat="false" ht="18.75" hidden="false" customHeight="true" outlineLevel="0" collapsed="false">
      <c r="A736" s="1213" t="s">
        <v>1490</v>
      </c>
      <c r="B736" s="1213"/>
      <c r="C736" s="1213"/>
      <c r="D736" s="1213"/>
      <c r="E736" s="1213"/>
      <c r="F736" s="70"/>
      <c r="G736" s="1092"/>
      <c r="H736" s="314"/>
      <c r="I736" s="314"/>
      <c r="J736" s="909"/>
      <c r="K736" s="934"/>
      <c r="L736" s="459"/>
      <c r="M736" s="146"/>
      <c r="N736" s="146"/>
      <c r="O736" s="146"/>
      <c r="P736" s="146"/>
      <c r="Q736" s="146"/>
      <c r="R736" s="146"/>
      <c r="S736" s="146"/>
      <c r="T736" s="146"/>
    </row>
    <row r="737" customFormat="false" ht="18.75" hidden="false" customHeight="true" outlineLevel="0" collapsed="false">
      <c r="A737" s="1213" t="s">
        <v>1491</v>
      </c>
      <c r="B737" s="1213"/>
      <c r="C737" s="1213"/>
      <c r="D737" s="1213"/>
      <c r="E737" s="1213"/>
      <c r="F737" s="70"/>
      <c r="G737" s="1092"/>
      <c r="H737" s="314"/>
      <c r="I737" s="314"/>
      <c r="J737" s="909"/>
      <c r="K737" s="934"/>
      <c r="L737" s="459"/>
      <c r="M737" s="146"/>
      <c r="N737" s="146"/>
      <c r="O737" s="146"/>
      <c r="P737" s="146"/>
      <c r="Q737" s="146"/>
      <c r="R737" s="146"/>
      <c r="S737" s="146"/>
      <c r="T737" s="146"/>
    </row>
    <row r="738" customFormat="false" ht="18.75" hidden="false" customHeight="true" outlineLevel="0" collapsed="false">
      <c r="A738" s="1213" t="s">
        <v>1492</v>
      </c>
      <c r="B738" s="1213"/>
      <c r="C738" s="1213"/>
      <c r="D738" s="1213"/>
      <c r="E738" s="1213"/>
      <c r="F738" s="70"/>
      <c r="G738" s="1092"/>
      <c r="H738" s="314"/>
      <c r="I738" s="314"/>
      <c r="J738" s="909"/>
      <c r="K738" s="934"/>
      <c r="L738" s="459"/>
      <c r="M738" s="146"/>
      <c r="N738" s="146"/>
      <c r="O738" s="146"/>
      <c r="P738" s="146"/>
      <c r="Q738" s="146"/>
      <c r="R738" s="146"/>
      <c r="S738" s="146"/>
      <c r="T738" s="146"/>
    </row>
    <row r="739" customFormat="false" ht="18.75" hidden="false" customHeight="true" outlineLevel="0" collapsed="false">
      <c r="A739" s="1213" t="s">
        <v>1493</v>
      </c>
      <c r="B739" s="1213"/>
      <c r="C739" s="1213"/>
      <c r="D739" s="1213"/>
      <c r="E739" s="1213"/>
      <c r="F739" s="70"/>
      <c r="G739" s="1092"/>
      <c r="H739" s="314"/>
      <c r="I739" s="314"/>
      <c r="J739" s="909"/>
      <c r="K739" s="934"/>
      <c r="L739" s="459"/>
      <c r="M739" s="146"/>
      <c r="N739" s="146"/>
      <c r="O739" s="146"/>
      <c r="P739" s="146"/>
      <c r="Q739" s="146"/>
      <c r="R739" s="146"/>
      <c r="S739" s="146"/>
      <c r="T739" s="146"/>
    </row>
    <row r="740" s="11" customFormat="true" ht="15.75" hidden="false" customHeight="true" outlineLevel="0" collapsed="false">
      <c r="M740" s="382"/>
      <c r="N740" s="146"/>
      <c r="O740" s="146"/>
      <c r="P740" s="146"/>
      <c r="Q740" s="146"/>
      <c r="R740" s="146"/>
      <c r="S740" s="146"/>
      <c r="T740" s="146"/>
    </row>
    <row r="741" s="11" customFormat="true" ht="15.75" hidden="false" customHeight="true" outlineLevel="0" collapsed="false">
      <c r="M741" s="382"/>
      <c r="N741" s="146"/>
      <c r="O741" s="146"/>
      <c r="P741" s="146"/>
      <c r="Q741" s="146"/>
      <c r="R741" s="146"/>
      <c r="S741" s="146"/>
      <c r="T741" s="146"/>
    </row>
    <row r="742" customFormat="false" ht="20" hidden="false" customHeight="true" outlineLevel="0" collapsed="false">
      <c r="A742" s="896" t="s">
        <v>1494</v>
      </c>
      <c r="B742" s="896"/>
      <c r="C742" s="896"/>
      <c r="D742" s="896"/>
      <c r="E742" s="896"/>
      <c r="F742" s="896"/>
      <c r="G742" s="896"/>
      <c r="H742" s="897"/>
      <c r="I742" s="897"/>
      <c r="J742" s="897"/>
      <c r="K742" s="898"/>
      <c r="L742" s="899" t="s">
        <v>1495</v>
      </c>
      <c r="M742" s="146"/>
      <c r="N742" s="146"/>
      <c r="O742" s="146"/>
      <c r="P742" s="146"/>
      <c r="Q742" s="146"/>
      <c r="R742" s="146"/>
      <c r="S742" s="146"/>
      <c r="T742" s="146"/>
    </row>
    <row r="743" customFormat="false" ht="19.5" hidden="false" customHeight="true" outlineLevel="0" collapsed="false">
      <c r="A743" s="1249"/>
      <c r="B743" s="314"/>
      <c r="C743" s="314"/>
      <c r="M743" s="146"/>
      <c r="N743" s="146"/>
      <c r="O743" s="146"/>
      <c r="P743" s="146"/>
      <c r="Q743" s="146"/>
      <c r="R743" s="146"/>
      <c r="S743" s="146"/>
      <c r="T743" s="146"/>
    </row>
    <row r="744" customFormat="false" ht="36.75" hidden="false" customHeight="true" outlineLevel="0" collapsed="false">
      <c r="A744" s="1250" t="s">
        <v>1496</v>
      </c>
      <c r="B744" s="1250"/>
      <c r="C744" s="1250"/>
      <c r="D744" s="1250"/>
      <c r="E744" s="1107" t="n">
        <v>5</v>
      </c>
      <c r="G744" s="70"/>
      <c r="H744" s="70"/>
      <c r="I744" s="961"/>
      <c r="J744" s="635"/>
      <c r="K744" s="934"/>
      <c r="L744" s="906" t="s">
        <v>1497</v>
      </c>
      <c r="M744" s="146"/>
      <c r="N744" s="146"/>
      <c r="O744" s="146"/>
      <c r="P744" s="146"/>
      <c r="Q744" s="146"/>
      <c r="R744" s="146"/>
      <c r="S744" s="146"/>
      <c r="T744" s="146"/>
    </row>
    <row r="745" customFormat="false" ht="20" hidden="false" customHeight="true" outlineLevel="0" collapsed="false">
      <c r="A745" s="1213" t="s">
        <v>1498</v>
      </c>
      <c r="B745" s="1213"/>
      <c r="C745" s="1213"/>
      <c r="D745" s="1213"/>
      <c r="E745" s="1213"/>
      <c r="F745" s="70"/>
      <c r="G745" s="70"/>
      <c r="H745" s="70"/>
      <c r="I745" s="961"/>
      <c r="J745" s="635"/>
      <c r="K745" s="934"/>
      <c r="L745" s="906"/>
      <c r="M745" s="146"/>
      <c r="N745" s="146"/>
      <c r="O745" s="146"/>
      <c r="P745" s="146"/>
      <c r="Q745" s="146"/>
      <c r="R745" s="146"/>
      <c r="S745" s="146"/>
      <c r="T745" s="146"/>
    </row>
    <row r="746" s="70" customFormat="true" ht="15.75" hidden="false" customHeight="true" outlineLevel="0" collapsed="false">
      <c r="A746" s="1213"/>
      <c r="B746" s="1213"/>
      <c r="C746" s="1213"/>
      <c r="D746" s="1213"/>
      <c r="E746" s="1213"/>
      <c r="I746" s="961"/>
      <c r="J746" s="635"/>
      <c r="K746" s="934"/>
      <c r="L746" s="906"/>
      <c r="M746" s="146"/>
      <c r="N746" s="146"/>
      <c r="O746" s="146"/>
      <c r="P746" s="146"/>
      <c r="Q746" s="146"/>
      <c r="R746" s="146"/>
      <c r="S746" s="146"/>
      <c r="T746" s="146"/>
    </row>
    <row r="747" s="70" customFormat="true" ht="15" hidden="false" customHeight="true" outlineLevel="0" collapsed="false">
      <c r="A747" s="449"/>
      <c r="D747" s="1251"/>
      <c r="E747" s="978"/>
      <c r="I747" s="961"/>
      <c r="J747" s="635"/>
      <c r="K747" s="934"/>
      <c r="L747" s="906"/>
      <c r="M747" s="146"/>
      <c r="N747" s="146"/>
      <c r="O747" s="146"/>
      <c r="P747" s="146"/>
      <c r="Q747" s="146"/>
      <c r="R747" s="146"/>
      <c r="S747" s="146"/>
      <c r="T747" s="146"/>
    </row>
    <row r="748" s="70" customFormat="true" ht="33" hidden="false" customHeight="true" outlineLevel="0" collapsed="false">
      <c r="A748" s="1250" t="s">
        <v>1499</v>
      </c>
      <c r="B748" s="1250"/>
      <c r="C748" s="1250"/>
      <c r="D748" s="1250"/>
      <c r="E748" s="1107" t="n">
        <v>3</v>
      </c>
      <c r="G748" s="1252"/>
      <c r="H748" s="1253"/>
      <c r="K748" s="458"/>
      <c r="L748" s="459" t="s">
        <v>1497</v>
      </c>
      <c r="M748" s="146"/>
      <c r="N748" s="146"/>
      <c r="O748" s="146"/>
      <c r="P748" s="146"/>
      <c r="Q748" s="146"/>
      <c r="R748" s="146"/>
      <c r="S748" s="146"/>
      <c r="T748" s="146"/>
    </row>
    <row r="749" customFormat="false" ht="19.5" hidden="false" customHeight="true" outlineLevel="0" collapsed="false">
      <c r="A749" s="1213" t="s">
        <v>1500</v>
      </c>
      <c r="B749" s="1213"/>
      <c r="C749" s="1213"/>
      <c r="D749" s="1213"/>
      <c r="E749" s="1213"/>
      <c r="H749" s="1253"/>
      <c r="K749" s="458"/>
      <c r="L749" s="459"/>
      <c r="M749" s="146"/>
      <c r="N749" s="146"/>
      <c r="O749" s="146"/>
      <c r="P749" s="146"/>
      <c r="Q749" s="146"/>
      <c r="R749" s="146"/>
      <c r="S749" s="146"/>
      <c r="T749" s="146"/>
      <c r="Y749" s="314"/>
    </row>
    <row r="750" customFormat="false" ht="20" hidden="false" customHeight="true" outlineLevel="0" collapsed="false">
      <c r="A750" s="1213" t="s">
        <v>1501</v>
      </c>
      <c r="B750" s="1213"/>
      <c r="C750" s="1213"/>
      <c r="D750" s="1213"/>
      <c r="E750" s="1213"/>
      <c r="H750" s="1253"/>
      <c r="K750" s="458"/>
      <c r="L750" s="459"/>
      <c r="M750" s="146"/>
      <c r="N750" s="146"/>
      <c r="O750" s="146"/>
      <c r="P750" s="146"/>
      <c r="Q750" s="146"/>
      <c r="R750" s="146"/>
      <c r="S750" s="146"/>
      <c r="T750" s="146"/>
      <c r="Y750" s="314"/>
    </row>
    <row r="751" customFormat="false" ht="20" hidden="false" customHeight="true" outlineLevel="0" collapsed="false">
      <c r="A751" s="1213" t="s">
        <v>1502</v>
      </c>
      <c r="B751" s="1213"/>
      <c r="I751" s="961"/>
      <c r="J751" s="635"/>
      <c r="K751" s="458"/>
      <c r="L751" s="459"/>
      <c r="M751" s="146"/>
      <c r="N751" s="146"/>
      <c r="O751" s="146"/>
      <c r="P751" s="146"/>
      <c r="Q751" s="146"/>
      <c r="R751" s="146"/>
      <c r="S751" s="146"/>
      <c r="T751" s="146"/>
      <c r="Y751" s="314"/>
    </row>
    <row r="752" customFormat="false" ht="20" hidden="false" customHeight="true" outlineLevel="0" collapsed="false">
      <c r="D752" s="1254" t="s">
        <v>1503</v>
      </c>
      <c r="E752" s="1254"/>
      <c r="F752" s="634" t="n">
        <f aca="false">D802</f>
        <v>0.492158134642356</v>
      </c>
      <c r="G752" s="1255"/>
      <c r="H752" s="1255"/>
      <c r="I752" s="961"/>
      <c r="J752" s="635"/>
      <c r="K752" s="934"/>
      <c r="L752" s="906"/>
      <c r="M752" s="146"/>
      <c r="N752" s="146"/>
      <c r="O752" s="146"/>
      <c r="P752" s="146"/>
      <c r="Q752" s="146"/>
      <c r="R752" s="146"/>
      <c r="S752" s="146"/>
      <c r="T752" s="146"/>
      <c r="Y752" s="314"/>
    </row>
    <row r="753" customFormat="false" ht="22.5" hidden="false" customHeight="true" outlineLevel="0" collapsed="false">
      <c r="A753" s="314"/>
      <c r="D753" s="1256"/>
      <c r="E753" s="980" t="s">
        <v>1504</v>
      </c>
      <c r="F753" s="980"/>
      <c r="G753" s="980"/>
      <c r="H753" s="314"/>
      <c r="I753" s="961"/>
      <c r="J753" s="635"/>
      <c r="K753" s="934"/>
      <c r="L753" s="906"/>
      <c r="M753" s="146"/>
      <c r="N753" s="382"/>
      <c r="O753" s="382"/>
      <c r="P753" s="382"/>
      <c r="Q753" s="382"/>
      <c r="R753" s="382"/>
      <c r="S753" s="382"/>
      <c r="T753" s="382"/>
      <c r="Y753" s="314"/>
    </row>
    <row r="754" customFormat="false" ht="20" hidden="false" customHeight="true" outlineLevel="0" collapsed="false">
      <c r="D754" s="1257"/>
      <c r="E754" s="1258" t="s">
        <v>1505</v>
      </c>
      <c r="F754" s="1258" t="s">
        <v>1506</v>
      </c>
      <c r="G754" s="1258" t="s">
        <v>1507</v>
      </c>
      <c r="H754" s="70"/>
      <c r="I754" s="961"/>
      <c r="J754" s="635"/>
      <c r="K754" s="934"/>
      <c r="L754" s="906"/>
      <c r="M754" s="146"/>
      <c r="N754" s="146"/>
      <c r="O754" s="146"/>
      <c r="P754" s="146"/>
      <c r="Q754" s="146"/>
      <c r="R754" s="146"/>
      <c r="S754" s="146"/>
      <c r="T754" s="146"/>
      <c r="Y754" s="314"/>
    </row>
    <row r="755" customFormat="false" ht="20" hidden="false" customHeight="true" outlineLevel="0" collapsed="false">
      <c r="A755" s="1211" t="s">
        <v>483</v>
      </c>
      <c r="B755" s="853" t="s">
        <v>243</v>
      </c>
      <c r="C755" s="980" t="s">
        <v>1508</v>
      </c>
      <c r="D755" s="983" t="s">
        <v>1327</v>
      </c>
      <c r="E755" s="1259" t="n">
        <v>3</v>
      </c>
      <c r="F755" s="1259" t="n">
        <v>2</v>
      </c>
      <c r="G755" s="1259" t="n">
        <v>1</v>
      </c>
      <c r="H755" s="70"/>
      <c r="I755" s="1121" t="s">
        <v>1378</v>
      </c>
      <c r="J755" s="1122" t="n">
        <v>2</v>
      </c>
      <c r="K755" s="934"/>
      <c r="L755" s="906" t="s">
        <v>1296</v>
      </c>
      <c r="M755" s="146"/>
      <c r="N755" s="146"/>
      <c r="O755" s="146"/>
      <c r="P755" s="146"/>
      <c r="Q755" s="146"/>
      <c r="R755" s="146"/>
      <c r="S755" s="146"/>
      <c r="T755" s="146"/>
      <c r="Y755" s="314"/>
    </row>
    <row r="756" customFormat="false" ht="20" hidden="false" customHeight="true" outlineLevel="0" collapsed="false">
      <c r="C756" s="980"/>
      <c r="D756" s="1258" t="s">
        <v>1323</v>
      </c>
      <c r="E756" s="1260" t="n">
        <v>2</v>
      </c>
      <c r="F756" s="1260" t="n">
        <v>1</v>
      </c>
      <c r="G756" s="1260" t="n">
        <v>0</v>
      </c>
      <c r="I756" s="1121"/>
      <c r="J756" s="1122"/>
      <c r="K756" s="934"/>
      <c r="L756" s="906"/>
      <c r="M756" s="146"/>
      <c r="N756" s="146"/>
      <c r="O756" s="146"/>
      <c r="P756" s="146"/>
      <c r="Q756" s="146"/>
      <c r="R756" s="146"/>
      <c r="S756" s="146"/>
      <c r="T756" s="146"/>
      <c r="Y756" s="314"/>
    </row>
    <row r="757" customFormat="false" ht="20" hidden="false" customHeight="true" outlineLevel="0" collapsed="false">
      <c r="C757" s="1261" t="s">
        <v>1509</v>
      </c>
      <c r="D757" s="1261"/>
      <c r="E757" s="1262" t="n">
        <v>3</v>
      </c>
      <c r="F757" s="1262"/>
      <c r="G757" s="1262"/>
      <c r="H757" s="70"/>
      <c r="I757" s="1121" t="s">
        <v>1378</v>
      </c>
      <c r="J757" s="1122"/>
      <c r="K757" s="635"/>
      <c r="L757" s="635"/>
      <c r="M757" s="146"/>
      <c r="N757" s="382"/>
      <c r="O757" s="382"/>
      <c r="P757" s="382"/>
      <c r="Q757" s="382"/>
      <c r="R757" s="382"/>
      <c r="S757" s="382"/>
      <c r="T757" s="382"/>
      <c r="Y757" s="314"/>
    </row>
    <row r="758" customFormat="false" ht="20" hidden="false" customHeight="true" outlineLevel="0" collapsed="false">
      <c r="A758" s="314"/>
      <c r="D758" s="1251"/>
      <c r="E758" s="978"/>
      <c r="F758" s="70"/>
      <c r="G758" s="70"/>
      <c r="H758" s="70"/>
      <c r="I758" s="635"/>
      <c r="J758" s="635"/>
      <c r="K758" s="635"/>
      <c r="L758" s="635"/>
      <c r="M758" s="146"/>
      <c r="N758" s="146"/>
      <c r="O758" s="146"/>
      <c r="P758" s="146"/>
      <c r="Q758" s="146"/>
      <c r="R758" s="146"/>
      <c r="S758" s="146"/>
      <c r="T758" s="146"/>
      <c r="Y758" s="314"/>
    </row>
    <row r="759" customFormat="false" ht="20" hidden="false" customHeight="true" outlineLevel="0" collapsed="false">
      <c r="A759" s="314"/>
      <c r="D759" s="1251"/>
      <c r="E759" s="978"/>
      <c r="F759" s="70"/>
      <c r="G759" s="70"/>
      <c r="H759" s="70"/>
      <c r="I759" s="961"/>
      <c r="J759" s="635"/>
      <c r="K759" s="934"/>
      <c r="L759" s="906"/>
      <c r="M759" s="146"/>
      <c r="N759" s="146"/>
      <c r="O759" s="146"/>
      <c r="P759" s="146"/>
      <c r="Q759" s="146"/>
      <c r="R759" s="146"/>
      <c r="S759" s="146"/>
      <c r="T759" s="146"/>
      <c r="Y759" s="314"/>
    </row>
    <row r="760" customFormat="false" ht="20" hidden="false" customHeight="true" outlineLevel="0" collapsed="false">
      <c r="A760" s="896" t="s">
        <v>1510</v>
      </c>
      <c r="B760" s="896"/>
      <c r="C760" s="896"/>
      <c r="D760" s="896"/>
      <c r="E760" s="896"/>
      <c r="F760" s="896"/>
      <c r="G760" s="896"/>
      <c r="H760" s="897"/>
      <c r="I760" s="897"/>
      <c r="J760" s="897"/>
      <c r="K760" s="898"/>
      <c r="L760" s="899" t="s">
        <v>1511</v>
      </c>
      <c r="M760" s="146"/>
      <c r="N760" s="146"/>
      <c r="O760" s="146"/>
      <c r="P760" s="146"/>
      <c r="Q760" s="146"/>
      <c r="R760" s="146"/>
      <c r="S760" s="146"/>
      <c r="T760" s="146"/>
    </row>
    <row r="761" s="70" customFormat="true" ht="20" hidden="false" customHeight="true" outlineLevel="0" collapsed="false">
      <c r="A761" s="1074"/>
      <c r="B761" s="1074"/>
      <c r="C761" s="1074"/>
      <c r="D761" s="1074"/>
      <c r="E761" s="1074"/>
      <c r="F761" s="1074"/>
      <c r="G761" s="1074"/>
      <c r="I761" s="961"/>
      <c r="J761" s="635"/>
      <c r="K761" s="458"/>
      <c r="L761" s="459"/>
      <c r="M761" s="146"/>
      <c r="N761" s="146"/>
      <c r="O761" s="146"/>
      <c r="P761" s="146"/>
      <c r="Q761" s="146"/>
      <c r="R761" s="146"/>
      <c r="S761" s="146"/>
      <c r="T761" s="146"/>
    </row>
    <row r="762" s="70" customFormat="true" ht="16" hidden="false" customHeight="false" outlineLevel="0" collapsed="false">
      <c r="A762" s="1263"/>
      <c r="B762" s="1264" t="s">
        <v>1512</v>
      </c>
      <c r="C762" s="1264" t="s">
        <v>1513</v>
      </c>
      <c r="D762" s="1264" t="s">
        <v>1514</v>
      </c>
      <c r="E762" s="1264" t="s">
        <v>1515</v>
      </c>
      <c r="F762" s="1265"/>
      <c r="G762" s="1265"/>
      <c r="H762" s="980" t="s">
        <v>1516</v>
      </c>
      <c r="J762" s="1266"/>
      <c r="K762" s="458"/>
      <c r="L762" s="459"/>
      <c r="M762" s="146"/>
    </row>
    <row r="763" customFormat="false" ht="20" hidden="false" customHeight="true" outlineLevel="0" collapsed="false">
      <c r="A763" s="1267" t="s">
        <v>1517</v>
      </c>
      <c r="B763" s="1268" t="s">
        <v>1518</v>
      </c>
      <c r="C763" s="1269" t="n">
        <f aca="false">D604</f>
        <v>15000</v>
      </c>
      <c r="D763" s="1270" t="s">
        <v>1021</v>
      </c>
      <c r="E763" s="1271" t="n">
        <v>3</v>
      </c>
      <c r="F763" s="1272"/>
      <c r="G763" s="1273"/>
      <c r="H763" s="1274" t="n">
        <f aca="false">C763*E763</f>
        <v>45000</v>
      </c>
      <c r="J763" s="1275"/>
      <c r="K763" s="458"/>
      <c r="L763" s="459"/>
      <c r="M763" s="146"/>
      <c r="N763" s="70"/>
      <c r="O763" s="70"/>
      <c r="P763" s="70"/>
      <c r="Q763" s="70"/>
      <c r="R763" s="70"/>
      <c r="S763" s="70"/>
      <c r="T763" s="70"/>
      <c r="U763" s="70"/>
      <c r="V763" s="70"/>
      <c r="W763" s="70"/>
      <c r="X763" s="70"/>
    </row>
    <row r="764" customFormat="false" ht="20" hidden="false" customHeight="true" outlineLevel="0" collapsed="false">
      <c r="A764" s="1267"/>
      <c r="B764" s="1276" t="s">
        <v>1519</v>
      </c>
      <c r="C764" s="851" t="n">
        <f aca="false">D603</f>
        <v>6474</v>
      </c>
      <c r="D764" s="1038" t="s">
        <v>1520</v>
      </c>
      <c r="E764" s="1277" t="n">
        <v>0.8</v>
      </c>
      <c r="F764" s="1278"/>
      <c r="G764" s="1279"/>
      <c r="H764" s="1280" t="n">
        <f aca="false">C764*E764</f>
        <v>5179.2</v>
      </c>
      <c r="J764" s="1275"/>
      <c r="K764" s="458"/>
      <c r="L764" s="459"/>
      <c r="M764" s="146"/>
      <c r="N764" s="70"/>
      <c r="O764" s="70"/>
      <c r="P764" s="70"/>
      <c r="Q764" s="70"/>
      <c r="R764" s="70"/>
      <c r="S764" s="70"/>
      <c r="T764" s="70"/>
      <c r="U764" s="70"/>
      <c r="V764" s="70"/>
      <c r="W764" s="70"/>
      <c r="X764" s="70"/>
    </row>
    <row r="765" customFormat="false" ht="20" hidden="false" customHeight="true" outlineLevel="0" collapsed="false">
      <c r="A765" s="1267"/>
      <c r="B765" s="1276" t="s">
        <v>1521</v>
      </c>
      <c r="C765" s="851" t="n">
        <f aca="false">D606+D607</f>
        <v>0</v>
      </c>
      <c r="D765" s="1038" t="s">
        <v>1522</v>
      </c>
      <c r="E765" s="1277" t="n">
        <v>3.4</v>
      </c>
      <c r="F765" s="1278"/>
      <c r="G765" s="1279"/>
      <c r="H765" s="1280" t="n">
        <f aca="false">C765*E765</f>
        <v>0</v>
      </c>
      <c r="J765" s="1266"/>
      <c r="K765" s="458"/>
      <c r="L765" s="459"/>
      <c r="M765" s="146"/>
      <c r="N765" s="146"/>
      <c r="O765" s="146"/>
      <c r="P765" s="146"/>
      <c r="Q765" s="146"/>
      <c r="R765" s="146"/>
      <c r="S765" s="146"/>
      <c r="T765" s="146"/>
    </row>
    <row r="766" customFormat="false" ht="15" hidden="false" customHeight="false" outlineLevel="0" collapsed="false">
      <c r="A766" s="1267"/>
      <c r="B766" s="1276" t="s">
        <v>1523</v>
      </c>
      <c r="C766" s="851" t="n">
        <f aca="false">'Bilan apparent'!F46</f>
        <v>5420</v>
      </c>
      <c r="D766" s="1038" t="s">
        <v>1524</v>
      </c>
      <c r="E766" s="1277" t="n">
        <v>6.2</v>
      </c>
      <c r="F766" s="1278"/>
      <c r="G766" s="1279"/>
      <c r="H766" s="1280" t="n">
        <f aca="false">C766*E766</f>
        <v>33604</v>
      </c>
      <c r="K766" s="1281"/>
      <c r="L766" s="458"/>
      <c r="M766" s="146"/>
      <c r="N766" s="146"/>
      <c r="O766" s="146"/>
      <c r="P766" s="146"/>
      <c r="Q766" s="146"/>
      <c r="R766" s="146"/>
      <c r="S766" s="146"/>
      <c r="T766" s="146"/>
    </row>
    <row r="767" customFormat="false" ht="20" hidden="false" customHeight="true" outlineLevel="0" collapsed="false">
      <c r="A767" s="1267"/>
      <c r="B767" s="1276" t="s">
        <v>1525</v>
      </c>
      <c r="C767" s="1282" t="n">
        <f aca="false">B555*1000</f>
        <v>23000</v>
      </c>
      <c r="D767" s="1038" t="s">
        <v>540</v>
      </c>
      <c r="E767" s="1277" t="n">
        <v>1.2</v>
      </c>
      <c r="F767" s="1278"/>
      <c r="G767" s="1279"/>
      <c r="H767" s="1280" t="n">
        <f aca="false">C767*E767</f>
        <v>27600</v>
      </c>
      <c r="J767" s="1266"/>
      <c r="K767" s="458"/>
      <c r="L767" s="459"/>
      <c r="M767" s="146"/>
      <c r="N767" s="146"/>
      <c r="O767" s="146"/>
      <c r="P767" s="146"/>
      <c r="Q767" s="146"/>
      <c r="R767" s="146"/>
      <c r="S767" s="146"/>
      <c r="T767" s="146"/>
    </row>
    <row r="768" customFormat="false" ht="20" hidden="false" customHeight="true" outlineLevel="0" collapsed="false">
      <c r="A768" s="1283" t="s">
        <v>1526</v>
      </c>
      <c r="B768" s="1276" t="s">
        <v>1527</v>
      </c>
      <c r="C768" s="1284" t="n">
        <f aca="false">I84</f>
        <v>154.2</v>
      </c>
      <c r="D768" s="1038" t="s">
        <v>1528</v>
      </c>
      <c r="E768" s="1277" t="n">
        <v>2500</v>
      </c>
      <c r="F768" s="1285"/>
      <c r="G768" s="1286"/>
      <c r="H768" s="1280" t="n">
        <f aca="false">C768*E768</f>
        <v>385500</v>
      </c>
      <c r="J768" s="1266"/>
      <c r="K768" s="458"/>
      <c r="L768" s="459"/>
      <c r="M768" s="146"/>
      <c r="N768" s="146"/>
      <c r="O768" s="146"/>
      <c r="P768" s="146"/>
      <c r="Q768" s="146"/>
      <c r="R768" s="146"/>
      <c r="S768" s="146"/>
      <c r="T768" s="146"/>
    </row>
    <row r="769" customFormat="false" ht="30" hidden="false" customHeight="true" outlineLevel="0" collapsed="false">
      <c r="A769" s="1283"/>
      <c r="B769" s="1276" t="s">
        <v>1529</v>
      </c>
      <c r="C769" s="1284" t="n">
        <f aca="false">I83</f>
        <v>154.2</v>
      </c>
      <c r="D769" s="1038" t="s">
        <v>1530</v>
      </c>
      <c r="E769" s="1287" t="n">
        <v>81</v>
      </c>
      <c r="F769" s="1288" t="s">
        <v>1531</v>
      </c>
      <c r="G769" s="1289" t="n">
        <v>3.75</v>
      </c>
      <c r="H769" s="1280" t="n">
        <f aca="false">C769*G769*E769</f>
        <v>46838.25</v>
      </c>
      <c r="J769" s="1266"/>
      <c r="K769" s="458"/>
      <c r="L769" s="459" t="s">
        <v>972</v>
      </c>
      <c r="M769" s="146"/>
      <c r="N769" s="146"/>
      <c r="O769" s="146"/>
      <c r="P769" s="146"/>
      <c r="Q769" s="146"/>
      <c r="R769" s="146"/>
      <c r="S769" s="146"/>
      <c r="T769" s="146"/>
      <c r="AF769" s="70"/>
    </row>
    <row r="770" s="70" customFormat="true" ht="30" hidden="false" customHeight="false" outlineLevel="0" collapsed="false">
      <c r="A770" s="1283"/>
      <c r="B770" s="1276" t="s">
        <v>1532</v>
      </c>
      <c r="C770" s="1284"/>
      <c r="D770" s="1038"/>
      <c r="E770" s="1287" t="n">
        <v>0.6</v>
      </c>
      <c r="F770" s="1290" t="s">
        <v>1533</v>
      </c>
      <c r="G770" s="1291" t="n">
        <v>8.25</v>
      </c>
      <c r="H770" s="1280" t="n">
        <f aca="false">C769*G770*E770</f>
        <v>763.29</v>
      </c>
      <c r="K770" s="1292"/>
      <c r="L770" s="458"/>
      <c r="M770" s="146"/>
      <c r="N770" s="146"/>
      <c r="O770" s="146"/>
      <c r="P770" s="146"/>
      <c r="Q770" s="146"/>
      <c r="R770" s="146"/>
      <c r="S770" s="146"/>
      <c r="T770" s="146"/>
    </row>
    <row r="771" customFormat="false" ht="30" hidden="false" customHeight="true" outlineLevel="0" collapsed="false">
      <c r="A771" s="1283" t="s">
        <v>1534</v>
      </c>
      <c r="B771" s="1276" t="s">
        <v>1535</v>
      </c>
      <c r="C771" s="1284" t="n">
        <f aca="false">I83</f>
        <v>154.2</v>
      </c>
      <c r="D771" s="1038" t="s">
        <v>1530</v>
      </c>
      <c r="E771" s="1287" t="n">
        <v>47</v>
      </c>
      <c r="F771" s="1290" t="s">
        <v>1531</v>
      </c>
      <c r="G771" s="1291" t="n">
        <v>3.75</v>
      </c>
      <c r="H771" s="1280" t="n">
        <f aca="false">C771*G771*E771</f>
        <v>27177.75</v>
      </c>
      <c r="J771" s="1266"/>
      <c r="K771" s="458"/>
      <c r="L771" s="459"/>
      <c r="M771" s="146"/>
      <c r="N771" s="146"/>
      <c r="O771" s="146"/>
      <c r="P771" s="146"/>
      <c r="Q771" s="146"/>
      <c r="R771" s="146"/>
      <c r="S771" s="146"/>
      <c r="T771" s="146"/>
    </row>
    <row r="772" customFormat="false" ht="30" hidden="false" customHeight="false" outlineLevel="0" collapsed="false">
      <c r="A772" s="1283"/>
      <c r="B772" s="1276" t="s">
        <v>1532</v>
      </c>
      <c r="C772" s="1284"/>
      <c r="D772" s="1038"/>
      <c r="E772" s="1287" t="n">
        <v>53</v>
      </c>
      <c r="F772" s="1290" t="s">
        <v>1533</v>
      </c>
      <c r="G772" s="1291" t="n">
        <v>8.25</v>
      </c>
      <c r="H772" s="1280" t="n">
        <f aca="false">C771*G772*E772</f>
        <v>67423.95</v>
      </c>
      <c r="J772" s="1266"/>
      <c r="K772" s="458"/>
      <c r="L772" s="459"/>
      <c r="M772" s="146"/>
      <c r="N772" s="146"/>
      <c r="O772" s="146"/>
      <c r="P772" s="146"/>
      <c r="Q772" s="146"/>
      <c r="R772" s="146"/>
      <c r="S772" s="146"/>
      <c r="T772" s="146"/>
    </row>
    <row r="773" customFormat="false" ht="20" hidden="false" customHeight="true" outlineLevel="0" collapsed="false">
      <c r="A773" s="1283"/>
      <c r="B773" s="1276" t="s">
        <v>1523</v>
      </c>
      <c r="C773" s="851" t="n">
        <f aca="false">C766</f>
        <v>5420</v>
      </c>
      <c r="D773" s="1038" t="s">
        <v>1536</v>
      </c>
      <c r="E773" s="1287" t="n">
        <v>5</v>
      </c>
      <c r="F773" s="1293"/>
      <c r="G773" s="1293"/>
      <c r="H773" s="1280" t="n">
        <f aca="false">E773*C773</f>
        <v>27100</v>
      </c>
      <c r="J773" s="1266"/>
      <c r="K773" s="458"/>
      <c r="L773" s="459"/>
      <c r="M773" s="146"/>
      <c r="N773" s="146"/>
      <c r="O773" s="146"/>
      <c r="P773" s="146"/>
      <c r="Q773" s="146"/>
      <c r="R773" s="146"/>
      <c r="S773" s="146"/>
      <c r="T773" s="146"/>
    </row>
    <row r="774" customFormat="false" ht="19.5" hidden="false" customHeight="true" outlineLevel="0" collapsed="false">
      <c r="A774" s="1294" t="s">
        <v>1537</v>
      </c>
      <c r="B774" s="1294"/>
      <c r="C774" s="1294"/>
      <c r="D774" s="1294"/>
      <c r="E774" s="1294"/>
      <c r="F774" s="1294"/>
      <c r="G774" s="1294"/>
      <c r="H774" s="1295" t="n">
        <f aca="false">SUM(H763:H773)</f>
        <v>666186.44</v>
      </c>
      <c r="J774" s="1266"/>
      <c r="K774" s="458"/>
      <c r="L774" s="459"/>
      <c r="M774" s="146"/>
      <c r="N774" s="146"/>
      <c r="O774" s="146"/>
      <c r="P774" s="146"/>
      <c r="Q774" s="146"/>
      <c r="R774" s="146"/>
      <c r="S774" s="146"/>
      <c r="T774" s="146"/>
      <c r="AF774" s="70"/>
    </row>
    <row r="775" customFormat="false" ht="28" hidden="false" customHeight="true" outlineLevel="0" collapsed="false">
      <c r="A775" s="1267" t="s">
        <v>1538</v>
      </c>
      <c r="B775" s="1268" t="s">
        <v>1539</v>
      </c>
      <c r="C775" s="1296" t="n">
        <f aca="false">B16</f>
        <v>54.8</v>
      </c>
      <c r="D775" s="1270" t="s">
        <v>91</v>
      </c>
      <c r="E775" s="1271" t="n">
        <v>1833</v>
      </c>
      <c r="F775" s="1272"/>
      <c r="G775" s="1273"/>
      <c r="H775" s="1274" t="n">
        <f aca="false">C775*E775</f>
        <v>100448.4</v>
      </c>
      <c r="J775" s="1266"/>
      <c r="K775" s="458"/>
      <c r="L775" s="459"/>
      <c r="M775" s="146"/>
      <c r="N775" s="146"/>
      <c r="O775" s="146"/>
      <c r="P775" s="146"/>
      <c r="Q775" s="146"/>
      <c r="R775" s="146"/>
      <c r="S775" s="146"/>
      <c r="T775" s="146"/>
      <c r="AF775" s="70"/>
    </row>
    <row r="776" customFormat="false" ht="15" hidden="false" customHeight="false" outlineLevel="0" collapsed="false">
      <c r="A776" s="1267"/>
      <c r="B776" s="1276" t="s">
        <v>961</v>
      </c>
      <c r="C776" s="851" t="n">
        <f aca="false">B15</f>
        <v>63.93</v>
      </c>
      <c r="D776" s="1038" t="s">
        <v>91</v>
      </c>
      <c r="E776" s="1277" t="n">
        <v>262</v>
      </c>
      <c r="F776" s="1278"/>
      <c r="G776" s="1279"/>
      <c r="H776" s="1280" t="n">
        <f aca="false">C776*E776</f>
        <v>16749.66</v>
      </c>
      <c r="J776" s="1266"/>
      <c r="K776" s="458"/>
      <c r="L776" s="459"/>
      <c r="M776" s="146"/>
      <c r="N776" s="146"/>
      <c r="O776" s="146"/>
      <c r="P776" s="146"/>
      <c r="Q776" s="146"/>
      <c r="R776" s="146"/>
      <c r="S776" s="146"/>
      <c r="T776" s="146"/>
      <c r="AF776" s="70"/>
    </row>
    <row r="777" customFormat="false" ht="20" hidden="false" customHeight="true" outlineLevel="0" collapsed="false">
      <c r="A777" s="1267"/>
      <c r="B777" s="1276" t="s">
        <v>1540</v>
      </c>
      <c r="C777" s="851" t="n">
        <f aca="false">D504</f>
        <v>0</v>
      </c>
      <c r="D777" s="1038" t="s">
        <v>1541</v>
      </c>
      <c r="E777" s="1277" t="n">
        <v>4.6</v>
      </c>
      <c r="F777" s="1278"/>
      <c r="G777" s="1279"/>
      <c r="H777" s="1280" t="n">
        <f aca="false">C777*E777</f>
        <v>0</v>
      </c>
      <c r="J777" s="1266"/>
      <c r="K777" s="458"/>
      <c r="L777" s="459"/>
      <c r="M777" s="146"/>
      <c r="N777" s="70"/>
      <c r="O777" s="70"/>
      <c r="P777" s="70"/>
      <c r="Q777" s="70"/>
      <c r="R777" s="70"/>
      <c r="S777" s="70"/>
      <c r="T777" s="70"/>
      <c r="U777" s="70"/>
      <c r="V777" s="70"/>
      <c r="W777" s="70"/>
      <c r="X777" s="70"/>
      <c r="AF777" s="70"/>
    </row>
    <row r="778" customFormat="false" ht="15" hidden="false" customHeight="false" outlineLevel="0" collapsed="false">
      <c r="A778" s="1267"/>
      <c r="B778" s="1276" t="s">
        <v>1542</v>
      </c>
      <c r="C778" s="1297"/>
      <c r="D778" s="1038" t="s">
        <v>1543</v>
      </c>
      <c r="E778" s="1298" t="n">
        <v>500</v>
      </c>
      <c r="F778" s="1278"/>
      <c r="G778" s="1279"/>
      <c r="H778" s="1280" t="n">
        <f aca="false">C778*E778</f>
        <v>0</v>
      </c>
      <c r="J778" s="1275"/>
      <c r="K778" s="458"/>
      <c r="L778" s="459" t="s">
        <v>1359</v>
      </c>
      <c r="M778" s="146"/>
      <c r="N778" s="70"/>
      <c r="O778" s="70"/>
      <c r="P778" s="70"/>
      <c r="Q778" s="70"/>
      <c r="R778" s="70"/>
      <c r="S778" s="70"/>
      <c r="T778" s="70"/>
      <c r="U778" s="70"/>
      <c r="V778" s="70"/>
      <c r="W778" s="70"/>
      <c r="X778" s="70"/>
    </row>
    <row r="779" customFormat="false" ht="20" hidden="false" customHeight="true" outlineLevel="0" collapsed="false">
      <c r="A779" s="1294" t="s">
        <v>1544</v>
      </c>
      <c r="B779" s="1294"/>
      <c r="C779" s="1294"/>
      <c r="D779" s="1294"/>
      <c r="E779" s="1294"/>
      <c r="F779" s="1294"/>
      <c r="G779" s="1294"/>
      <c r="H779" s="1295" t="n">
        <f aca="false">SUM(H775:H778)</f>
        <v>117198.06</v>
      </c>
      <c r="J779" s="1266"/>
      <c r="K779" s="458"/>
      <c r="L779" s="459"/>
      <c r="M779" s="146"/>
      <c r="N779" s="146"/>
      <c r="O779" s="146"/>
      <c r="P779" s="146"/>
      <c r="Q779" s="146"/>
      <c r="R779" s="146"/>
      <c r="S779" s="146"/>
      <c r="T779" s="146"/>
    </row>
    <row r="780" customFormat="false" ht="20" hidden="false" customHeight="true" outlineLevel="0" collapsed="false">
      <c r="C780" s="1299"/>
      <c r="D780" s="1299"/>
      <c r="E780" s="1299"/>
      <c r="G780" s="1299"/>
      <c r="H780" s="1299"/>
      <c r="J780" s="1266"/>
      <c r="K780" s="679"/>
      <c r="L780" s="679"/>
      <c r="M780" s="146"/>
      <c r="N780" s="146"/>
      <c r="O780" s="146"/>
      <c r="P780" s="146"/>
      <c r="Q780" s="146"/>
      <c r="R780" s="146"/>
      <c r="S780" s="146"/>
      <c r="T780" s="146"/>
    </row>
    <row r="781" customFormat="false" ht="20" hidden="false" customHeight="true" outlineLevel="0" collapsed="false">
      <c r="B781" s="1300"/>
      <c r="G781" s="463" t="s">
        <v>1545</v>
      </c>
      <c r="H781" s="1301" t="n">
        <f aca="false">(H774-H779)/1000</f>
        <v>548.98838</v>
      </c>
      <c r="I781" s="1302" t="s">
        <v>1546</v>
      </c>
      <c r="K781" s="70"/>
      <c r="L781" s="70"/>
      <c r="M781" s="146"/>
      <c r="N781" s="146"/>
      <c r="O781" s="146"/>
      <c r="P781" s="146"/>
      <c r="Q781" s="146"/>
      <c r="R781" s="146"/>
      <c r="S781" s="146"/>
      <c r="T781" s="146"/>
    </row>
    <row r="782" customFormat="false" ht="16" hidden="false" customHeight="false" outlineLevel="0" collapsed="false">
      <c r="F782" s="14"/>
      <c r="G782" s="72"/>
      <c r="H782" s="72"/>
      <c r="I782" s="72"/>
      <c r="J782" s="1266"/>
      <c r="K782" s="934"/>
      <c r="L782" s="906"/>
      <c r="M782" s="146"/>
      <c r="N782" s="70"/>
      <c r="O782" s="70"/>
      <c r="P782" s="70"/>
      <c r="Q782" s="70"/>
      <c r="R782" s="70"/>
      <c r="S782" s="70"/>
      <c r="T782" s="70"/>
      <c r="U782" s="70"/>
      <c r="V782" s="70"/>
      <c r="W782" s="70"/>
      <c r="X782" s="70"/>
    </row>
    <row r="783" customFormat="false" ht="15.75" hidden="false" customHeight="true" outlineLevel="0" collapsed="false">
      <c r="F783" s="14"/>
      <c r="G783" s="72"/>
      <c r="H783" s="72"/>
      <c r="I783" s="72"/>
      <c r="J783" s="1266"/>
      <c r="K783" s="934"/>
      <c r="L783" s="906"/>
      <c r="M783" s="146"/>
      <c r="N783" s="146"/>
      <c r="O783" s="146"/>
      <c r="P783" s="146"/>
      <c r="Q783" s="146"/>
      <c r="R783" s="146"/>
      <c r="S783" s="146"/>
      <c r="T783" s="146"/>
    </row>
    <row r="784" customFormat="false" ht="15.75" hidden="false" customHeight="true" outlineLevel="0" collapsed="false">
      <c r="A784" s="896" t="s">
        <v>1547</v>
      </c>
      <c r="B784" s="896"/>
      <c r="C784" s="896"/>
      <c r="D784" s="896"/>
      <c r="E784" s="896"/>
      <c r="F784" s="896"/>
      <c r="G784" s="896"/>
      <c r="H784" s="897"/>
      <c r="I784" s="897"/>
      <c r="J784" s="897"/>
      <c r="K784" s="899"/>
      <c r="L784" s="899" t="s">
        <v>1548</v>
      </c>
      <c r="M784" s="146"/>
      <c r="N784" s="382"/>
      <c r="O784" s="382"/>
      <c r="P784" s="382"/>
      <c r="Q784" s="70"/>
      <c r="R784" s="70"/>
      <c r="S784" s="70"/>
      <c r="T784" s="146"/>
    </row>
    <row r="785" customFormat="false" ht="16.5" hidden="false" customHeight="true" outlineLevel="0" collapsed="false">
      <c r="A785" s="1303"/>
      <c r="F785" s="1304"/>
      <c r="K785" s="458"/>
      <c r="L785" s="459"/>
      <c r="M785" s="146"/>
      <c r="N785" s="382"/>
      <c r="O785" s="382"/>
      <c r="P785" s="382"/>
      <c r="Q785" s="70"/>
      <c r="R785" s="70"/>
      <c r="S785" s="70"/>
      <c r="T785" s="146"/>
    </row>
    <row r="786" customFormat="false" ht="36" hidden="false" customHeight="true" outlineLevel="0" collapsed="false">
      <c r="A786" s="1305" t="s">
        <v>1549</v>
      </c>
      <c r="B786" s="1305"/>
      <c r="C786" s="1305"/>
      <c r="D786" s="1305"/>
      <c r="E786" s="1305"/>
      <c r="F786" s="1305"/>
      <c r="G786" s="1305"/>
      <c r="K786" s="458"/>
      <c r="L786" s="459" t="s">
        <v>1550</v>
      </c>
      <c r="M786" s="146"/>
      <c r="N786" s="382"/>
      <c r="O786" s="382"/>
      <c r="P786" s="382"/>
      <c r="Q786" s="70"/>
      <c r="R786" s="70"/>
      <c r="S786" s="70"/>
      <c r="T786" s="146"/>
    </row>
    <row r="787" customFormat="false" ht="36" hidden="false" customHeight="true" outlineLevel="0" collapsed="false">
      <c r="A787" s="1306"/>
      <c r="B787" s="1306"/>
      <c r="C787" s="1306"/>
      <c r="D787" s="1306"/>
      <c r="F787" s="989"/>
      <c r="G787" s="14"/>
      <c r="K787" s="458"/>
      <c r="L787" s="459"/>
      <c r="M787" s="146"/>
      <c r="N787" s="382"/>
      <c r="O787" s="382"/>
      <c r="P787" s="382"/>
      <c r="Q787" s="70"/>
      <c r="R787" s="70"/>
      <c r="S787" s="70"/>
      <c r="T787" s="146"/>
    </row>
    <row r="788" customFormat="false" ht="16" hidden="false" customHeight="false" outlineLevel="0" collapsed="false">
      <c r="A788" s="1263" t="s">
        <v>492</v>
      </c>
      <c r="B788" s="1264" t="s">
        <v>494</v>
      </c>
      <c r="C788" s="1307" t="s">
        <v>1551</v>
      </c>
      <c r="D788" s="1264" t="s">
        <v>496</v>
      </c>
      <c r="E788" s="1264" t="s">
        <v>497</v>
      </c>
      <c r="F788" s="1307" t="s">
        <v>1552</v>
      </c>
      <c r="G788" s="1308" t="s">
        <v>1553</v>
      </c>
      <c r="K788" s="458"/>
      <c r="L788" s="459"/>
      <c r="M788" s="146"/>
      <c r="N788" s="382"/>
      <c r="O788" s="382"/>
      <c r="P788" s="382"/>
      <c r="Q788" s="70"/>
      <c r="R788" s="70"/>
      <c r="S788" s="70"/>
      <c r="T788" s="146"/>
    </row>
    <row r="789" customFormat="false" ht="16.5" hidden="false" customHeight="true" outlineLevel="0" collapsed="false">
      <c r="A789" s="1309" t="s">
        <v>1554</v>
      </c>
      <c r="B789" s="1309" t="s">
        <v>1555</v>
      </c>
      <c r="C789" s="1309"/>
      <c r="D789" s="1309" t="s">
        <v>523</v>
      </c>
      <c r="E789" s="1309" t="n">
        <v>11.03</v>
      </c>
      <c r="F789" s="1309" t="n">
        <v>11.03</v>
      </c>
      <c r="G789" s="1310" t="n">
        <v>1.26</v>
      </c>
      <c r="H789" s="1311" t="n">
        <f aca="false">IF(F789="",0,G789*E789)</f>
        <v>13.8978</v>
      </c>
      <c r="K789" s="458"/>
      <c r="L789" s="459"/>
      <c r="M789" s="146"/>
      <c r="N789" s="382"/>
      <c r="O789" s="382"/>
      <c r="P789" s="382"/>
      <c r="Q789" s="70"/>
      <c r="R789" s="70"/>
      <c r="S789" s="70"/>
      <c r="T789" s="146"/>
    </row>
    <row r="790" customFormat="false" ht="20" hidden="false" customHeight="true" outlineLevel="0" collapsed="false">
      <c r="A790" s="1312"/>
      <c r="B790" s="1312" t="s">
        <v>1556</v>
      </c>
      <c r="C790" s="1312"/>
      <c r="D790" s="1312"/>
      <c r="E790" s="1312" t="n">
        <v>11.03</v>
      </c>
      <c r="F790" s="1312" t="n">
        <v>11.03</v>
      </c>
      <c r="G790" s="851" t="n">
        <v>0.41</v>
      </c>
      <c r="H790" s="1311" t="n">
        <f aca="false">IF(F790="",0,G790*E790)</f>
        <v>4.5223</v>
      </c>
      <c r="I790" s="459"/>
      <c r="J790" s="459"/>
      <c r="K790" s="459"/>
      <c r="L790" s="459"/>
      <c r="M790" s="459"/>
      <c r="N790" s="382"/>
      <c r="O790" s="382"/>
      <c r="P790" s="382"/>
      <c r="Q790" s="70"/>
      <c r="R790" s="70"/>
      <c r="S790" s="70"/>
      <c r="T790" s="146"/>
    </row>
    <row r="791" customFormat="false" ht="20" hidden="false" customHeight="true" outlineLevel="0" collapsed="false">
      <c r="A791" s="1312" t="s">
        <v>1557</v>
      </c>
      <c r="B791" s="1312" t="s">
        <v>1555</v>
      </c>
      <c r="C791" s="1312"/>
      <c r="D791" s="1312"/>
      <c r="E791" s="1312" t="n">
        <v>19.15</v>
      </c>
      <c r="F791" s="1312" t="n">
        <v>19.15</v>
      </c>
      <c r="G791" s="851" t="n">
        <v>0.52</v>
      </c>
      <c r="H791" s="1311" t="n">
        <f aca="false">IF(F791="",0,G791*E791)</f>
        <v>9.958</v>
      </c>
      <c r="I791" s="459"/>
      <c r="J791" s="459"/>
      <c r="K791" s="459"/>
      <c r="L791" s="459"/>
      <c r="M791" s="459"/>
      <c r="N791" s="382"/>
      <c r="O791" s="382"/>
      <c r="P791" s="382"/>
      <c r="Q791" s="70"/>
      <c r="R791" s="70"/>
      <c r="S791" s="70"/>
      <c r="T791" s="146"/>
    </row>
    <row r="792" customFormat="false" ht="16.5" hidden="false" customHeight="true" outlineLevel="0" collapsed="false">
      <c r="A792" s="1312"/>
      <c r="B792" s="1312" t="s">
        <v>1556</v>
      </c>
      <c r="C792" s="1312"/>
      <c r="D792" s="1312"/>
      <c r="E792" s="1312" t="n">
        <v>19.15</v>
      </c>
      <c r="F792" s="1312" t="n">
        <v>19.15</v>
      </c>
      <c r="G792" s="851" t="n">
        <v>1</v>
      </c>
      <c r="H792" s="1311" t="n">
        <f aca="false">IF(F792="",0,G792*E792)</f>
        <v>19.15</v>
      </c>
      <c r="I792" s="459"/>
      <c r="J792" s="459"/>
      <c r="K792" s="459"/>
      <c r="L792" s="459"/>
      <c r="M792" s="459"/>
      <c r="N792" s="382"/>
      <c r="O792" s="382"/>
      <c r="P792" s="382"/>
      <c r="Q792" s="70"/>
      <c r="R792" s="70"/>
      <c r="S792" s="70"/>
      <c r="T792" s="146"/>
    </row>
    <row r="793" customFormat="false" ht="20" hidden="false" customHeight="true" outlineLevel="0" collapsed="false">
      <c r="A793" s="1312" t="s">
        <v>1558</v>
      </c>
      <c r="B793" s="1312" t="s">
        <v>1555</v>
      </c>
      <c r="C793" s="1312"/>
      <c r="D793" s="1312"/>
      <c r="E793" s="1312" t="n">
        <v>14.58</v>
      </c>
      <c r="F793" s="1312" t="n">
        <v>14.58</v>
      </c>
      <c r="G793" s="851" t="n">
        <v>0</v>
      </c>
      <c r="H793" s="1311" t="n">
        <f aca="false">IF(F793="",0,G793*E793)</f>
        <v>0</v>
      </c>
      <c r="I793" s="459"/>
      <c r="J793" s="459"/>
      <c r="K793" s="459"/>
      <c r="L793" s="459"/>
      <c r="M793" s="459"/>
      <c r="N793" s="382"/>
      <c r="O793" s="382"/>
      <c r="P793" s="382"/>
      <c r="Q793" s="70"/>
      <c r="R793" s="70"/>
      <c r="S793" s="70"/>
      <c r="T793" s="146"/>
    </row>
    <row r="794" customFormat="false" ht="20" hidden="false" customHeight="true" outlineLevel="0" collapsed="false">
      <c r="A794" s="1312"/>
      <c r="B794" s="1312" t="s">
        <v>1556</v>
      </c>
      <c r="C794" s="1312"/>
      <c r="D794" s="1312"/>
      <c r="E794" s="1312" t="n">
        <v>14.58</v>
      </c>
      <c r="F794" s="1312" t="n">
        <v>14.58</v>
      </c>
      <c r="G794" s="851" t="n">
        <v>1</v>
      </c>
      <c r="H794" s="1311" t="n">
        <f aca="false">IF(F794="",0,G794*E794)</f>
        <v>14.58</v>
      </c>
      <c r="I794" s="459"/>
      <c r="J794" s="459"/>
      <c r="K794" s="459"/>
      <c r="L794" s="459"/>
      <c r="M794" s="459"/>
      <c r="N794" s="382"/>
      <c r="O794" s="382"/>
      <c r="P794" s="382"/>
      <c r="Q794" s="70"/>
      <c r="R794" s="70"/>
      <c r="S794" s="70"/>
      <c r="T794" s="146"/>
    </row>
    <row r="795" customFormat="false" ht="20" hidden="false" customHeight="true" outlineLevel="0" collapsed="false">
      <c r="A795" s="1312" t="s">
        <v>1559</v>
      </c>
      <c r="B795" s="1312" t="s">
        <v>1555</v>
      </c>
      <c r="C795" s="1312"/>
      <c r="D795" s="1312"/>
      <c r="E795" s="1312" t="n">
        <v>7.37</v>
      </c>
      <c r="F795" s="1312" t="n">
        <v>7.37</v>
      </c>
      <c r="G795" s="851" t="n">
        <v>1</v>
      </c>
      <c r="H795" s="1311" t="n">
        <f aca="false">IF(F795="",0,G795*E795)</f>
        <v>7.37</v>
      </c>
      <c r="I795" s="459"/>
      <c r="J795" s="459"/>
      <c r="K795" s="459"/>
      <c r="L795" s="459"/>
      <c r="M795" s="459"/>
      <c r="N795" s="382"/>
      <c r="O795" s="382"/>
      <c r="P795" s="382"/>
      <c r="Q795" s="70"/>
      <c r="R795" s="70"/>
      <c r="S795" s="70"/>
      <c r="T795" s="146"/>
    </row>
    <row r="796" customFormat="false" ht="20" hidden="false" customHeight="true" outlineLevel="0" collapsed="false">
      <c r="A796" s="1312"/>
      <c r="B796" s="1312" t="s">
        <v>1556</v>
      </c>
      <c r="C796" s="1312"/>
      <c r="D796" s="1312"/>
      <c r="E796" s="1312" t="n">
        <v>7.37</v>
      </c>
      <c r="F796" s="1312" t="n">
        <v>7.37</v>
      </c>
      <c r="G796" s="851" t="n">
        <v>2</v>
      </c>
      <c r="H796" s="1311" t="n">
        <f aca="false">IF(F796="",0,G796*E796)</f>
        <v>14.74</v>
      </c>
      <c r="I796" s="459"/>
      <c r="J796" s="459"/>
      <c r="K796" s="459"/>
      <c r="L796" s="459"/>
      <c r="M796" s="459"/>
      <c r="N796" s="382"/>
      <c r="O796" s="382"/>
      <c r="P796" s="382"/>
      <c r="Q796" s="70"/>
      <c r="R796" s="70"/>
      <c r="S796" s="70"/>
      <c r="T796" s="146"/>
    </row>
    <row r="797" customFormat="false" ht="14" hidden="false" customHeight="false" outlineLevel="0" collapsed="false">
      <c r="A797" s="1312"/>
      <c r="B797" s="1312"/>
      <c r="C797" s="1312"/>
      <c r="D797" s="1312"/>
      <c r="E797" s="1312"/>
      <c r="F797" s="1312"/>
      <c r="G797" s="851" t="e">
        <f aca="false">(C797/D797)*(E797/F797)</f>
        <v>#DIV/0!</v>
      </c>
      <c r="H797" s="1311" t="n">
        <f aca="false">IF(F797="",0,G797*E797)</f>
        <v>0</v>
      </c>
      <c r="I797" s="459"/>
      <c r="J797" s="459"/>
      <c r="K797" s="459"/>
      <c r="L797" s="459"/>
      <c r="M797" s="459"/>
      <c r="N797" s="382"/>
      <c r="O797" s="382"/>
      <c r="P797" s="382"/>
      <c r="Q797" s="70"/>
      <c r="R797" s="70"/>
      <c r="S797" s="70"/>
      <c r="T797" s="146"/>
    </row>
    <row r="798" customFormat="false" ht="14" hidden="false" customHeight="false" outlineLevel="0" collapsed="false">
      <c r="A798" s="1312"/>
      <c r="B798" s="1312"/>
      <c r="C798" s="1312"/>
      <c r="D798" s="1312"/>
      <c r="E798" s="1312"/>
      <c r="F798" s="1312"/>
      <c r="G798" s="851" t="e">
        <f aca="false">(C798/D798)*(E798/F798)</f>
        <v>#DIV/0!</v>
      </c>
      <c r="H798" s="1311" t="n">
        <f aca="false">IF(F798="",0,G798*E798)</f>
        <v>0</v>
      </c>
      <c r="I798" s="459"/>
      <c r="J798" s="1313"/>
      <c r="K798" s="459"/>
      <c r="L798" s="459"/>
      <c r="M798" s="459"/>
      <c r="N798" s="382"/>
      <c r="O798" s="382"/>
      <c r="P798" s="382"/>
      <c r="Q798" s="70"/>
      <c r="R798" s="70"/>
      <c r="S798" s="70"/>
      <c r="T798" s="146"/>
    </row>
    <row r="799" customFormat="false" ht="14" hidden="false" customHeight="false" outlineLevel="0" collapsed="false">
      <c r="A799" s="1312"/>
      <c r="B799" s="1312"/>
      <c r="C799" s="1312"/>
      <c r="D799" s="1312"/>
      <c r="E799" s="1312"/>
      <c r="F799" s="1312"/>
      <c r="G799" s="851" t="e">
        <f aca="false">(C799/D799)*(E799/F799)</f>
        <v>#DIV/0!</v>
      </c>
      <c r="H799" s="1311" t="n">
        <f aca="false">IF(F799="",0,G799*E799)</f>
        <v>0</v>
      </c>
      <c r="I799" s="459"/>
      <c r="J799" s="1313"/>
      <c r="K799" s="459"/>
      <c r="L799" s="459"/>
      <c r="M799" s="459"/>
      <c r="N799" s="382"/>
      <c r="O799" s="382"/>
      <c r="P799" s="382"/>
      <c r="Q799" s="70"/>
      <c r="R799" s="70"/>
      <c r="S799" s="70"/>
      <c r="T799" s="146"/>
    </row>
    <row r="800" customFormat="false" ht="14" hidden="false" customHeight="false" outlineLevel="0" collapsed="false">
      <c r="A800" s="1312"/>
      <c r="B800" s="1312"/>
      <c r="C800" s="1312"/>
      <c r="D800" s="1312"/>
      <c r="E800" s="1312"/>
      <c r="F800" s="1312"/>
      <c r="G800" s="851" t="e">
        <f aca="false">(C800/D800)*(E800/F800)</f>
        <v>#DIV/0!</v>
      </c>
      <c r="H800" s="1311" t="n">
        <f aca="false">IF(F800="",0,G800*E800)</f>
        <v>0</v>
      </c>
      <c r="I800" s="459"/>
      <c r="J800" s="459"/>
      <c r="K800" s="459"/>
      <c r="L800" s="459"/>
      <c r="M800" s="459"/>
      <c r="N800" s="382"/>
      <c r="O800" s="382"/>
      <c r="P800" s="382"/>
      <c r="Q800" s="70"/>
      <c r="R800" s="70"/>
      <c r="S800" s="70"/>
      <c r="T800" s="146"/>
    </row>
    <row r="801" s="11" customFormat="true" ht="28.5" hidden="false" customHeight="true" outlineLevel="0" collapsed="false">
      <c r="K801" s="458"/>
      <c r="L801" s="459"/>
      <c r="M801" s="146"/>
      <c r="N801" s="382"/>
      <c r="O801" s="382"/>
      <c r="P801" s="382"/>
      <c r="Q801" s="70"/>
      <c r="R801" s="70"/>
      <c r="S801" s="70"/>
      <c r="T801" s="146"/>
    </row>
    <row r="802" s="11" customFormat="true" ht="19.5" hidden="false" customHeight="true" outlineLevel="0" collapsed="false">
      <c r="A802" s="989" t="s">
        <v>1560</v>
      </c>
      <c r="D802" s="1011" t="n">
        <f aca="false">SUM(H789:H800)/B13</f>
        <v>0.492158134642356</v>
      </c>
      <c r="F802" s="989" t="s">
        <v>1561</v>
      </c>
      <c r="H802" s="1314" t="n">
        <f aca="false">IF(C789=",","#VALEUR!",SUMIF(B789:B800,"=Herbicide (H)",H789:H800)/B13)</f>
        <v>0.182478962131837</v>
      </c>
      <c r="K802" s="458"/>
      <c r="L802" s="459"/>
      <c r="M802" s="146"/>
      <c r="N802" s="382"/>
      <c r="O802" s="382"/>
      <c r="P802" s="382"/>
      <c r="Q802" s="70"/>
      <c r="R802" s="70"/>
      <c r="S802" s="70"/>
      <c r="T802" s="146"/>
    </row>
    <row r="803" s="11" customFormat="true" ht="20" hidden="false" customHeight="true" outlineLevel="0" collapsed="false">
      <c r="A803" s="1306"/>
      <c r="B803" s="1306"/>
      <c r="C803" s="1306"/>
      <c r="D803" s="1306"/>
      <c r="F803" s="989"/>
      <c r="G803" s="14"/>
      <c r="H803" s="1315"/>
      <c r="K803" s="458"/>
      <c r="L803" s="459"/>
      <c r="M803" s="382"/>
      <c r="N803" s="382"/>
      <c r="O803" s="382"/>
      <c r="P803" s="382"/>
      <c r="Q803" s="70"/>
      <c r="R803" s="70"/>
      <c r="S803" s="70"/>
      <c r="T803" s="146"/>
    </row>
    <row r="804" customFormat="false" ht="20" hidden="false" customHeight="true" outlineLevel="0" collapsed="false">
      <c r="A804" s="989" t="s">
        <v>1562</v>
      </c>
      <c r="D804" s="70"/>
      <c r="E804" s="70"/>
      <c r="F804" s="937" t="s">
        <v>242</v>
      </c>
      <c r="G804" s="14"/>
      <c r="H804" s="14"/>
      <c r="I804" s="14"/>
      <c r="J804" s="14"/>
      <c r="K804" s="14"/>
      <c r="L804" s="14"/>
      <c r="M804" s="14"/>
      <c r="N804" s="14"/>
      <c r="O804" s="382"/>
      <c r="P804" s="382"/>
      <c r="Q804" s="70"/>
      <c r="R804" s="70"/>
      <c r="S804" s="70"/>
      <c r="T804" s="146"/>
    </row>
    <row r="805" customFormat="false" ht="19.5" hidden="false" customHeight="true" outlineLevel="0" collapsed="false">
      <c r="A805" s="1316" t="s">
        <v>1563</v>
      </c>
      <c r="B805" s="1316"/>
      <c r="C805" s="1316"/>
      <c r="D805" s="70"/>
      <c r="E805" s="14"/>
      <c r="F805" s="14"/>
      <c r="G805" s="14"/>
      <c r="H805" s="14"/>
      <c r="I805" s="14"/>
      <c r="J805" s="14"/>
      <c r="K805" s="14"/>
      <c r="L805" s="14"/>
      <c r="M805" s="14"/>
      <c r="N805" s="14"/>
      <c r="O805" s="382"/>
      <c r="P805" s="382"/>
      <c r="Q805" s="70"/>
      <c r="R805" s="70"/>
      <c r="S805" s="70"/>
      <c r="T805" s="146"/>
    </row>
    <row r="806" customFormat="false" ht="19.5" hidden="false" customHeight="true" outlineLevel="0" collapsed="false">
      <c r="A806" s="14"/>
      <c r="B806" s="1317"/>
      <c r="C806" s="14"/>
      <c r="D806" s="14"/>
      <c r="E806" s="14"/>
      <c r="F806" s="14"/>
      <c r="G806" s="14"/>
      <c r="H806" s="14"/>
      <c r="I806" s="14"/>
      <c r="J806" s="14"/>
      <c r="K806" s="14"/>
      <c r="L806" s="14"/>
      <c r="M806" s="14"/>
      <c r="N806" s="14"/>
      <c r="O806" s="382"/>
      <c r="P806" s="382"/>
      <c r="Q806" s="70"/>
      <c r="R806" s="70"/>
      <c r="S806" s="70"/>
      <c r="T806" s="146"/>
    </row>
    <row r="807" customFormat="false" ht="19.5" hidden="false" customHeight="true" outlineLevel="0" collapsed="false">
      <c r="A807" s="989" t="s">
        <v>1564</v>
      </c>
      <c r="B807" s="1317"/>
      <c r="C807" s="14"/>
      <c r="D807" s="14"/>
      <c r="E807" s="14"/>
      <c r="F807" s="14"/>
      <c r="G807" s="14"/>
      <c r="H807" s="14"/>
      <c r="I807" s="14"/>
      <c r="J807" s="14"/>
      <c r="K807" s="14"/>
      <c r="L807" s="14"/>
      <c r="M807" s="14"/>
      <c r="N807" s="14"/>
      <c r="O807" s="382"/>
      <c r="P807" s="382"/>
      <c r="Q807" s="70"/>
      <c r="R807" s="70"/>
      <c r="S807" s="70"/>
      <c r="T807" s="146"/>
    </row>
    <row r="808" customFormat="false" ht="19.5" hidden="false" customHeight="true" outlineLevel="0" collapsed="false">
      <c r="A808" s="938" t="s">
        <v>1236</v>
      </c>
      <c r="B808" s="1318" t="s">
        <v>486</v>
      </c>
      <c r="C808" s="1318"/>
      <c r="D808" s="1318"/>
      <c r="E808" s="1181" t="s">
        <v>243</v>
      </c>
      <c r="F808" s="1182"/>
      <c r="L808" s="14"/>
      <c r="M808" s="14"/>
      <c r="N808" s="14"/>
      <c r="O808" s="382"/>
      <c r="P808" s="382"/>
      <c r="Q808" s="70"/>
      <c r="R808" s="70"/>
      <c r="S808" s="70"/>
      <c r="T808" s="146"/>
    </row>
    <row r="809" customFormat="false" ht="19.5" hidden="false" customHeight="true" outlineLevel="0" collapsed="false">
      <c r="B809" s="1318" t="s">
        <v>487</v>
      </c>
      <c r="C809" s="1318"/>
      <c r="D809" s="1318"/>
      <c r="E809" s="1181" t="s">
        <v>242</v>
      </c>
      <c r="F809" s="1182"/>
      <c r="L809" s="14"/>
      <c r="M809" s="14"/>
      <c r="N809" s="14"/>
      <c r="O809" s="382"/>
      <c r="P809" s="382"/>
      <c r="Q809" s="70"/>
      <c r="R809" s="70"/>
      <c r="S809" s="70"/>
      <c r="T809" s="146"/>
    </row>
    <row r="810" customFormat="false" ht="19.5" hidden="false" customHeight="true" outlineLevel="0" collapsed="false">
      <c r="B810" s="1318" t="s">
        <v>488</v>
      </c>
      <c r="C810" s="1318"/>
      <c r="D810" s="1318"/>
      <c r="E810" s="1181" t="s">
        <v>243</v>
      </c>
      <c r="F810" s="1182"/>
      <c r="L810" s="14"/>
      <c r="M810" s="14"/>
      <c r="N810" s="14"/>
      <c r="O810" s="382"/>
      <c r="P810" s="382"/>
      <c r="Q810" s="70"/>
      <c r="R810" s="70"/>
      <c r="S810" s="70"/>
      <c r="T810" s="146"/>
    </row>
    <row r="811" customFormat="false" ht="19.5" hidden="false" customHeight="true" outlineLevel="0" collapsed="false">
      <c r="B811" s="1318" t="s">
        <v>489</v>
      </c>
      <c r="C811" s="1318"/>
      <c r="D811" s="1318"/>
      <c r="E811" s="1181" t="s">
        <v>242</v>
      </c>
      <c r="F811" s="1182"/>
      <c r="L811" s="14"/>
      <c r="M811" s="14"/>
      <c r="N811" s="14"/>
      <c r="O811" s="382"/>
      <c r="P811" s="382"/>
      <c r="Q811" s="70"/>
      <c r="R811" s="70"/>
      <c r="S811" s="70"/>
      <c r="T811" s="146"/>
    </row>
    <row r="812" customFormat="false" ht="19.5" hidden="false" customHeight="true" outlineLevel="0" collapsed="false">
      <c r="A812" s="14"/>
      <c r="B812" s="1317"/>
      <c r="C812" s="14"/>
      <c r="D812" s="14"/>
      <c r="E812" s="14"/>
      <c r="F812" s="14"/>
      <c r="G812" s="14"/>
      <c r="H812" s="14"/>
      <c r="I812" s="14"/>
      <c r="J812" s="14"/>
      <c r="K812" s="14"/>
      <c r="L812" s="14"/>
      <c r="M812" s="14"/>
      <c r="N812" s="14"/>
      <c r="O812" s="382"/>
      <c r="P812" s="382"/>
      <c r="Q812" s="70"/>
      <c r="R812" s="70"/>
      <c r="S812" s="70"/>
      <c r="T812" s="146"/>
    </row>
    <row r="813" customFormat="false" ht="19.5" hidden="false" customHeight="true" outlineLevel="0" collapsed="false">
      <c r="A813" s="14"/>
      <c r="B813" s="1317"/>
      <c r="C813" s="14"/>
      <c r="D813" s="14"/>
      <c r="E813" s="14"/>
      <c r="F813" s="14"/>
      <c r="G813" s="14"/>
      <c r="H813" s="14"/>
      <c r="I813" s="14"/>
      <c r="J813" s="14"/>
      <c r="K813" s="14"/>
      <c r="L813" s="14"/>
      <c r="M813" s="14"/>
      <c r="N813" s="14"/>
      <c r="O813" s="382"/>
      <c r="P813" s="382"/>
      <c r="Q813" s="70"/>
      <c r="R813" s="70"/>
      <c r="S813" s="70"/>
      <c r="T813" s="146"/>
    </row>
    <row r="814" customFormat="false" ht="20" hidden="false" customHeight="true" outlineLevel="0" collapsed="false">
      <c r="A814" s="1319" t="s">
        <v>1565</v>
      </c>
      <c r="B814" s="1319"/>
      <c r="C814" s="1319"/>
      <c r="D814" s="1319"/>
      <c r="E814" s="1319"/>
      <c r="F814" s="1319"/>
      <c r="G814" s="1319"/>
      <c r="K814" s="458"/>
      <c r="L814" s="459" t="s">
        <v>1452</v>
      </c>
      <c r="M814" s="146"/>
      <c r="N814" s="382"/>
      <c r="O814" s="382"/>
      <c r="P814" s="382"/>
      <c r="Q814" s="70"/>
      <c r="R814" s="70"/>
      <c r="S814" s="70"/>
      <c r="T814" s="146"/>
    </row>
    <row r="815" customFormat="false" ht="20" hidden="false" customHeight="true" outlineLevel="0" collapsed="false">
      <c r="A815" s="1316" t="s">
        <v>1566</v>
      </c>
      <c r="B815" s="1316"/>
      <c r="C815" s="1316"/>
      <c r="D815" s="1074"/>
      <c r="E815" s="1074"/>
      <c r="F815" s="1074"/>
      <c r="G815" s="1074"/>
      <c r="K815" s="458"/>
      <c r="L815" s="459"/>
      <c r="M815" s="146"/>
      <c r="N815" s="382"/>
      <c r="O815" s="382"/>
      <c r="P815" s="382"/>
      <c r="Q815" s="70"/>
      <c r="R815" s="70"/>
      <c r="S815" s="70"/>
      <c r="T815" s="146"/>
    </row>
    <row r="816" customFormat="false" ht="20" hidden="false" customHeight="true" outlineLevel="0" collapsed="false">
      <c r="A816" s="973" t="s">
        <v>1567</v>
      </c>
      <c r="B816" s="973"/>
      <c r="C816" s="1320" t="n">
        <v>300</v>
      </c>
      <c r="E816" s="1321" t="s">
        <v>1568</v>
      </c>
      <c r="F816" s="1321"/>
      <c r="G816" s="1242" t="n">
        <f aca="false">IF(B23="non","Pas d'UGB",C816/D84)</f>
        <v>0.867052023121387</v>
      </c>
      <c r="K816" s="1092"/>
      <c r="M816" s="146"/>
      <c r="N816" s="382"/>
      <c r="O816" s="382"/>
      <c r="P816" s="382"/>
      <c r="Q816" s="70"/>
      <c r="R816" s="70"/>
      <c r="S816" s="70"/>
      <c r="T816" s="146"/>
    </row>
    <row r="817" customFormat="false" ht="20" hidden="false" customHeight="true" outlineLevel="0" collapsed="false">
      <c r="J817" s="1230"/>
      <c r="K817" s="458"/>
      <c r="L817" s="459"/>
      <c r="M817" s="146"/>
      <c r="N817" s="382"/>
      <c r="O817" s="382"/>
      <c r="P817" s="382"/>
      <c r="Q817" s="70"/>
      <c r="R817" s="70"/>
      <c r="S817" s="70"/>
      <c r="T817" s="146"/>
    </row>
    <row r="818" customFormat="false" ht="20" hidden="false" customHeight="true" outlineLevel="0" collapsed="false">
      <c r="A818" s="1005" t="s">
        <v>1569</v>
      </c>
      <c r="B818" s="1005"/>
      <c r="C818" s="1005"/>
      <c r="D818" s="1005"/>
      <c r="E818" s="1005"/>
      <c r="F818" s="937" t="s">
        <v>243</v>
      </c>
      <c r="M818" s="146"/>
      <c r="N818" s="146"/>
      <c r="O818" s="146"/>
      <c r="P818" s="146"/>
      <c r="Q818" s="70"/>
      <c r="R818" s="70"/>
      <c r="S818" s="70"/>
      <c r="T818" s="146"/>
    </row>
    <row r="819" customFormat="false" ht="20" hidden="false" customHeight="true" outlineLevel="0" collapsed="false">
      <c r="A819" s="1005" t="s">
        <v>252</v>
      </c>
      <c r="B819" s="1005"/>
      <c r="C819" s="1005"/>
      <c r="D819" s="1005"/>
      <c r="E819" s="1005"/>
      <c r="F819" s="937" t="s">
        <v>242</v>
      </c>
      <c r="K819" s="458"/>
      <c r="L819" s="459"/>
      <c r="M819" s="146"/>
      <c r="N819" s="146"/>
      <c r="O819" s="146"/>
      <c r="P819" s="146"/>
      <c r="Q819" s="70"/>
      <c r="R819" s="70"/>
      <c r="S819" s="70"/>
      <c r="T819" s="146"/>
    </row>
    <row r="820" customFormat="false" ht="20" hidden="false" customHeight="true" outlineLevel="0" collapsed="false">
      <c r="A820" s="463"/>
      <c r="B820" s="463"/>
      <c r="C820" s="463"/>
      <c r="D820" s="463"/>
      <c r="E820" s="907"/>
      <c r="K820" s="458"/>
      <c r="L820" s="459"/>
      <c r="M820" s="146"/>
      <c r="N820" s="146"/>
      <c r="O820" s="146"/>
      <c r="P820" s="146"/>
      <c r="Q820" s="70"/>
      <c r="R820" s="70"/>
      <c r="S820" s="70"/>
      <c r="T820" s="146"/>
    </row>
    <row r="821" customFormat="false" ht="20" hidden="false" customHeight="true" outlineLevel="0" collapsed="false">
      <c r="A821" s="1005" t="s">
        <v>1570</v>
      </c>
      <c r="B821" s="1005"/>
      <c r="C821" s="1005"/>
      <c r="D821" s="1005"/>
      <c r="E821" s="1005"/>
      <c r="F821" s="937" t="s">
        <v>243</v>
      </c>
      <c r="K821" s="458"/>
      <c r="L821" s="459"/>
      <c r="M821" s="146"/>
      <c r="N821" s="146"/>
      <c r="O821" s="146"/>
      <c r="P821" s="146"/>
      <c r="Q821" s="70"/>
      <c r="R821" s="70"/>
      <c r="S821" s="70"/>
      <c r="T821" s="146"/>
    </row>
    <row r="822" customFormat="false" ht="20" hidden="false" customHeight="true" outlineLevel="0" collapsed="false">
      <c r="A822" s="1005" t="s">
        <v>1571</v>
      </c>
      <c r="B822" s="1005"/>
      <c r="C822" s="1005"/>
      <c r="D822" s="1005"/>
      <c r="E822" s="1005"/>
      <c r="F822" s="937" t="s">
        <v>243</v>
      </c>
      <c r="K822" s="458"/>
      <c r="L822" s="459"/>
      <c r="M822" s="146"/>
      <c r="N822" s="146"/>
      <c r="O822" s="146"/>
      <c r="P822" s="146"/>
      <c r="Q822" s="70"/>
      <c r="R822" s="70"/>
      <c r="S822" s="70"/>
      <c r="T822" s="146"/>
    </row>
    <row r="823" s="11" customFormat="true" ht="20" hidden="false" customHeight="true" outlineLevel="0" collapsed="false">
      <c r="M823" s="146"/>
      <c r="N823" s="146"/>
      <c r="O823" s="146"/>
      <c r="P823" s="146"/>
      <c r="Q823" s="70"/>
      <c r="R823" s="70"/>
      <c r="S823" s="70"/>
      <c r="T823" s="146"/>
    </row>
    <row r="824" customFormat="false" ht="20" hidden="false" customHeight="true" outlineLevel="0" collapsed="false">
      <c r="A824" s="14"/>
      <c r="B824" s="1317"/>
      <c r="C824" s="14"/>
      <c r="D824" s="14"/>
      <c r="E824" s="1322"/>
      <c r="F824" s="1322"/>
      <c r="I824" s="14"/>
      <c r="K824" s="934"/>
      <c r="M824" s="146"/>
      <c r="N824" s="146"/>
      <c r="O824" s="146"/>
      <c r="P824" s="146"/>
      <c r="Q824" s="146"/>
      <c r="R824" s="146"/>
      <c r="S824" s="146"/>
      <c r="T824" s="146"/>
    </row>
    <row r="825" customFormat="false" ht="24" hidden="false" customHeight="false" outlineLevel="0" collapsed="false">
      <c r="A825" s="892" t="s">
        <v>1572</v>
      </c>
      <c r="B825" s="892"/>
      <c r="C825" s="892"/>
      <c r="D825" s="892"/>
      <c r="E825" s="892"/>
      <c r="F825" s="892"/>
      <c r="G825" s="892"/>
      <c r="H825" s="892"/>
      <c r="I825" s="892"/>
      <c r="J825" s="892"/>
      <c r="K825" s="892"/>
      <c r="L825" s="892"/>
    </row>
    <row r="826" customFormat="false" ht="15" hidden="false" customHeight="true" outlineLevel="0" collapsed="false">
      <c r="J826" s="1323"/>
      <c r="L826" s="906"/>
    </row>
    <row r="827" customFormat="false" ht="15" hidden="false" customHeight="true" outlineLevel="0" collapsed="false">
      <c r="J827" s="1323"/>
      <c r="L827" s="906"/>
    </row>
    <row r="828" customFormat="false" ht="20" hidden="false" customHeight="true" outlineLevel="0" collapsed="false">
      <c r="A828" s="896" t="s">
        <v>1573</v>
      </c>
      <c r="B828" s="896"/>
      <c r="C828" s="896"/>
      <c r="D828" s="896"/>
      <c r="E828" s="896"/>
      <c r="F828" s="896"/>
      <c r="G828" s="896"/>
      <c r="H828" s="897"/>
      <c r="I828" s="897"/>
      <c r="J828" s="897"/>
      <c r="K828" s="898"/>
      <c r="L828" s="899" t="s">
        <v>1216</v>
      </c>
    </row>
    <row r="829" s="382" customFormat="true" ht="20" hidden="false" customHeight="true" outlineLevel="0" collapsed="false">
      <c r="A829" s="1126"/>
      <c r="B829" s="1126"/>
      <c r="C829" s="1126"/>
      <c r="D829" s="1126"/>
      <c r="E829" s="1126"/>
      <c r="F829" s="1126"/>
      <c r="G829" s="1126"/>
      <c r="H829" s="146"/>
      <c r="I829" s="146"/>
      <c r="J829" s="146"/>
      <c r="K829" s="458"/>
      <c r="L829" s="459"/>
    </row>
    <row r="830" customFormat="false" ht="20" hidden="false" customHeight="true" outlineLevel="0" collapsed="false">
      <c r="A830" s="907" t="s">
        <v>1574</v>
      </c>
      <c r="B830" s="907"/>
      <c r="C830" s="907"/>
      <c r="D830" s="1324" t="n">
        <v>171.4</v>
      </c>
      <c r="E830" s="11" t="s">
        <v>91</v>
      </c>
      <c r="G830" s="1325" t="s">
        <v>1575</v>
      </c>
      <c r="H830" s="1326"/>
      <c r="I830" s="1326"/>
      <c r="J830" s="943" t="n">
        <f aca="false">D830/B13</f>
        <v>1.00163627863488</v>
      </c>
      <c r="K830" s="458"/>
      <c r="L830" s="459"/>
    </row>
    <row r="831" customFormat="false" ht="20" hidden="false" customHeight="true" outlineLevel="0" collapsed="false">
      <c r="A831" s="14"/>
      <c r="D831" s="314"/>
      <c r="E831" s="70"/>
      <c r="F831" s="70"/>
      <c r="G831" s="1249"/>
      <c r="H831" s="314"/>
      <c r="I831" s="314"/>
      <c r="J831" s="458"/>
      <c r="K831" s="458"/>
      <c r="L831" s="459"/>
    </row>
    <row r="832" customFormat="false" ht="20" hidden="false" customHeight="true" outlineLevel="0" collapsed="false">
      <c r="E832" s="1005" t="s">
        <v>1576</v>
      </c>
      <c r="F832" s="1005"/>
      <c r="G832" s="1005"/>
      <c r="H832" s="1005"/>
      <c r="I832" s="1005"/>
      <c r="J832" s="1002" t="s">
        <v>243</v>
      </c>
      <c r="K832" s="458"/>
      <c r="L832" s="459"/>
    </row>
    <row r="833" customFormat="false" ht="20" hidden="false" customHeight="true" outlineLevel="0" collapsed="false">
      <c r="B833" s="420"/>
      <c r="E833" s="423"/>
      <c r="F833" s="423"/>
      <c r="G833" s="1327"/>
      <c r="H833" s="423"/>
      <c r="I833" s="423"/>
      <c r="K833" s="458"/>
      <c r="L833" s="459"/>
    </row>
    <row r="834" customFormat="false" ht="20" hidden="false" customHeight="true" outlineLevel="0" collapsed="false">
      <c r="G834" s="1005" t="s">
        <v>1577</v>
      </c>
      <c r="H834" s="1005"/>
      <c r="I834" s="1005"/>
      <c r="J834" s="937" t="s">
        <v>243</v>
      </c>
      <c r="K834" s="458"/>
      <c r="L834" s="459"/>
    </row>
    <row r="835" customFormat="false" ht="20" hidden="false" customHeight="true" outlineLevel="0" collapsed="false">
      <c r="B835" s="420"/>
      <c r="E835" s="423"/>
      <c r="F835" s="423"/>
      <c r="G835" s="423"/>
      <c r="H835" s="423"/>
      <c r="I835" s="423"/>
      <c r="J835" s="1327"/>
      <c r="K835" s="458"/>
      <c r="L835" s="459"/>
    </row>
    <row r="836" customFormat="false" ht="20" hidden="false" customHeight="true" outlineLevel="0" collapsed="false">
      <c r="K836" s="70"/>
      <c r="L836" s="459"/>
    </row>
    <row r="837" customFormat="false" ht="20" hidden="false" customHeight="true" outlineLevel="0" collapsed="false">
      <c r="A837" s="896" t="s">
        <v>1578</v>
      </c>
      <c r="B837" s="896"/>
      <c r="C837" s="896"/>
      <c r="D837" s="896"/>
      <c r="E837" s="896"/>
      <c r="F837" s="896"/>
      <c r="G837" s="896"/>
      <c r="H837" s="897"/>
      <c r="I837" s="897"/>
      <c r="J837" s="897"/>
      <c r="K837" s="898"/>
      <c r="L837" s="899" t="s">
        <v>1579</v>
      </c>
    </row>
    <row r="838" customFormat="false" ht="20" hidden="false" customHeight="true" outlineLevel="0" collapsed="false">
      <c r="A838" s="1048"/>
      <c r="B838" s="1048"/>
      <c r="C838" s="1048"/>
      <c r="D838" s="1048"/>
      <c r="E838" s="1048"/>
      <c r="F838" s="1048"/>
      <c r="G838" s="1048"/>
      <c r="K838" s="458"/>
      <c r="L838" s="459"/>
    </row>
    <row r="839" customFormat="false" ht="20" hidden="false" customHeight="true" outlineLevel="0" collapsed="false">
      <c r="A839" s="18" t="s">
        <v>967</v>
      </c>
      <c r="B839" s="992" t="str">
        <f aca="false">B23</f>
        <v>oui</v>
      </c>
      <c r="C839" s="1048"/>
      <c r="D839" s="1048"/>
      <c r="E839" s="1048"/>
      <c r="F839" s="1048"/>
      <c r="G839" s="1048"/>
      <c r="K839" s="458"/>
      <c r="L839" s="459"/>
    </row>
    <row r="840" customFormat="false" ht="20" hidden="false" customHeight="true" outlineLevel="0" collapsed="false">
      <c r="A840" s="1328" t="s">
        <v>1580</v>
      </c>
      <c r="B840" s="19"/>
      <c r="C840" s="19"/>
      <c r="D840" s="19"/>
      <c r="E840" s="19"/>
      <c r="F840" s="19"/>
      <c r="G840" s="19"/>
      <c r="L840" s="459" t="s">
        <v>1067</v>
      </c>
    </row>
    <row r="841" customFormat="false" ht="20" hidden="false" customHeight="true" outlineLevel="0" collapsed="false">
      <c r="A841" s="907" t="s">
        <v>1581</v>
      </c>
      <c r="B841" s="907"/>
      <c r="C841" s="907"/>
      <c r="D841" s="992" t="n">
        <f aca="false">C186-E188-E191</f>
        <v>0</v>
      </c>
      <c r="E841" s="11" t="s">
        <v>372</v>
      </c>
      <c r="H841" s="1329" t="s">
        <v>1582</v>
      </c>
      <c r="I841" s="1329"/>
      <c r="J841" s="943" t="n">
        <f aca="false">D842/B13</f>
        <v>0</v>
      </c>
      <c r="K841" s="458"/>
    </row>
    <row r="842" customFormat="false" ht="20" hidden="false" customHeight="true" outlineLevel="0" collapsed="false">
      <c r="A842" s="14"/>
      <c r="B842" s="423"/>
      <c r="C842" s="15" t="s">
        <v>1583</v>
      </c>
      <c r="D842" s="1330" t="n">
        <f aca="false">D841/4</f>
        <v>0</v>
      </c>
      <c r="E842" s="11" t="s">
        <v>91</v>
      </c>
      <c r="H842" s="423"/>
      <c r="I842" s="423"/>
      <c r="J842" s="1327"/>
      <c r="K842" s="934"/>
      <c r="L842" s="906"/>
    </row>
    <row r="843" customFormat="false" ht="20" hidden="false" customHeight="true" outlineLevel="0" collapsed="false">
      <c r="E843" s="423"/>
      <c r="F843" s="423"/>
      <c r="G843" s="423"/>
      <c r="H843" s="423"/>
      <c r="I843" s="423"/>
      <c r="J843" s="1327"/>
      <c r="K843" s="934"/>
      <c r="L843" s="906"/>
    </row>
    <row r="844" customFormat="false" ht="20" hidden="false" customHeight="true" outlineLevel="0" collapsed="false">
      <c r="A844" s="1303" t="s">
        <v>1584</v>
      </c>
      <c r="B844" s="420"/>
      <c r="E844" s="423"/>
      <c r="F844" s="423"/>
      <c r="G844" s="423"/>
      <c r="H844" s="423"/>
      <c r="I844" s="423"/>
      <c r="J844" s="1327"/>
      <c r="K844" s="934"/>
      <c r="L844" s="906" t="s">
        <v>1216</v>
      </c>
    </row>
    <row r="845" customFormat="false" ht="19.5" hidden="false" customHeight="true" outlineLevel="0" collapsed="false">
      <c r="A845" s="1331" t="s">
        <v>1585</v>
      </c>
      <c r="B845" s="1331"/>
      <c r="C845" s="1331"/>
      <c r="D845" s="1324"/>
      <c r="E845" s="14" t="s">
        <v>91</v>
      </c>
      <c r="G845" s="942" t="s">
        <v>1586</v>
      </c>
      <c r="H845" s="942"/>
      <c r="I845" s="942"/>
      <c r="J845" s="943" t="n">
        <f aca="false">D845/B13</f>
        <v>0</v>
      </c>
      <c r="K845" s="934"/>
      <c r="L845" s="906"/>
    </row>
    <row r="846" customFormat="false" ht="20" hidden="false" customHeight="true" outlineLevel="0" collapsed="false">
      <c r="A846" s="11" t="s">
        <v>1587</v>
      </c>
      <c r="B846" s="420"/>
      <c r="E846" s="423"/>
      <c r="F846" s="423"/>
      <c r="G846" s="423"/>
      <c r="H846" s="423"/>
      <c r="I846" s="423"/>
      <c r="J846" s="1327"/>
      <c r="K846" s="934"/>
      <c r="L846" s="906"/>
    </row>
    <row r="847" customFormat="false" ht="20" hidden="false" customHeight="true" outlineLevel="0" collapsed="false">
      <c r="B847" s="420"/>
      <c r="E847" s="423"/>
      <c r="F847" s="423"/>
      <c r="G847" s="423"/>
      <c r="H847" s="423"/>
      <c r="I847" s="423"/>
      <c r="J847" s="1327"/>
      <c r="K847" s="934"/>
      <c r="L847" s="906"/>
    </row>
    <row r="848" customFormat="false" ht="20" hidden="false" customHeight="true" outlineLevel="0" collapsed="false">
      <c r="B848" s="420"/>
      <c r="E848" s="423"/>
      <c r="F848" s="423"/>
      <c r="G848" s="423"/>
      <c r="H848" s="423"/>
      <c r="I848" s="423"/>
      <c r="J848" s="1327"/>
      <c r="K848" s="934"/>
      <c r="L848" s="906"/>
    </row>
    <row r="849" customFormat="false" ht="20" hidden="false" customHeight="true" outlineLevel="0" collapsed="false">
      <c r="A849" s="896" t="s">
        <v>1588</v>
      </c>
      <c r="B849" s="896"/>
      <c r="C849" s="896"/>
      <c r="D849" s="896"/>
      <c r="E849" s="896"/>
      <c r="F849" s="896"/>
      <c r="G849" s="896"/>
      <c r="H849" s="897"/>
      <c r="I849" s="897"/>
      <c r="J849" s="897"/>
      <c r="K849" s="898"/>
      <c r="L849" s="899" t="s">
        <v>1324</v>
      </c>
    </row>
    <row r="850" customFormat="false" ht="20" hidden="false" customHeight="true" outlineLevel="0" collapsed="false">
      <c r="B850" s="420"/>
      <c r="E850" s="423"/>
      <c r="F850" s="423"/>
      <c r="G850" s="423"/>
      <c r="H850" s="423"/>
      <c r="I850" s="423"/>
      <c r="J850" s="1327"/>
      <c r="K850" s="934"/>
      <c r="L850" s="906"/>
    </row>
    <row r="851" customFormat="false" ht="20" hidden="false" customHeight="true" outlineLevel="0" collapsed="false">
      <c r="A851" s="18" t="s">
        <v>1589</v>
      </c>
      <c r="B851" s="420"/>
      <c r="E851" s="423"/>
      <c r="F851" s="423"/>
      <c r="G851" s="423"/>
      <c r="H851" s="423"/>
      <c r="I851" s="423"/>
      <c r="J851" s="1327"/>
      <c r="K851" s="934"/>
      <c r="L851" s="906"/>
    </row>
    <row r="852" customFormat="false" ht="15.75" hidden="false" customHeight="true" outlineLevel="0" collapsed="false">
      <c r="A852" s="936" t="s">
        <v>1590</v>
      </c>
      <c r="B852" s="936"/>
      <c r="C852" s="936"/>
      <c r="D852" s="1332" t="s">
        <v>243</v>
      </c>
      <c r="E852" s="1060" t="s">
        <v>1591</v>
      </c>
      <c r="F852" s="1333"/>
      <c r="G852" s="1333"/>
      <c r="H852" s="1333"/>
    </row>
    <row r="853" customFormat="false" ht="15.75" hidden="false" customHeight="true" outlineLevel="0" collapsed="false">
      <c r="A853" s="940"/>
      <c r="B853" s="940"/>
      <c r="C853" s="936" t="s">
        <v>1592</v>
      </c>
      <c r="D853" s="1332" t="s">
        <v>243</v>
      </c>
      <c r="E853" s="1060" t="s">
        <v>1591</v>
      </c>
      <c r="F853" s="1333"/>
      <c r="G853" s="1333"/>
      <c r="H853" s="1333"/>
    </row>
    <row r="854" customFormat="false" ht="15.75" hidden="false" customHeight="true" outlineLevel="0" collapsed="false">
      <c r="A854" s="936" t="s">
        <v>1593</v>
      </c>
      <c r="B854" s="936"/>
      <c r="C854" s="936"/>
      <c r="D854" s="1332" t="s">
        <v>243</v>
      </c>
      <c r="E854" s="1060" t="s">
        <v>1591</v>
      </c>
      <c r="F854" s="1333"/>
      <c r="G854" s="1333"/>
      <c r="H854" s="1333"/>
      <c r="K854" s="458"/>
      <c r="L854" s="459"/>
    </row>
    <row r="855" customFormat="false" ht="15.75" hidden="false" customHeight="true" outlineLevel="0" collapsed="false">
      <c r="A855" s="936" t="s">
        <v>1594</v>
      </c>
      <c r="B855" s="936"/>
      <c r="C855" s="936"/>
      <c r="D855" s="1332" t="s">
        <v>243</v>
      </c>
      <c r="E855" s="1060" t="s">
        <v>1591</v>
      </c>
      <c r="F855" s="1333"/>
      <c r="G855" s="1333"/>
      <c r="H855" s="1333"/>
      <c r="K855" s="458"/>
      <c r="L855" s="459"/>
    </row>
    <row r="856" customFormat="false" ht="15.75" hidden="false" customHeight="true" outlineLevel="0" collapsed="false">
      <c r="A856" s="936" t="s">
        <v>668</v>
      </c>
      <c r="B856" s="936"/>
      <c r="C856" s="936"/>
      <c r="D856" s="1332" t="s">
        <v>243</v>
      </c>
      <c r="G856" s="961"/>
      <c r="H856" s="314"/>
      <c r="I856" s="961"/>
      <c r="J856" s="909"/>
      <c r="K856" s="458"/>
      <c r="L856" s="459"/>
    </row>
    <row r="857" s="70" customFormat="true" ht="15" hidden="false" customHeight="true" outlineLevel="0" collapsed="false">
      <c r="A857" s="639"/>
      <c r="F857" s="314"/>
      <c r="G857" s="961"/>
      <c r="K857" s="458"/>
      <c r="L857" s="459"/>
    </row>
    <row r="858" s="70" customFormat="true" ht="15" hidden="false" customHeight="true" outlineLevel="0" collapsed="false">
      <c r="A858" s="639"/>
      <c r="F858" s="314"/>
      <c r="G858" s="961"/>
      <c r="K858" s="458"/>
      <c r="L858" s="459"/>
    </row>
    <row r="859" customFormat="false" ht="15.75" hidden="false" customHeight="true" outlineLevel="0" collapsed="false">
      <c r="A859" s="896" t="s">
        <v>1595</v>
      </c>
      <c r="B859" s="896"/>
      <c r="C859" s="896"/>
      <c r="D859" s="896"/>
      <c r="E859" s="896"/>
      <c r="F859" s="896"/>
      <c r="G859" s="896"/>
      <c r="H859" s="897"/>
      <c r="I859" s="897"/>
      <c r="J859" s="897"/>
      <c r="K859" s="898"/>
      <c r="L859" s="899" t="s">
        <v>1596</v>
      </c>
    </row>
    <row r="860" s="382" customFormat="true" ht="15.75" hidden="false" customHeight="true" outlineLevel="0" collapsed="false">
      <c r="A860" s="1126"/>
      <c r="B860" s="1126"/>
      <c r="C860" s="1126"/>
      <c r="D860" s="1126"/>
      <c r="K860" s="458"/>
      <c r="L860" s="459"/>
      <c r="M860" s="146"/>
      <c r="N860" s="146"/>
      <c r="O860" s="146"/>
      <c r="P860" s="146"/>
      <c r="Q860" s="146"/>
      <c r="R860" s="146"/>
      <c r="S860" s="146"/>
      <c r="T860" s="146"/>
      <c r="U860" s="146"/>
      <c r="V860" s="146"/>
      <c r="W860" s="146"/>
      <c r="X860" s="146"/>
      <c r="Y860" s="146"/>
      <c r="Z860" s="146"/>
      <c r="AA860" s="146"/>
      <c r="AB860" s="146"/>
      <c r="AC860" s="146"/>
      <c r="AD860" s="146"/>
      <c r="AE860" s="146"/>
      <c r="AF860" s="146"/>
      <c r="AG860" s="146"/>
      <c r="AH860" s="146"/>
      <c r="AI860" s="146"/>
      <c r="AJ860" s="146"/>
      <c r="AK860" s="146"/>
      <c r="AL860" s="146"/>
      <c r="AM860" s="146"/>
      <c r="AN860" s="146"/>
      <c r="AO860" s="146"/>
      <c r="AP860" s="146"/>
      <c r="AQ860" s="146"/>
      <c r="AR860" s="146"/>
      <c r="AS860" s="146"/>
      <c r="AT860" s="146"/>
      <c r="AU860" s="146"/>
      <c r="AV860" s="146"/>
      <c r="AW860" s="146"/>
      <c r="AX860" s="146"/>
      <c r="AY860" s="146"/>
      <c r="AZ860" s="146"/>
      <c r="BA860" s="146"/>
      <c r="BB860" s="146"/>
      <c r="BC860" s="146"/>
      <c r="BD860" s="146"/>
      <c r="BE860" s="146"/>
      <c r="BF860" s="146"/>
      <c r="BG860" s="146"/>
      <c r="BH860" s="146"/>
      <c r="BI860" s="146"/>
      <c r="BJ860" s="146"/>
      <c r="BK860" s="146"/>
      <c r="BL860" s="146"/>
      <c r="BM860" s="146"/>
      <c r="BN860" s="146"/>
      <c r="BO860" s="146"/>
      <c r="BP860" s="146"/>
      <c r="BQ860" s="146"/>
      <c r="BR860" s="146"/>
      <c r="BS860" s="146"/>
      <c r="BT860" s="146"/>
      <c r="BU860" s="146"/>
      <c r="BV860" s="146"/>
      <c r="BW860" s="146"/>
      <c r="BX860" s="146"/>
      <c r="BY860" s="146"/>
      <c r="BZ860" s="146"/>
      <c r="CA860" s="146"/>
      <c r="CB860" s="146"/>
      <c r="CC860" s="146"/>
      <c r="CD860" s="146"/>
      <c r="CE860" s="146"/>
      <c r="CF860" s="146"/>
      <c r="CG860" s="146"/>
      <c r="CH860" s="146"/>
      <c r="CI860" s="146"/>
      <c r="CJ860" s="146"/>
      <c r="CK860" s="146"/>
      <c r="CL860" s="146"/>
      <c r="CM860" s="146"/>
      <c r="CN860" s="146"/>
      <c r="CO860" s="146"/>
      <c r="CP860" s="146"/>
      <c r="CQ860" s="146"/>
      <c r="CR860" s="146"/>
      <c r="CS860" s="146"/>
      <c r="CT860" s="146"/>
      <c r="CU860" s="146"/>
      <c r="CV860" s="146"/>
      <c r="CW860" s="146"/>
      <c r="CX860" s="146"/>
      <c r="CY860" s="146"/>
      <c r="CZ860" s="146"/>
      <c r="DA860" s="146"/>
      <c r="DB860" s="146"/>
      <c r="DC860" s="146"/>
      <c r="DD860" s="146"/>
      <c r="DE860" s="146"/>
      <c r="DF860" s="146"/>
      <c r="DG860" s="146"/>
      <c r="DH860" s="146"/>
      <c r="DI860" s="146"/>
      <c r="DJ860" s="146"/>
      <c r="DK860" s="146"/>
      <c r="DL860" s="146"/>
      <c r="DM860" s="146"/>
      <c r="DN860" s="146"/>
      <c r="DO860" s="146"/>
      <c r="DP860" s="146"/>
      <c r="DQ860" s="146"/>
      <c r="DR860" s="146"/>
      <c r="DS860" s="146"/>
      <c r="DT860" s="146"/>
      <c r="DU860" s="146"/>
      <c r="DV860" s="146"/>
      <c r="DW860" s="146"/>
      <c r="DX860" s="146"/>
      <c r="DY860" s="146"/>
      <c r="DZ860" s="146"/>
      <c r="EA860" s="146"/>
      <c r="EB860" s="146"/>
      <c r="EC860" s="146"/>
      <c r="ED860" s="146"/>
      <c r="EE860" s="146"/>
      <c r="EF860" s="146"/>
      <c r="EG860" s="146"/>
      <c r="EH860" s="146"/>
      <c r="EI860" s="146"/>
      <c r="EJ860" s="146"/>
      <c r="EK860" s="146"/>
      <c r="EL860" s="146"/>
      <c r="EM860" s="146"/>
      <c r="EN860" s="146"/>
      <c r="EO860" s="146"/>
      <c r="EP860" s="146"/>
      <c r="EQ860" s="146"/>
      <c r="ER860" s="146"/>
      <c r="ES860" s="146"/>
      <c r="ET860" s="146"/>
      <c r="EU860" s="146"/>
      <c r="EV860" s="146"/>
      <c r="EW860" s="146"/>
      <c r="EX860" s="146"/>
      <c r="EY860" s="146"/>
      <c r="EZ860" s="146"/>
      <c r="FA860" s="146"/>
      <c r="FB860" s="146"/>
      <c r="FC860" s="146"/>
      <c r="FD860" s="146"/>
      <c r="FE860" s="146"/>
      <c r="FF860" s="146"/>
      <c r="FG860" s="146"/>
      <c r="FH860" s="146"/>
      <c r="FI860" s="146"/>
      <c r="FJ860" s="146"/>
      <c r="FK860" s="146"/>
      <c r="FL860" s="146"/>
      <c r="FM860" s="146"/>
      <c r="FN860" s="146"/>
      <c r="FO860" s="146"/>
      <c r="FP860" s="146"/>
      <c r="FQ860" s="146"/>
      <c r="FR860" s="146"/>
      <c r="FS860" s="146"/>
      <c r="FT860" s="146"/>
      <c r="FU860" s="146"/>
      <c r="FV860" s="146"/>
      <c r="FW860" s="146"/>
      <c r="FX860" s="146"/>
      <c r="FY860" s="146"/>
      <c r="FZ860" s="146"/>
      <c r="GA860" s="146"/>
      <c r="GB860" s="146"/>
      <c r="GC860" s="146"/>
      <c r="GD860" s="146"/>
      <c r="GE860" s="146"/>
      <c r="GF860" s="146"/>
      <c r="GG860" s="146"/>
      <c r="GH860" s="146"/>
      <c r="GI860" s="146"/>
      <c r="GJ860" s="146"/>
      <c r="GK860" s="146"/>
      <c r="GL860" s="146"/>
      <c r="GM860" s="146"/>
      <c r="GN860" s="146"/>
      <c r="GO860" s="146"/>
      <c r="GP860" s="146"/>
      <c r="GQ860" s="146"/>
      <c r="GR860" s="146"/>
      <c r="GS860" s="146"/>
      <c r="GT860" s="146"/>
      <c r="GU860" s="146"/>
      <c r="GV860" s="146"/>
      <c r="GW860" s="146"/>
      <c r="GX860" s="146"/>
      <c r="GY860" s="146"/>
      <c r="GZ860" s="146"/>
      <c r="HA860" s="146"/>
      <c r="HB860" s="146"/>
      <c r="HC860" s="146"/>
      <c r="HD860" s="146"/>
      <c r="HE860" s="146"/>
      <c r="HF860" s="146"/>
      <c r="HG860" s="146"/>
      <c r="HH860" s="146"/>
      <c r="HI860" s="146"/>
      <c r="HJ860" s="146"/>
      <c r="HK860" s="146"/>
      <c r="HL860" s="146"/>
      <c r="HM860" s="146"/>
      <c r="HN860" s="146"/>
      <c r="HO860" s="146"/>
      <c r="HP860" s="146"/>
      <c r="HQ860" s="146"/>
      <c r="HR860" s="146"/>
      <c r="HS860" s="146"/>
      <c r="HT860" s="146"/>
      <c r="HU860" s="146"/>
      <c r="HV860" s="146"/>
      <c r="HW860" s="146"/>
      <c r="HX860" s="146"/>
      <c r="HY860" s="146"/>
      <c r="HZ860" s="146"/>
      <c r="IA860" s="146"/>
      <c r="IB860" s="146"/>
      <c r="IC860" s="146"/>
      <c r="ID860" s="146"/>
      <c r="IE860" s="146"/>
      <c r="IF860" s="146"/>
      <c r="IG860" s="146"/>
      <c r="IH860" s="146"/>
      <c r="II860" s="146"/>
      <c r="IJ860" s="146"/>
      <c r="IK860" s="146"/>
      <c r="IL860" s="146"/>
      <c r="IM860" s="146"/>
      <c r="IN860" s="146"/>
      <c r="IO860" s="146"/>
      <c r="IP860" s="146"/>
      <c r="IQ860" s="146"/>
      <c r="IR860" s="146"/>
      <c r="IS860" s="146"/>
      <c r="IT860" s="146"/>
      <c r="IU860" s="146"/>
      <c r="IV860" s="146"/>
    </row>
    <row r="861" customFormat="false" ht="15" hidden="false" customHeight="true" outlineLevel="0" collapsed="false">
      <c r="A861" s="639" t="s">
        <v>678</v>
      </c>
      <c r="B861" s="1334"/>
      <c r="C861" s="1334"/>
      <c r="E861" s="1334"/>
      <c r="F861" s="1334"/>
      <c r="G861" s="1334"/>
      <c r="H861" s="1334"/>
      <c r="I861" s="314"/>
      <c r="J861" s="909"/>
      <c r="K861" s="926"/>
      <c r="L861" s="679"/>
    </row>
    <row r="862" s="11" customFormat="true" ht="15" hidden="false" customHeight="true" outlineLevel="0" collapsed="false">
      <c r="A862" s="1335" t="s">
        <v>1597</v>
      </c>
      <c r="B862" s="1336"/>
      <c r="C862" s="1336"/>
      <c r="D862" s="1336"/>
      <c r="E862" s="1336"/>
      <c r="F862" s="676" t="s">
        <v>1598</v>
      </c>
      <c r="G862" s="1337" t="n">
        <f aca="false">IF(F862="oui",2,0)</f>
        <v>0</v>
      </c>
      <c r="K862" s="926"/>
      <c r="L862" s="679"/>
    </row>
    <row r="863" s="11" customFormat="true" ht="18.75" hidden="false" customHeight="true" outlineLevel="0" collapsed="false">
      <c r="A863" s="1336" t="s">
        <v>1599</v>
      </c>
      <c r="B863" s="1336"/>
      <c r="C863" s="1336"/>
      <c r="D863" s="1336"/>
      <c r="E863" s="1336"/>
      <c r="F863" s="676" t="s">
        <v>242</v>
      </c>
      <c r="G863" s="1337" t="n">
        <f aca="false">IF(F863="oui",2,0)</f>
        <v>2</v>
      </c>
      <c r="K863" s="926"/>
      <c r="L863" s="679"/>
      <c r="M863" s="311"/>
    </row>
    <row r="864" s="11" customFormat="true" ht="15" hidden="false" customHeight="true" outlineLevel="0" collapsed="false">
      <c r="A864" s="1336" t="s">
        <v>1600</v>
      </c>
      <c r="B864" s="1338"/>
      <c r="C864" s="314"/>
      <c r="D864" s="314"/>
      <c r="E864" s="314"/>
      <c r="F864" s="676" t="s">
        <v>1598</v>
      </c>
      <c r="G864" s="1337" t="n">
        <f aca="false">IF(F864="oui",2,0)</f>
        <v>0</v>
      </c>
      <c r="K864" s="926"/>
      <c r="L864" s="679"/>
      <c r="M864" s="70"/>
    </row>
    <row r="865" s="11" customFormat="true" ht="18.75" hidden="false" customHeight="true" outlineLevel="0" collapsed="false">
      <c r="A865" s="1335" t="s">
        <v>1601</v>
      </c>
      <c r="B865" s="1338"/>
      <c r="C865" s="314"/>
      <c r="D865" s="314"/>
      <c r="E865" s="314"/>
      <c r="F865" s="676" t="s">
        <v>1598</v>
      </c>
      <c r="G865" s="1337" t="n">
        <f aca="false">IF(F865="oui",2,0)</f>
        <v>0</v>
      </c>
      <c r="K865" s="926"/>
      <c r="L865" s="679"/>
      <c r="M865" s="311"/>
    </row>
    <row r="866" s="11" customFormat="true" ht="15" hidden="false" customHeight="false" outlineLevel="0" collapsed="false">
      <c r="A866" s="1339" t="s">
        <v>1602</v>
      </c>
      <c r="F866" s="676" t="s">
        <v>1598</v>
      </c>
      <c r="G866" s="1340" t="n">
        <f aca="false">IF(F866="oui",2,0)</f>
        <v>0</v>
      </c>
      <c r="K866" s="926"/>
      <c r="L866" s="679"/>
    </row>
    <row r="867" s="11" customFormat="true" ht="29.25" hidden="false" customHeight="true" outlineLevel="0" collapsed="false">
      <c r="A867" s="1341" t="s">
        <v>1603</v>
      </c>
      <c r="B867" s="1341"/>
      <c r="C867" s="1341"/>
      <c r="D867" s="1341"/>
      <c r="E867" s="1341"/>
      <c r="F867" s="676" t="s">
        <v>1598</v>
      </c>
      <c r="G867" s="1337" t="n">
        <f aca="false">IF(F867="oui",2,0)</f>
        <v>0</v>
      </c>
      <c r="K867" s="926"/>
      <c r="L867" s="679"/>
    </row>
    <row r="868" s="11" customFormat="true" ht="15" hidden="false" customHeight="true" outlineLevel="0" collapsed="false">
      <c r="A868" s="1334" t="s">
        <v>1604</v>
      </c>
      <c r="B868" s="1342"/>
      <c r="C868" s="314"/>
      <c r="D868" s="314"/>
      <c r="E868" s="314"/>
      <c r="F868" s="676" t="s">
        <v>243</v>
      </c>
      <c r="G868" s="1337" t="n">
        <f aca="false">IF(F868="oui",2,0)</f>
        <v>0</v>
      </c>
      <c r="K868" s="926"/>
      <c r="L868" s="679"/>
    </row>
    <row r="869" customFormat="false" ht="15.75" hidden="false" customHeight="true" outlineLevel="0" collapsed="false">
      <c r="A869" s="314" t="s">
        <v>1605</v>
      </c>
      <c r="B869" s="1333"/>
      <c r="C869" s="1333"/>
      <c r="D869" s="1333"/>
      <c r="E869" s="1333"/>
      <c r="F869" s="676"/>
      <c r="G869" s="1337" t="n">
        <f aca="false">IF(F869="oui",2,0)</f>
        <v>0</v>
      </c>
      <c r="J869" s="1211"/>
      <c r="K869" s="926"/>
      <c r="L869" s="679"/>
    </row>
    <row r="870" customFormat="false" ht="15.75" hidden="false" customHeight="true" outlineLevel="0" collapsed="false">
      <c r="A870" s="311"/>
      <c r="B870" s="1343"/>
      <c r="C870" s="311"/>
      <c r="D870" s="311"/>
      <c r="E870" s="311"/>
      <c r="F870" s="1179" t="n">
        <f aca="false">MIN(6,SUM(G862:G869))</f>
        <v>2</v>
      </c>
      <c r="G870" s="311"/>
      <c r="J870" s="909"/>
      <c r="K870" s="926"/>
      <c r="L870" s="679"/>
    </row>
    <row r="871" s="11" customFormat="true" ht="15" hidden="false" customHeight="true" outlineLevel="0" collapsed="false">
      <c r="K871" s="926"/>
      <c r="L871" s="459"/>
    </row>
    <row r="872" customFormat="false" ht="15" hidden="false" customHeight="true" outlineLevel="0" collapsed="false">
      <c r="A872" s="311"/>
      <c r="B872" s="1343"/>
      <c r="C872" s="311"/>
      <c r="D872" s="311"/>
      <c r="E872" s="311"/>
      <c r="F872" s="311"/>
      <c r="G872" s="311"/>
      <c r="H872" s="311"/>
      <c r="I872" s="1059"/>
      <c r="J872" s="909"/>
      <c r="K872" s="926"/>
      <c r="L872" s="459"/>
    </row>
    <row r="873" customFormat="false" ht="15" hidden="false" customHeight="true" outlineLevel="0" collapsed="false">
      <c r="A873" s="896" t="s">
        <v>1606</v>
      </c>
      <c r="B873" s="896"/>
      <c r="C873" s="896"/>
      <c r="D873" s="896"/>
      <c r="E873" s="896"/>
      <c r="F873" s="896"/>
      <c r="G873" s="896"/>
      <c r="H873" s="897"/>
      <c r="I873" s="897"/>
      <c r="J873" s="897"/>
      <c r="K873" s="898"/>
      <c r="L873" s="899" t="s">
        <v>1607</v>
      </c>
    </row>
    <row r="874" s="11" customFormat="true" ht="15" hidden="false" customHeight="true" outlineLevel="0" collapsed="false"/>
    <row r="875" customFormat="false" ht="15" hidden="false" customHeight="true" outlineLevel="0" collapsed="false">
      <c r="A875" s="456" t="s">
        <v>1608</v>
      </c>
      <c r="B875" s="456"/>
      <c r="C875" s="456"/>
      <c r="D875" s="456"/>
      <c r="E875" s="1344" t="s">
        <v>1609</v>
      </c>
      <c r="F875" s="966"/>
      <c r="G875" s="19"/>
      <c r="H875" s="311"/>
      <c r="I875" s="1059"/>
      <c r="J875" s="909"/>
      <c r="K875" s="926"/>
      <c r="L875" s="459"/>
    </row>
    <row r="876" customFormat="false" ht="28.5" hidden="false" customHeight="true" outlineLevel="0" collapsed="false">
      <c r="A876" s="1345" t="s">
        <v>1610</v>
      </c>
      <c r="B876" s="1345"/>
      <c r="C876" s="1345"/>
      <c r="D876" s="1345"/>
      <c r="E876" s="1345"/>
      <c r="F876" s="1345"/>
      <c r="G876" s="1339"/>
      <c r="H876" s="1339"/>
      <c r="I876" s="1339"/>
      <c r="J876" s="1339"/>
      <c r="K876" s="458"/>
      <c r="L876" s="459"/>
    </row>
    <row r="877" customFormat="false" ht="20" hidden="false" customHeight="true" outlineLevel="0" collapsed="false">
      <c r="A877" s="1339"/>
      <c r="B877" s="1339"/>
      <c r="C877" s="1339"/>
      <c r="D877" s="1339"/>
      <c r="E877" s="1339"/>
      <c r="F877" s="1339"/>
      <c r="G877" s="1339"/>
      <c r="H877" s="1339"/>
      <c r="I877" s="1339"/>
      <c r="J877" s="1339"/>
      <c r="K877" s="458"/>
      <c r="L877" s="459"/>
    </row>
    <row r="878" customFormat="false" ht="15.75" hidden="false" customHeight="true" outlineLevel="0" collapsed="false">
      <c r="A878" s="456" t="s">
        <v>733</v>
      </c>
      <c r="B878" s="456"/>
      <c r="C878" s="456"/>
      <c r="D878" s="456"/>
      <c r="E878" s="1344" t="s">
        <v>243</v>
      </c>
      <c r="F878" s="966"/>
      <c r="G878" s="19"/>
      <c r="K878" s="458"/>
      <c r="L878" s="459"/>
    </row>
    <row r="879" s="70" customFormat="true" ht="27" hidden="false" customHeight="true" outlineLevel="0" collapsed="false">
      <c r="A879" s="1345" t="s">
        <v>734</v>
      </c>
      <c r="B879" s="1345"/>
      <c r="C879" s="1345"/>
      <c r="D879" s="1345"/>
      <c r="E879" s="1345"/>
      <c r="F879" s="1345"/>
      <c r="G879" s="1346"/>
      <c r="H879" s="1059"/>
      <c r="I879" s="1059"/>
      <c r="J879" s="1059"/>
      <c r="K879" s="458"/>
      <c r="L879" s="459"/>
      <c r="M879" s="1205"/>
    </row>
    <row r="880" customFormat="false" ht="15.75" hidden="false" customHeight="true" outlineLevel="0" collapsed="false">
      <c r="H880" s="978"/>
      <c r="I880" s="978"/>
      <c r="K880" s="458"/>
      <c r="L880" s="459"/>
      <c r="M880" s="1205"/>
    </row>
    <row r="881" customFormat="false" ht="15.75" hidden="false" customHeight="true" outlineLevel="0" collapsed="false">
      <c r="A881" s="1079" t="s">
        <v>1611</v>
      </c>
      <c r="B881" s="1079"/>
      <c r="C881" s="1079"/>
      <c r="D881" s="1079"/>
      <c r="F881" s="966"/>
      <c r="G881" s="19"/>
      <c r="H881" s="978"/>
      <c r="I881" s="978"/>
      <c r="M881" s="1205"/>
    </row>
    <row r="882" customFormat="false" ht="15" hidden="false" customHeight="true" outlineLevel="0" collapsed="false">
      <c r="A882" s="1079"/>
      <c r="B882" s="1079"/>
      <c r="C882" s="1079"/>
      <c r="D882" s="1079"/>
      <c r="E882" s="1344" t="s">
        <v>243</v>
      </c>
      <c r="H882" s="978"/>
      <c r="I882" s="978"/>
      <c r="K882" s="934"/>
      <c r="L882" s="906"/>
      <c r="M882" s="1205"/>
    </row>
    <row r="883" customFormat="false" ht="15" hidden="false" customHeight="true" outlineLevel="0" collapsed="false">
      <c r="F883" s="956"/>
      <c r="J883" s="1347"/>
      <c r="K883" s="458"/>
      <c r="L883" s="459"/>
    </row>
    <row r="884" customFormat="false" ht="15.75" hidden="false" customHeight="true" outlineLevel="0" collapsed="false">
      <c r="A884" s="896" t="s">
        <v>1612</v>
      </c>
      <c r="B884" s="896"/>
      <c r="C884" s="896"/>
      <c r="D884" s="896"/>
      <c r="E884" s="896"/>
      <c r="F884" s="896"/>
      <c r="G884" s="896"/>
      <c r="H884" s="897"/>
      <c r="I884" s="897"/>
      <c r="J884" s="897"/>
      <c r="K884" s="898"/>
      <c r="L884" s="899" t="s">
        <v>1613</v>
      </c>
      <c r="M884" s="70"/>
    </row>
    <row r="885" customFormat="false" ht="15.75" hidden="false" customHeight="true" outlineLevel="0" collapsed="false">
      <c r="A885" s="1048"/>
      <c r="B885" s="1048"/>
      <c r="C885" s="314"/>
      <c r="D885" s="314"/>
      <c r="E885" s="978"/>
      <c r="F885" s="978"/>
      <c r="G885" s="978"/>
      <c r="K885" s="458"/>
      <c r="L885" s="459"/>
      <c r="M885" s="70"/>
    </row>
    <row r="886" customFormat="false" ht="20" hidden="false" customHeight="true" outlineLevel="0" collapsed="false">
      <c r="A886" s="14" t="s">
        <v>672</v>
      </c>
      <c r="E886" s="950" t="s">
        <v>1614</v>
      </c>
      <c r="O886" s="314"/>
    </row>
    <row r="887" customFormat="false" ht="110.25" hidden="false" customHeight="true" outlineLevel="0" collapsed="false">
      <c r="A887" s="1348" t="s">
        <v>1615</v>
      </c>
      <c r="B887" s="1348"/>
      <c r="C887" s="1348"/>
      <c r="D887" s="1348"/>
      <c r="E887" s="1348"/>
      <c r="F887" s="1348"/>
      <c r="H887" s="14"/>
      <c r="K887" s="458"/>
      <c r="L887" s="459"/>
    </row>
    <row r="888" customFormat="false" ht="15.75" hidden="false" customHeight="true" outlineLevel="0" collapsed="false">
      <c r="K888" s="458"/>
      <c r="L888" s="459"/>
    </row>
    <row r="889" customFormat="false" ht="15.75" hidden="false" customHeight="true" outlineLevel="0" collapsed="false">
      <c r="H889" s="14"/>
      <c r="K889" s="458"/>
      <c r="L889" s="459"/>
    </row>
    <row r="890" customFormat="false" ht="15.75" hidden="false" customHeight="true" outlineLevel="0" collapsed="false">
      <c r="A890" s="1349" t="s">
        <v>670</v>
      </c>
      <c r="B890" s="1349"/>
      <c r="C890" s="1349"/>
      <c r="D890" s="1349"/>
      <c r="E890" s="950" t="s">
        <v>243</v>
      </c>
      <c r="H890" s="1350"/>
      <c r="I890" s="1350"/>
      <c r="K890" s="458"/>
      <c r="L890" s="459"/>
    </row>
    <row r="891" customFormat="false" ht="15.75" hidden="false" customHeight="true" outlineLevel="0" collapsed="false">
      <c r="A891" s="1351" t="s">
        <v>671</v>
      </c>
      <c r="B891" s="1351"/>
      <c r="C891" s="1351"/>
      <c r="D891" s="1351"/>
      <c r="E891" s="1351"/>
      <c r="F891" s="1351"/>
      <c r="H891" s="1350"/>
      <c r="I891" s="1352"/>
      <c r="K891" s="70"/>
      <c r="L891" s="70"/>
    </row>
    <row r="892" customFormat="false" ht="15.75" hidden="false" customHeight="true" outlineLevel="0" collapsed="false">
      <c r="A892" s="14"/>
      <c r="E892" s="421"/>
      <c r="F892" s="314"/>
      <c r="H892" s="1350"/>
      <c r="I892" s="1352"/>
      <c r="K892" s="458"/>
      <c r="L892" s="459"/>
    </row>
    <row r="893" customFormat="false" ht="15.75" hidden="false" customHeight="true" outlineLevel="0" collapsed="false">
      <c r="I893" s="1352"/>
      <c r="K893" s="458"/>
      <c r="L893" s="459"/>
    </row>
    <row r="894" customFormat="false" ht="15.75" hidden="false" customHeight="true" outlineLevel="0" collapsed="false">
      <c r="A894" s="896" t="s">
        <v>1616</v>
      </c>
      <c r="B894" s="896"/>
      <c r="C894" s="896"/>
      <c r="D894" s="896"/>
      <c r="E894" s="896"/>
      <c r="F894" s="896"/>
      <c r="G894" s="896"/>
      <c r="H894" s="897"/>
      <c r="I894" s="897"/>
      <c r="J894" s="897"/>
      <c r="K894" s="898"/>
      <c r="L894" s="899" t="s">
        <v>1596</v>
      </c>
    </row>
    <row r="895" s="11" customFormat="true" ht="15.75" hidden="false" customHeight="true" outlineLevel="0" collapsed="false">
      <c r="I895" s="423"/>
      <c r="K895" s="458"/>
      <c r="L895" s="459"/>
    </row>
    <row r="896" customFormat="false" ht="15.75" hidden="false" customHeight="true" outlineLevel="0" collapsed="false">
      <c r="A896" s="18" t="s">
        <v>1617</v>
      </c>
      <c r="K896" s="458"/>
      <c r="L896" s="459"/>
    </row>
    <row r="897" customFormat="false" ht="15.75" hidden="false" customHeight="true" outlineLevel="0" collapsed="false">
      <c r="A897" s="1202" t="s">
        <v>709</v>
      </c>
      <c r="B897" s="1202"/>
      <c r="C897" s="988" t="s">
        <v>243</v>
      </c>
      <c r="D897" s="15" t="s">
        <v>1618</v>
      </c>
      <c r="E897" s="1333"/>
      <c r="F897" s="1333"/>
      <c r="K897" s="458"/>
      <c r="L897" s="459"/>
    </row>
    <row r="898" customFormat="false" ht="15.75" hidden="false" customHeight="true" outlineLevel="0" collapsed="false">
      <c r="A898" s="1353" t="s">
        <v>1619</v>
      </c>
      <c r="B898" s="1353"/>
      <c r="K898" s="458"/>
      <c r="L898" s="459"/>
    </row>
    <row r="899" customFormat="false" ht="15.75" hidden="false" customHeight="true" outlineLevel="0" collapsed="false">
      <c r="A899" s="1202" t="s">
        <v>707</v>
      </c>
      <c r="B899" s="1202"/>
      <c r="C899" s="988" t="s">
        <v>243</v>
      </c>
      <c r="K899" s="458"/>
      <c r="L899" s="459"/>
    </row>
    <row r="900" customFormat="false" ht="15" hidden="false" customHeight="false" outlineLevel="0" collapsed="false">
      <c r="A900" s="1202" t="s">
        <v>708</v>
      </c>
      <c r="B900" s="1202"/>
      <c r="C900" s="988" t="s">
        <v>243</v>
      </c>
      <c r="E900" s="423"/>
      <c r="F900" s="423"/>
      <c r="G900" s="423"/>
      <c r="H900" s="423"/>
      <c r="I900" s="423"/>
      <c r="J900" s="1327"/>
      <c r="K900" s="934"/>
      <c r="L900" s="906"/>
    </row>
    <row r="901" customFormat="false" ht="20" hidden="false" customHeight="true" outlineLevel="0" collapsed="false">
      <c r="E901" s="423"/>
      <c r="F901" s="423"/>
      <c r="G901" s="423"/>
      <c r="H901" s="423"/>
      <c r="I901" s="423"/>
      <c r="J901" s="1327"/>
      <c r="K901" s="934"/>
      <c r="L901" s="906"/>
    </row>
    <row r="902" customFormat="false" ht="16.5" hidden="false" customHeight="true" outlineLevel="0" collapsed="false">
      <c r="A902" s="896" t="s">
        <v>1620</v>
      </c>
      <c r="B902" s="896"/>
      <c r="C902" s="896"/>
      <c r="D902" s="896"/>
      <c r="E902" s="896"/>
      <c r="F902" s="896"/>
      <c r="G902" s="896"/>
      <c r="H902" s="897"/>
      <c r="I902" s="897"/>
      <c r="J902" s="897"/>
      <c r="K902" s="898"/>
      <c r="L902" s="899" t="s">
        <v>1621</v>
      </c>
    </row>
    <row r="903" s="382" customFormat="true" ht="16.5" hidden="false" customHeight="true" outlineLevel="0" collapsed="false">
      <c r="A903" s="1126"/>
      <c r="B903" s="1126"/>
      <c r="C903" s="1126"/>
      <c r="D903" s="1126"/>
      <c r="E903" s="1126"/>
      <c r="F903" s="1126"/>
      <c r="G903" s="1126"/>
      <c r="H903" s="146"/>
      <c r="I903" s="146"/>
      <c r="J903" s="146"/>
      <c r="K903" s="458"/>
      <c r="L903" s="459"/>
      <c r="M903" s="146"/>
      <c r="N903" s="146"/>
      <c r="O903" s="146"/>
      <c r="P903" s="146"/>
      <c r="Q903" s="146"/>
      <c r="R903" s="146"/>
      <c r="S903" s="146"/>
      <c r="T903" s="146"/>
      <c r="U903" s="146"/>
      <c r="V903" s="146"/>
      <c r="W903" s="146"/>
      <c r="X903" s="146"/>
      <c r="Y903" s="146"/>
      <c r="Z903" s="146"/>
      <c r="AA903" s="146"/>
      <c r="AB903" s="146"/>
      <c r="AC903" s="146"/>
      <c r="AD903" s="146"/>
      <c r="AE903" s="146"/>
      <c r="AF903" s="146"/>
      <c r="AG903" s="146"/>
      <c r="AH903" s="146"/>
      <c r="AI903" s="146"/>
      <c r="AJ903" s="146"/>
      <c r="AK903" s="146"/>
      <c r="AL903" s="146"/>
      <c r="AM903" s="146"/>
      <c r="AN903" s="146"/>
      <c r="AO903" s="146"/>
      <c r="AP903" s="146"/>
      <c r="AQ903" s="146"/>
      <c r="AR903" s="146"/>
      <c r="AS903" s="146"/>
      <c r="AT903" s="146"/>
      <c r="AU903" s="146"/>
      <c r="AV903" s="146"/>
      <c r="AW903" s="146"/>
      <c r="AX903" s="146"/>
      <c r="AY903" s="146"/>
      <c r="AZ903" s="146"/>
      <c r="BA903" s="146"/>
      <c r="BB903" s="146"/>
      <c r="BC903" s="146"/>
      <c r="BD903" s="146"/>
      <c r="BE903" s="146"/>
      <c r="BF903" s="146"/>
      <c r="BG903" s="146"/>
      <c r="BH903" s="146"/>
      <c r="BI903" s="146"/>
      <c r="BJ903" s="146"/>
      <c r="BK903" s="146"/>
      <c r="BL903" s="146"/>
      <c r="BM903" s="146"/>
      <c r="BN903" s="146"/>
      <c r="BO903" s="146"/>
      <c r="BP903" s="146"/>
      <c r="BQ903" s="146"/>
      <c r="BR903" s="146"/>
      <c r="BS903" s="146"/>
      <c r="BT903" s="146"/>
      <c r="BU903" s="146"/>
      <c r="BV903" s="146"/>
      <c r="BW903" s="146"/>
      <c r="BX903" s="146"/>
      <c r="BY903" s="146"/>
      <c r="BZ903" s="146"/>
      <c r="CA903" s="146"/>
      <c r="CB903" s="146"/>
      <c r="CC903" s="146"/>
      <c r="CD903" s="146"/>
      <c r="CE903" s="146"/>
      <c r="CF903" s="146"/>
      <c r="CG903" s="146"/>
      <c r="CH903" s="146"/>
      <c r="CI903" s="146"/>
      <c r="CJ903" s="146"/>
      <c r="CK903" s="146"/>
      <c r="CL903" s="146"/>
      <c r="CM903" s="146"/>
      <c r="CN903" s="146"/>
      <c r="CO903" s="146"/>
      <c r="CP903" s="146"/>
      <c r="CQ903" s="146"/>
      <c r="CR903" s="146"/>
      <c r="CS903" s="146"/>
      <c r="CT903" s="146"/>
      <c r="CU903" s="146"/>
      <c r="CV903" s="146"/>
      <c r="CW903" s="146"/>
      <c r="CX903" s="146"/>
      <c r="CY903" s="146"/>
      <c r="CZ903" s="146"/>
      <c r="DA903" s="146"/>
      <c r="DB903" s="146"/>
      <c r="DC903" s="146"/>
      <c r="DD903" s="146"/>
      <c r="DE903" s="146"/>
      <c r="DF903" s="146"/>
      <c r="DG903" s="146"/>
      <c r="DH903" s="146"/>
      <c r="DI903" s="146"/>
      <c r="DJ903" s="146"/>
      <c r="DK903" s="146"/>
      <c r="DL903" s="146"/>
      <c r="DM903" s="146"/>
      <c r="DN903" s="146"/>
      <c r="DO903" s="146"/>
      <c r="DP903" s="146"/>
      <c r="DQ903" s="146"/>
      <c r="DR903" s="146"/>
      <c r="DS903" s="146"/>
      <c r="DT903" s="146"/>
      <c r="DU903" s="146"/>
      <c r="DV903" s="146"/>
      <c r="DW903" s="146"/>
      <c r="DX903" s="146"/>
      <c r="DY903" s="146"/>
      <c r="DZ903" s="146"/>
      <c r="EA903" s="146"/>
      <c r="EB903" s="146"/>
      <c r="EC903" s="146"/>
      <c r="ED903" s="146"/>
      <c r="EE903" s="146"/>
      <c r="EF903" s="146"/>
      <c r="EG903" s="146"/>
      <c r="EH903" s="146"/>
      <c r="EI903" s="146"/>
      <c r="EJ903" s="146"/>
      <c r="EK903" s="146"/>
      <c r="EL903" s="146"/>
      <c r="EM903" s="146"/>
      <c r="EN903" s="146"/>
      <c r="EO903" s="146"/>
      <c r="EP903" s="146"/>
      <c r="EQ903" s="146"/>
      <c r="ER903" s="146"/>
      <c r="ES903" s="146"/>
      <c r="ET903" s="146"/>
      <c r="EU903" s="146"/>
      <c r="EV903" s="146"/>
      <c r="EW903" s="146"/>
      <c r="EX903" s="146"/>
      <c r="EY903" s="146"/>
      <c r="EZ903" s="146"/>
      <c r="FA903" s="146"/>
      <c r="FB903" s="146"/>
      <c r="FC903" s="146"/>
      <c r="FD903" s="146"/>
      <c r="FE903" s="146"/>
      <c r="FF903" s="146"/>
      <c r="FG903" s="146"/>
      <c r="FH903" s="146"/>
      <c r="FI903" s="146"/>
      <c r="FJ903" s="146"/>
      <c r="FK903" s="146"/>
      <c r="FL903" s="146"/>
      <c r="FM903" s="146"/>
      <c r="FN903" s="146"/>
      <c r="FO903" s="146"/>
      <c r="FP903" s="146"/>
      <c r="FQ903" s="146"/>
      <c r="FR903" s="146"/>
      <c r="FS903" s="146"/>
      <c r="FT903" s="146"/>
      <c r="FU903" s="146"/>
      <c r="FV903" s="146"/>
      <c r="FW903" s="146"/>
      <c r="FX903" s="146"/>
      <c r="FY903" s="146"/>
      <c r="FZ903" s="146"/>
      <c r="GA903" s="146"/>
      <c r="GB903" s="146"/>
      <c r="GC903" s="146"/>
      <c r="GD903" s="146"/>
      <c r="GE903" s="146"/>
      <c r="GF903" s="146"/>
      <c r="GG903" s="146"/>
      <c r="GH903" s="146"/>
      <c r="GI903" s="146"/>
      <c r="GJ903" s="146"/>
      <c r="GK903" s="146"/>
      <c r="GL903" s="146"/>
      <c r="GM903" s="146"/>
      <c r="GN903" s="146"/>
      <c r="GO903" s="146"/>
      <c r="GP903" s="146"/>
      <c r="GQ903" s="146"/>
      <c r="GR903" s="146"/>
      <c r="GS903" s="146"/>
      <c r="GT903" s="146"/>
      <c r="GU903" s="146"/>
      <c r="GV903" s="146"/>
      <c r="GW903" s="146"/>
      <c r="GX903" s="146"/>
      <c r="GY903" s="146"/>
      <c r="GZ903" s="146"/>
      <c r="HA903" s="146"/>
      <c r="HB903" s="146"/>
      <c r="HC903" s="146"/>
      <c r="HD903" s="146"/>
      <c r="HE903" s="146"/>
      <c r="HF903" s="146"/>
      <c r="HG903" s="146"/>
      <c r="HH903" s="146"/>
      <c r="HI903" s="146"/>
      <c r="HJ903" s="146"/>
      <c r="HK903" s="146"/>
      <c r="HL903" s="146"/>
      <c r="HM903" s="146"/>
      <c r="HN903" s="146"/>
      <c r="HO903" s="146"/>
      <c r="HP903" s="146"/>
      <c r="HQ903" s="146"/>
      <c r="HR903" s="146"/>
      <c r="HS903" s="146"/>
      <c r="HT903" s="146"/>
      <c r="HU903" s="146"/>
      <c r="HV903" s="146"/>
      <c r="HW903" s="146"/>
      <c r="HX903" s="146"/>
      <c r="HY903" s="146"/>
      <c r="HZ903" s="146"/>
      <c r="IA903" s="146"/>
      <c r="IB903" s="146"/>
      <c r="IC903" s="146"/>
      <c r="ID903" s="146"/>
      <c r="IE903" s="146"/>
      <c r="IF903" s="146"/>
      <c r="IG903" s="146"/>
      <c r="IH903" s="146"/>
      <c r="II903" s="146"/>
      <c r="IJ903" s="146"/>
      <c r="IK903" s="146"/>
      <c r="IL903" s="146"/>
      <c r="IM903" s="146"/>
      <c r="IN903" s="146"/>
      <c r="IO903" s="146"/>
      <c r="IP903" s="146"/>
      <c r="IQ903" s="146"/>
      <c r="IR903" s="146"/>
      <c r="IS903" s="146"/>
      <c r="IT903" s="146"/>
      <c r="IU903" s="146"/>
      <c r="IV903" s="146"/>
    </row>
    <row r="904" customFormat="false" ht="15.75" hidden="false" customHeight="true" outlineLevel="0" collapsed="false">
      <c r="A904" s="14" t="s">
        <v>944</v>
      </c>
      <c r="D904" s="1354" t="n">
        <v>104830</v>
      </c>
      <c r="E904" s="1355" t="s">
        <v>1622</v>
      </c>
      <c r="G904" s="1356" t="s">
        <v>1623</v>
      </c>
      <c r="H904" s="1356"/>
      <c r="I904" s="1356"/>
      <c r="J904" s="943" t="n">
        <f aca="false">IF(D904=0,0,D904/E1289)</f>
        <v>6.96498571523487</v>
      </c>
      <c r="K904" s="458"/>
      <c r="L904" s="459"/>
    </row>
    <row r="905" customFormat="false" ht="15" hidden="false" customHeight="true" outlineLevel="0" collapsed="false">
      <c r="A905" s="14"/>
      <c r="D905" s="423"/>
      <c r="F905" s="423"/>
      <c r="G905" s="423"/>
      <c r="H905" s="423"/>
      <c r="I905" s="423"/>
      <c r="J905" s="1327"/>
      <c r="K905" s="458"/>
      <c r="L905" s="459"/>
    </row>
    <row r="906" s="11" customFormat="true" ht="15.75" hidden="false" customHeight="true" outlineLevel="0" collapsed="false">
      <c r="D906" s="14"/>
      <c r="K906" s="458"/>
      <c r="L906" s="459"/>
    </row>
    <row r="907" s="11" customFormat="true" ht="15.75" hidden="false" customHeight="true" outlineLevel="0" collapsed="false">
      <c r="A907" s="14" t="s">
        <v>945</v>
      </c>
      <c r="C907" s="463" t="s">
        <v>946</v>
      </c>
      <c r="D907" s="1354" t="s">
        <v>243</v>
      </c>
      <c r="E907" s="15" t="s">
        <v>1624</v>
      </c>
      <c r="F907" s="1357" t="s">
        <v>1625</v>
      </c>
      <c r="G907" s="1357"/>
    </row>
    <row r="908" s="11" customFormat="true" ht="15.75" hidden="false" customHeight="true" outlineLevel="0" collapsed="false">
      <c r="C908" s="463" t="s">
        <v>947</v>
      </c>
      <c r="D908" s="1354" t="s">
        <v>242</v>
      </c>
      <c r="F908" s="1357"/>
      <c r="G908" s="1357"/>
    </row>
    <row r="909" s="11" customFormat="true" ht="15.75" hidden="false" customHeight="true" outlineLevel="0" collapsed="false">
      <c r="G909" s="19"/>
      <c r="H909" s="19"/>
    </row>
    <row r="910" s="11" customFormat="true" ht="30.75" hidden="false" customHeight="true" outlineLevel="0" collapsed="false">
      <c r="A910" s="1349" t="s">
        <v>948</v>
      </c>
      <c r="B910" s="1349"/>
      <c r="C910" s="1349"/>
      <c r="D910" s="1349"/>
      <c r="E910" s="1358" t="s">
        <v>243</v>
      </c>
      <c r="F910" s="15" t="s">
        <v>1624</v>
      </c>
      <c r="G910" s="1333"/>
      <c r="H910" s="1333"/>
    </row>
    <row r="911" s="11" customFormat="true" ht="15" hidden="false" customHeight="true" outlineLevel="0" collapsed="false"/>
    <row r="912" s="11" customFormat="true" ht="15" hidden="false" customHeight="true" outlineLevel="0" collapsed="false"/>
    <row r="913" customFormat="false" ht="16.5" hidden="false" customHeight="true" outlineLevel="0" collapsed="false">
      <c r="A913" s="896" t="s">
        <v>1626</v>
      </c>
      <c r="B913" s="896"/>
      <c r="C913" s="896"/>
      <c r="D913" s="896"/>
      <c r="E913" s="896"/>
      <c r="F913" s="896"/>
      <c r="G913" s="896"/>
      <c r="H913" s="897"/>
      <c r="I913" s="897"/>
      <c r="J913" s="897"/>
      <c r="K913" s="898"/>
      <c r="L913" s="899" t="s">
        <v>1627</v>
      </c>
      <c r="M913" s="70"/>
    </row>
    <row r="914" s="11" customFormat="true" ht="16.5" hidden="false" customHeight="true" outlineLevel="0" collapsed="false">
      <c r="A914" s="1048"/>
      <c r="B914" s="1048"/>
      <c r="C914" s="1048"/>
      <c r="D914" s="1048"/>
      <c r="E914" s="1048"/>
      <c r="F914" s="1048"/>
      <c r="G914" s="1048"/>
      <c r="K914" s="458"/>
      <c r="L914" s="459"/>
      <c r="M914" s="70"/>
    </row>
    <row r="915" s="11" customFormat="true" ht="16.5" hidden="false" customHeight="true" outlineLevel="0" collapsed="false">
      <c r="A915" s="1048" t="s">
        <v>1628</v>
      </c>
      <c r="B915" s="1048"/>
      <c r="C915" s="1048"/>
      <c r="D915" s="1048"/>
      <c r="E915" s="1048"/>
      <c r="F915" s="1048"/>
      <c r="G915" s="1048"/>
      <c r="K915" s="458"/>
      <c r="L915" s="459"/>
      <c r="M915" s="70"/>
    </row>
    <row r="916" customFormat="false" ht="15.75" hidden="false" customHeight="true" outlineLevel="0" collapsed="false">
      <c r="A916" s="14" t="s">
        <v>1629</v>
      </c>
      <c r="D916" s="1359" t="n">
        <f aca="false">IF(G243=-1,"erreur",IF(B23="non","NC",((G243+I301-C186-I300-I161+I163+E188)/(G243+I301))))</f>
        <v>1.14603508892174</v>
      </c>
      <c r="L916" s="11" t="s">
        <v>1067</v>
      </c>
    </row>
    <row r="917" customFormat="false" ht="15.75" hidden="false" customHeight="true" outlineLevel="0" collapsed="false">
      <c r="A917" s="14"/>
    </row>
    <row r="918" s="11" customFormat="true" ht="15.75" hidden="false" customHeight="true" outlineLevel="0" collapsed="false">
      <c r="A918" s="14" t="s">
        <v>1630</v>
      </c>
      <c r="D918" s="1359" t="n">
        <f aca="false">IF(E355=-1,"erreur",IF(E355=0,"NC",IF(D355=0,1,((E355-D355+F358)/E355))))</f>
        <v>1</v>
      </c>
      <c r="L918" s="459" t="s">
        <v>1190</v>
      </c>
      <c r="M918" s="70"/>
    </row>
    <row r="919" customFormat="false" ht="15.75" hidden="false" customHeight="true" outlineLevel="0" collapsed="false">
      <c r="A919" s="966" t="s">
        <v>440</v>
      </c>
      <c r="B919" s="966"/>
      <c r="D919" s="1354" t="s">
        <v>243</v>
      </c>
      <c r="I919" s="890"/>
      <c r="J919" s="890"/>
      <c r="K919" s="890"/>
      <c r="L919" s="459"/>
      <c r="M919" s="70"/>
    </row>
    <row r="920" customFormat="false" ht="15.75" hidden="false" customHeight="true" outlineLevel="0" collapsed="false">
      <c r="A920" s="966"/>
      <c r="B920" s="966"/>
      <c r="I920" s="890"/>
      <c r="J920" s="890"/>
      <c r="K920" s="890"/>
      <c r="L920" s="459"/>
      <c r="M920" s="70"/>
    </row>
    <row r="921" customFormat="false" ht="15.75" hidden="false" customHeight="true" outlineLevel="0" collapsed="false">
      <c r="A921" s="14" t="s">
        <v>1631</v>
      </c>
      <c r="D921" s="1359" t="str">
        <f aca="false">IF(C136=0,"non","oui")</f>
        <v>oui</v>
      </c>
      <c r="K921" s="70"/>
      <c r="L921" s="459" t="s">
        <v>1019</v>
      </c>
    </row>
    <row r="922" s="11" customFormat="true" ht="15.75" hidden="false" customHeight="true" outlineLevel="0" collapsed="false">
      <c r="A922" s="14" t="s">
        <v>474</v>
      </c>
      <c r="D922" s="1058" t="s">
        <v>243</v>
      </c>
      <c r="E922" s="423"/>
      <c r="K922" s="458"/>
      <c r="L922" s="459" t="s">
        <v>1296</v>
      </c>
      <c r="O922" s="70"/>
      <c r="P922" s="70"/>
    </row>
    <row r="923" s="11" customFormat="true" ht="15" hidden="false" customHeight="true" outlineLevel="0" collapsed="false">
      <c r="A923" s="1118" t="s">
        <v>475</v>
      </c>
      <c r="B923" s="1333"/>
      <c r="C923" s="1333"/>
      <c r="D923" s="1333"/>
      <c r="E923" s="1333"/>
      <c r="F923" s="1333"/>
      <c r="G923" s="1333"/>
      <c r="K923" s="458"/>
      <c r="L923" s="459"/>
    </row>
    <row r="924" s="11" customFormat="true" ht="15.75" hidden="false" customHeight="true" outlineLevel="0" collapsed="false">
      <c r="K924" s="458"/>
      <c r="L924" s="459"/>
    </row>
    <row r="925" s="11" customFormat="true" ht="15.75" hidden="false" customHeight="true" outlineLevel="0" collapsed="false">
      <c r="A925" s="14" t="s">
        <v>1632</v>
      </c>
      <c r="D925" s="1179" t="str">
        <f aca="false">H655</f>
        <v>non</v>
      </c>
      <c r="K925" s="458"/>
      <c r="L925" s="459" t="s">
        <v>1479</v>
      </c>
    </row>
    <row r="926" s="11" customFormat="true" ht="15.75" hidden="false" customHeight="true" outlineLevel="0" collapsed="false">
      <c r="A926" s="14"/>
      <c r="K926" s="458"/>
      <c r="L926" s="459"/>
    </row>
    <row r="927" s="11" customFormat="true" ht="15.75" hidden="false" customHeight="true" outlineLevel="0" collapsed="false">
      <c r="A927" s="14"/>
      <c r="K927" s="458"/>
      <c r="L927" s="459"/>
    </row>
    <row r="928" s="11" customFormat="true" ht="15.75" hidden="false" customHeight="true" outlineLevel="0" collapsed="false">
      <c r="A928" s="1048" t="s">
        <v>1633</v>
      </c>
      <c r="K928" s="458"/>
      <c r="L928" s="459" t="s">
        <v>1634</v>
      </c>
    </row>
    <row r="929" s="11" customFormat="true" ht="15.75" hidden="false" customHeight="true" outlineLevel="0" collapsed="false">
      <c r="A929" s="989" t="s">
        <v>1635</v>
      </c>
      <c r="E929" s="1058" t="s">
        <v>243</v>
      </c>
      <c r="F929" s="66"/>
      <c r="K929" s="458"/>
      <c r="L929" s="459"/>
    </row>
    <row r="930" s="11" customFormat="true" ht="15.75" hidden="false" customHeight="true" outlineLevel="0" collapsed="false">
      <c r="A930" s="989" t="s">
        <v>1636</v>
      </c>
      <c r="E930" s="1058" t="s">
        <v>243</v>
      </c>
      <c r="K930" s="458"/>
      <c r="L930" s="459"/>
    </row>
    <row r="931" s="11" customFormat="true" ht="15.75" hidden="false" customHeight="true" outlineLevel="0" collapsed="false">
      <c r="A931" s="1360" t="s">
        <v>551</v>
      </c>
      <c r="K931" s="458"/>
      <c r="L931" s="459"/>
    </row>
    <row r="932" s="11" customFormat="true" ht="15.75" hidden="false" customHeight="true" outlineLevel="0" collapsed="false">
      <c r="A932" s="989" t="s">
        <v>1637</v>
      </c>
      <c r="E932" s="1058" t="s">
        <v>243</v>
      </c>
      <c r="K932" s="458"/>
      <c r="L932" s="459"/>
    </row>
    <row r="933" s="11" customFormat="true" ht="15.75" hidden="false" customHeight="true" outlineLevel="0" collapsed="false">
      <c r="A933" s="989" t="s">
        <v>1638</v>
      </c>
      <c r="E933" s="1058" t="s">
        <v>242</v>
      </c>
      <c r="K933" s="458"/>
      <c r="L933" s="459"/>
    </row>
    <row r="934" s="11" customFormat="true" ht="15.75" hidden="false" customHeight="true" outlineLevel="0" collapsed="false">
      <c r="K934" s="458"/>
      <c r="L934" s="459"/>
    </row>
    <row r="935" s="11" customFormat="true" ht="15.75" hidden="false" customHeight="true" outlineLevel="0" collapsed="false">
      <c r="A935" s="1048" t="s">
        <v>1639</v>
      </c>
      <c r="K935" s="458"/>
      <c r="L935" s="459" t="s">
        <v>1640</v>
      </c>
    </row>
    <row r="936" s="11" customFormat="true" ht="15.75" hidden="false" customHeight="true" outlineLevel="0" collapsed="false">
      <c r="A936" s="14" t="s">
        <v>569</v>
      </c>
      <c r="D936" s="1058" t="s">
        <v>243</v>
      </c>
      <c r="F936" s="70"/>
      <c r="K936" s="458"/>
      <c r="L936" s="459"/>
    </row>
    <row r="937" s="11" customFormat="true" ht="15.75" hidden="false" customHeight="true" outlineLevel="0" collapsed="false">
      <c r="A937" s="14" t="s">
        <v>702</v>
      </c>
      <c r="D937" s="1058" t="s">
        <v>243</v>
      </c>
      <c r="K937" s="458"/>
      <c r="L937" s="459"/>
    </row>
    <row r="938" customFormat="false" ht="15.75" hidden="false" customHeight="true" outlineLevel="0" collapsed="false">
      <c r="A938" s="14" t="s">
        <v>703</v>
      </c>
      <c r="D938" s="1058" t="s">
        <v>243</v>
      </c>
      <c r="K938" s="458"/>
      <c r="L938" s="459"/>
      <c r="O938" s="70"/>
      <c r="P938" s="70"/>
    </row>
    <row r="939" customFormat="false" ht="15.75" hidden="false" customHeight="true" outlineLevel="0" collapsed="false">
      <c r="K939" s="458"/>
      <c r="L939" s="459"/>
      <c r="M939" s="70"/>
      <c r="O939" s="70"/>
      <c r="P939" s="70"/>
    </row>
    <row r="940" customFormat="false" ht="15" hidden="false" customHeight="true" outlineLevel="0" collapsed="false">
      <c r="K940" s="70"/>
      <c r="L940" s="70"/>
      <c r="M940" s="70"/>
    </row>
    <row r="941" customFormat="false" ht="16.5" hidden="false" customHeight="true" outlineLevel="0" collapsed="false">
      <c r="A941" s="896" t="s">
        <v>1641</v>
      </c>
      <c r="B941" s="896"/>
      <c r="C941" s="896"/>
      <c r="D941" s="896"/>
      <c r="E941" s="896"/>
      <c r="F941" s="896"/>
      <c r="G941" s="896"/>
      <c r="H941" s="897"/>
      <c r="I941" s="897"/>
      <c r="J941" s="897"/>
      <c r="K941" s="898"/>
      <c r="L941" s="899" t="s">
        <v>1642</v>
      </c>
    </row>
    <row r="942" customFormat="false" ht="16.5" hidden="false" customHeight="true" outlineLevel="0" collapsed="false">
      <c r="A942" s="1048"/>
      <c r="B942" s="1048"/>
      <c r="C942" s="1048"/>
      <c r="D942" s="1048"/>
      <c r="E942" s="1048"/>
      <c r="F942" s="1048"/>
      <c r="G942" s="1048"/>
      <c r="H942" s="423"/>
      <c r="I942" s="423"/>
      <c r="K942" s="458"/>
      <c r="L942" s="459"/>
    </row>
    <row r="943" customFormat="false" ht="15.75" hidden="false" customHeight="true" outlineLevel="0" collapsed="false">
      <c r="A943" s="1361" t="s">
        <v>1643</v>
      </c>
      <c r="B943" s="1361"/>
      <c r="C943" s="1361"/>
      <c r="D943" s="1011" t="n">
        <f aca="false">MIN(1, COUNTIF(D944:D945, "oui"))</f>
        <v>1</v>
      </c>
      <c r="F943" s="14" t="s">
        <v>721</v>
      </c>
      <c r="J943" s="1011" t="n">
        <f aca="false">MIN(1,COUNTIF(J944:J947, "oui"))</f>
        <v>1</v>
      </c>
      <c r="L943" s="11" t="s">
        <v>1607</v>
      </c>
    </row>
    <row r="944" customFormat="false" ht="15.75" hidden="false" customHeight="true" outlineLevel="0" collapsed="false">
      <c r="A944" s="1362" t="s">
        <v>719</v>
      </c>
      <c r="B944" s="1362"/>
      <c r="C944" s="1362"/>
      <c r="D944" s="988" t="s">
        <v>242</v>
      </c>
      <c r="E944" s="1363"/>
      <c r="F944" s="1364" t="s">
        <v>1644</v>
      </c>
      <c r="G944" s="1364"/>
      <c r="H944" s="1364"/>
      <c r="I944" s="1364"/>
      <c r="J944" s="988" t="s">
        <v>242</v>
      </c>
      <c r="K944" s="1365"/>
      <c r="L944" s="459"/>
    </row>
    <row r="945" customFormat="false" ht="30" hidden="false" customHeight="true" outlineLevel="0" collapsed="false">
      <c r="A945" s="1366" t="s">
        <v>1645</v>
      </c>
      <c r="B945" s="1366"/>
      <c r="C945" s="1366"/>
      <c r="D945" s="988" t="s">
        <v>1646</v>
      </c>
      <c r="E945" s="1363"/>
      <c r="F945" s="1037" t="s">
        <v>1647</v>
      </c>
      <c r="G945" s="1037"/>
      <c r="H945" s="1037"/>
      <c r="I945" s="1037"/>
      <c r="J945" s="988" t="s">
        <v>1646</v>
      </c>
      <c r="K945" s="1365"/>
      <c r="L945" s="459"/>
    </row>
    <row r="946" customFormat="false" ht="19.5" hidden="false" customHeight="true" outlineLevel="0" collapsed="false">
      <c r="A946" s="1367"/>
      <c r="B946" s="1367"/>
      <c r="C946" s="1367"/>
      <c r="D946" s="1367"/>
      <c r="E946" s="1367"/>
      <c r="F946" s="1037" t="s">
        <v>1648</v>
      </c>
      <c r="G946" s="1037"/>
      <c r="H946" s="1037"/>
      <c r="I946" s="1037"/>
      <c r="J946" s="988" t="s">
        <v>1646</v>
      </c>
      <c r="K946" s="1365"/>
      <c r="L946" s="459"/>
    </row>
    <row r="947" customFormat="false" ht="15.75" hidden="false" customHeight="true" outlineLevel="0" collapsed="false">
      <c r="A947" s="1367"/>
      <c r="B947" s="1367"/>
      <c r="C947" s="1367"/>
      <c r="D947" s="1367"/>
      <c r="E947" s="1367"/>
      <c r="F947" s="453" t="s">
        <v>1649</v>
      </c>
      <c r="J947" s="988" t="s">
        <v>242</v>
      </c>
      <c r="K947" s="1365"/>
      <c r="L947" s="459"/>
    </row>
    <row r="948" customFormat="false" ht="15.75" hidden="false" customHeight="true" outlineLevel="0" collapsed="false">
      <c r="A948" s="1367"/>
      <c r="B948" s="70"/>
      <c r="E948" s="70"/>
      <c r="F948" s="70"/>
      <c r="G948" s="70"/>
      <c r="J948" s="459"/>
      <c r="K948" s="1365"/>
      <c r="L948" s="459"/>
    </row>
    <row r="949" customFormat="false" ht="15.75" hidden="false" customHeight="true" outlineLevel="0" collapsed="false">
      <c r="A949" s="14" t="s">
        <v>727</v>
      </c>
      <c r="D949" s="1332" t="s">
        <v>243</v>
      </c>
      <c r="F949" s="15" t="s">
        <v>1650</v>
      </c>
      <c r="G949" s="1333"/>
      <c r="H949" s="1333"/>
      <c r="K949" s="458"/>
      <c r="L949" s="459"/>
    </row>
    <row r="950" customFormat="false" ht="15.75" hidden="false" customHeight="true" outlineLevel="0" collapsed="false">
      <c r="E950" s="423"/>
      <c r="F950" s="423"/>
      <c r="G950" s="423"/>
      <c r="H950" s="423"/>
      <c r="I950" s="423"/>
      <c r="J950" s="1327"/>
      <c r="K950" s="458"/>
      <c r="L950" s="459"/>
    </row>
    <row r="951" customFormat="false" ht="15.75" hidden="false" customHeight="true" outlineLevel="0" collapsed="false">
      <c r="A951" s="14" t="s">
        <v>1651</v>
      </c>
      <c r="D951" s="1011" t="n">
        <f aca="false">IF(D952="oui",1,0)</f>
        <v>0</v>
      </c>
      <c r="K951" s="458"/>
      <c r="L951" s="459" t="s">
        <v>1296</v>
      </c>
    </row>
    <row r="952" customFormat="false" ht="15.75" hidden="false" customHeight="true" outlineLevel="0" collapsed="false">
      <c r="A952" s="453" t="s">
        <v>1652</v>
      </c>
      <c r="D952" s="988" t="s">
        <v>1646</v>
      </c>
      <c r="E952" s="15" t="s">
        <v>1653</v>
      </c>
      <c r="F952" s="1368"/>
      <c r="G952" s="1368"/>
      <c r="H952" s="1368"/>
      <c r="I952" s="1368"/>
      <c r="J952" s="1368"/>
      <c r="K952" s="458"/>
      <c r="L952" s="459" t="s">
        <v>1452</v>
      </c>
    </row>
    <row r="953" customFormat="false" ht="15.75" hidden="false" customHeight="true" outlineLevel="0" collapsed="false">
      <c r="E953" s="15" t="s">
        <v>1654</v>
      </c>
      <c r="F953" s="1368"/>
      <c r="G953" s="1368"/>
      <c r="H953" s="1368"/>
      <c r="I953" s="1368"/>
      <c r="J953" s="1368"/>
      <c r="K953" s="458"/>
      <c r="L953" s="459"/>
    </row>
    <row r="954" customFormat="false" ht="15" hidden="false" customHeight="true" outlineLevel="0" collapsed="false">
      <c r="E954" s="423"/>
      <c r="F954" s="423"/>
      <c r="G954" s="423"/>
      <c r="H954" s="423"/>
      <c r="I954" s="423"/>
      <c r="J954" s="1327"/>
      <c r="K954" s="458"/>
      <c r="L954" s="459"/>
    </row>
    <row r="955" customFormat="false" ht="20" hidden="false" customHeight="true" outlineLevel="0" collapsed="false">
      <c r="E955" s="423"/>
      <c r="F955" s="423"/>
      <c r="G955" s="423"/>
      <c r="H955" s="423"/>
      <c r="I955" s="423"/>
      <c r="J955" s="1327"/>
      <c r="K955" s="934"/>
      <c r="L955" s="906"/>
    </row>
    <row r="956" customFormat="false" ht="16.5" hidden="false" customHeight="true" outlineLevel="0" collapsed="false">
      <c r="A956" s="896" t="s">
        <v>1655</v>
      </c>
      <c r="B956" s="896"/>
      <c r="C956" s="896"/>
      <c r="D956" s="896"/>
      <c r="E956" s="896"/>
      <c r="F956" s="896"/>
      <c r="G956" s="896"/>
      <c r="H956" s="897"/>
      <c r="I956" s="897"/>
      <c r="J956" s="897"/>
      <c r="K956" s="898"/>
      <c r="L956" s="899" t="s">
        <v>1607</v>
      </c>
    </row>
    <row r="957" customFormat="false" ht="16.5" hidden="false" customHeight="true" outlineLevel="0" collapsed="false">
      <c r="A957" s="1048"/>
      <c r="B957" s="1048"/>
      <c r="C957" s="1048"/>
      <c r="D957" s="1048"/>
      <c r="E957" s="1048"/>
      <c r="F957" s="1048"/>
      <c r="G957" s="1048"/>
      <c r="J957" s="1347"/>
      <c r="K957" s="458"/>
      <c r="L957" s="459"/>
    </row>
    <row r="958" customFormat="false" ht="15.75" hidden="false" customHeight="true" outlineLevel="0" collapsed="false">
      <c r="A958" s="463" t="s">
        <v>712</v>
      </c>
      <c r="B958" s="937" t="s">
        <v>242</v>
      </c>
      <c r="D958" s="463" t="s">
        <v>714</v>
      </c>
      <c r="E958" s="937" t="s">
        <v>243</v>
      </c>
      <c r="I958" s="463" t="s">
        <v>716</v>
      </c>
      <c r="J958" s="1002" t="s">
        <v>243</v>
      </c>
    </row>
    <row r="959" customFormat="false" ht="15" hidden="false" customHeight="true" outlineLevel="0" collapsed="false">
      <c r="F959" s="1369"/>
      <c r="K959" s="934"/>
      <c r="L959" s="906"/>
    </row>
    <row r="960" customFormat="false" ht="15" hidden="false" customHeight="true" outlineLevel="0" collapsed="false">
      <c r="F960" s="1369"/>
      <c r="K960" s="934"/>
      <c r="L960" s="906"/>
    </row>
    <row r="961" customFormat="false" ht="15.75" hidden="false" customHeight="true" outlineLevel="0" collapsed="false">
      <c r="A961" s="896" t="s">
        <v>1656</v>
      </c>
      <c r="B961" s="896"/>
      <c r="C961" s="896"/>
      <c r="D961" s="896"/>
      <c r="E961" s="896"/>
      <c r="F961" s="896"/>
      <c r="G961" s="896"/>
      <c r="H961" s="897"/>
      <c r="I961" s="897"/>
      <c r="J961" s="897"/>
      <c r="K961" s="898"/>
      <c r="L961" s="899" t="s">
        <v>1596</v>
      </c>
    </row>
    <row r="962" customFormat="false" ht="15.75" hidden="false" customHeight="true" outlineLevel="0" collapsed="false">
      <c r="L962" s="1370"/>
    </row>
    <row r="963" customFormat="false" ht="15.75" hidden="false" customHeight="true" outlineLevel="0" collapsed="false">
      <c r="F963" s="1221" t="s">
        <v>688</v>
      </c>
      <c r="G963" s="1221" t="s">
        <v>689</v>
      </c>
      <c r="L963" s="314"/>
    </row>
    <row r="964" customFormat="false" ht="15.75" hidden="false" customHeight="true" outlineLevel="0" collapsed="false">
      <c r="B964" s="1371" t="s">
        <v>693</v>
      </c>
      <c r="C964" s="1371"/>
      <c r="D964" s="1371"/>
      <c r="E964" s="1371"/>
      <c r="F964" s="1221"/>
      <c r="G964" s="1221"/>
      <c r="L964" s="314"/>
    </row>
    <row r="965" customFormat="false" ht="15" hidden="false" customHeight="true" outlineLevel="0" collapsed="false">
      <c r="B965" s="980" t="s">
        <v>694</v>
      </c>
      <c r="C965" s="1372" t="s">
        <v>695</v>
      </c>
      <c r="D965" s="1372"/>
      <c r="E965" s="1372"/>
      <c r="F965" s="1373" t="s">
        <v>242</v>
      </c>
      <c r="G965" s="1373" t="s">
        <v>1657</v>
      </c>
      <c r="H965" s="1374" t="n">
        <f aca="false">IF(F965="non",1,0)</f>
        <v>0</v>
      </c>
      <c r="I965" s="1374" t="n">
        <f aca="false">IF(G965="tri ou recyclage",0.5,0)</f>
        <v>0.5</v>
      </c>
      <c r="L965" s="314"/>
    </row>
    <row r="966" customFormat="false" ht="15" hidden="false" customHeight="true" outlineLevel="0" collapsed="false">
      <c r="B966" s="980"/>
      <c r="C966" s="1375" t="s">
        <v>696</v>
      </c>
      <c r="D966" s="1375"/>
      <c r="E966" s="1375"/>
      <c r="F966" s="1376" t="s">
        <v>242</v>
      </c>
      <c r="G966" s="1376" t="s">
        <v>1657</v>
      </c>
      <c r="H966" s="1377" t="n">
        <f aca="false">IF(F966="non",1,0)</f>
        <v>0</v>
      </c>
      <c r="I966" s="1377" t="n">
        <f aca="false">IF(G966="tri ou recyclage",0.5,0)</f>
        <v>0.5</v>
      </c>
      <c r="L966" s="314"/>
      <c r="M966" s="1378"/>
    </row>
    <row r="967" customFormat="false" ht="15" hidden="false" customHeight="true" outlineLevel="0" collapsed="false">
      <c r="B967" s="980"/>
      <c r="C967" s="1375"/>
      <c r="D967" s="1375"/>
      <c r="E967" s="1375"/>
      <c r="F967" s="1376"/>
      <c r="G967" s="1376"/>
      <c r="H967" s="1377"/>
      <c r="I967" s="1377"/>
      <c r="J967" s="1379" t="s">
        <v>1658</v>
      </c>
      <c r="K967" s="1380" t="n">
        <f aca="false">H972+I972</f>
        <v>1.5</v>
      </c>
      <c r="L967" s="314"/>
    </row>
    <row r="968" customFormat="false" ht="15" hidden="false" customHeight="true" outlineLevel="0" collapsed="false">
      <c r="B968" s="980"/>
      <c r="C968" s="1375"/>
      <c r="D968" s="1375"/>
      <c r="E968" s="1375"/>
      <c r="F968" s="1376"/>
      <c r="G968" s="1376"/>
      <c r="H968" s="1377"/>
      <c r="I968" s="1377"/>
      <c r="J968" s="1379"/>
      <c r="K968" s="1380"/>
      <c r="L968" s="314"/>
    </row>
    <row r="969" customFormat="false" ht="15.75" hidden="false" customHeight="true" outlineLevel="0" collapsed="false">
      <c r="B969" s="980"/>
      <c r="C969" s="1381" t="s">
        <v>1659</v>
      </c>
      <c r="D969" s="1381"/>
      <c r="E969" s="1381"/>
      <c r="F969" s="1376" t="s">
        <v>242</v>
      </c>
      <c r="G969" s="1376" t="s">
        <v>1660</v>
      </c>
      <c r="H969" s="1377" t="n">
        <f aca="false">IF(F969="non",1,0)</f>
        <v>0</v>
      </c>
      <c r="I969" s="1377" t="n">
        <f aca="false">IF(G969="tri ou recyclage",0.5,0)</f>
        <v>0</v>
      </c>
      <c r="J969" s="1379"/>
      <c r="K969" s="1380"/>
      <c r="L969" s="314"/>
    </row>
    <row r="970" customFormat="false" ht="15.75" hidden="false" customHeight="true" outlineLevel="0" collapsed="false">
      <c r="B970" s="980"/>
      <c r="C970" s="1381"/>
      <c r="D970" s="1381"/>
      <c r="E970" s="1381"/>
      <c r="F970" s="1376"/>
      <c r="G970" s="1376"/>
      <c r="H970" s="1377"/>
      <c r="I970" s="1377"/>
      <c r="L970" s="314"/>
    </row>
    <row r="971" customFormat="false" ht="32.25" hidden="false" customHeight="true" outlineLevel="0" collapsed="false">
      <c r="B971" s="980" t="s">
        <v>698</v>
      </c>
      <c r="C971" s="1382" t="s">
        <v>699</v>
      </c>
      <c r="D971" s="1382"/>
      <c r="E971" s="1382"/>
      <c r="F971" s="1383" t="s">
        <v>242</v>
      </c>
      <c r="G971" s="1383" t="s">
        <v>1657</v>
      </c>
      <c r="H971" s="1374" t="n">
        <f aca="false">IF(F971="non",1,0)</f>
        <v>0</v>
      </c>
      <c r="I971" s="1374" t="n">
        <f aca="false">IF(G971="tri ou recyclage",0.5,0)</f>
        <v>0.5</v>
      </c>
      <c r="L971" s="314"/>
    </row>
    <row r="972" customFormat="false" ht="15.75" hidden="false" customHeight="true" outlineLevel="0" collapsed="false">
      <c r="C972" s="1218"/>
      <c r="D972" s="1218"/>
      <c r="H972" s="1374" t="n">
        <f aca="false">SUM(H965:H971)</f>
        <v>0</v>
      </c>
      <c r="I972" s="1374" t="n">
        <f aca="false">SUM(I965:I971)</f>
        <v>1.5</v>
      </c>
      <c r="L972" s="314"/>
    </row>
    <row r="973" customFormat="false" ht="15.75" hidden="false" customHeight="true" outlineLevel="0" collapsed="false">
      <c r="L973" s="314"/>
    </row>
    <row r="974" customFormat="false" ht="15.75" hidden="false" customHeight="true" outlineLevel="0" collapsed="false">
      <c r="A974" s="14" t="s">
        <v>1661</v>
      </c>
      <c r="B974" s="937" t="s">
        <v>243</v>
      </c>
      <c r="L974" s="314"/>
    </row>
    <row r="975" customFormat="false" ht="15" hidden="false" customHeight="true" outlineLevel="0" collapsed="false">
      <c r="A975" s="449" t="s">
        <v>701</v>
      </c>
      <c r="L975" s="314"/>
    </row>
    <row r="976" customFormat="false" ht="15" hidden="false" customHeight="true" outlineLevel="0" collapsed="false">
      <c r="L976" s="314"/>
    </row>
    <row r="977" customFormat="false" ht="15" hidden="false" customHeight="true" outlineLevel="0" collapsed="false">
      <c r="F977" s="1369"/>
      <c r="K977" s="934"/>
      <c r="L977" s="906"/>
    </row>
    <row r="978" customFormat="false" ht="15.75" hidden="false" customHeight="true" outlineLevel="0" collapsed="false">
      <c r="A978" s="896" t="s">
        <v>1662</v>
      </c>
      <c r="B978" s="896"/>
      <c r="C978" s="896"/>
      <c r="D978" s="896"/>
      <c r="E978" s="896"/>
      <c r="F978" s="896"/>
      <c r="G978" s="896"/>
      <c r="H978" s="897"/>
      <c r="I978" s="897"/>
      <c r="J978" s="897"/>
      <c r="K978" s="898"/>
      <c r="L978" s="899" t="s">
        <v>1663</v>
      </c>
    </row>
    <row r="979" customFormat="false" ht="20" hidden="false" customHeight="true" outlineLevel="0" collapsed="false">
      <c r="A979" s="1048"/>
      <c r="B979" s="1048"/>
      <c r="C979" s="1048"/>
      <c r="D979" s="1048"/>
      <c r="E979" s="1048"/>
      <c r="F979" s="1048"/>
      <c r="G979" s="1048"/>
      <c r="K979" s="458"/>
      <c r="L979" s="459"/>
    </row>
    <row r="980" customFormat="false" ht="15.75" hidden="false" customHeight="true" outlineLevel="0" collapsed="false">
      <c r="A980" s="14" t="s">
        <v>737</v>
      </c>
      <c r="B980" s="14"/>
      <c r="D980" s="933" t="s">
        <v>242</v>
      </c>
      <c r="F980" s="423"/>
      <c r="G980" s="423"/>
      <c r="H980" s="423"/>
      <c r="I980" s="423"/>
      <c r="J980" s="1327"/>
      <c r="K980" s="934"/>
      <c r="L980" s="906" t="s">
        <v>1324</v>
      </c>
    </row>
    <row r="981" s="11" customFormat="true" ht="15" hidden="false" customHeight="true" outlineLevel="0" collapsed="false">
      <c r="A981" s="1384" t="s">
        <v>738</v>
      </c>
      <c r="B981" s="1384"/>
      <c r="C981" s="1384"/>
      <c r="D981" s="1384"/>
      <c r="E981" s="1384"/>
      <c r="F981" s="1384"/>
      <c r="G981" s="1384"/>
      <c r="K981" s="458"/>
      <c r="L981" s="459"/>
    </row>
    <row r="982" s="11" customFormat="true" ht="15" hidden="false" customHeight="true" outlineLevel="0" collapsed="false">
      <c r="A982" s="11" t="s">
        <v>739</v>
      </c>
      <c r="B982" s="1357" t="s">
        <v>1664</v>
      </c>
      <c r="C982" s="1357"/>
      <c r="D982" s="1357"/>
      <c r="E982" s="1357"/>
      <c r="F982" s="1357"/>
      <c r="K982" s="458"/>
      <c r="L982" s="459"/>
    </row>
    <row r="983" s="11" customFormat="true" ht="15.75" hidden="false" customHeight="true" outlineLevel="0" collapsed="false">
      <c r="D983" s="1317"/>
      <c r="K983" s="458"/>
      <c r="L983" s="459"/>
    </row>
    <row r="984" s="11" customFormat="true" ht="15.75" hidden="false" customHeight="true" outlineLevel="0" collapsed="false">
      <c r="A984" s="14" t="s">
        <v>656</v>
      </c>
      <c r="D984" s="988" t="s">
        <v>242</v>
      </c>
      <c r="K984" s="458"/>
      <c r="L984" s="459" t="s">
        <v>1607</v>
      </c>
    </row>
    <row r="985" s="11" customFormat="true" ht="15" hidden="false" customHeight="true" outlineLevel="0" collapsed="false">
      <c r="A985" s="449"/>
      <c r="K985" s="458"/>
      <c r="L985" s="459"/>
    </row>
    <row r="986" s="11" customFormat="true" ht="15" hidden="false" customHeight="true" outlineLevel="0" collapsed="false">
      <c r="K986" s="458"/>
      <c r="L986" s="1385"/>
    </row>
    <row r="987" customFormat="false" ht="15" hidden="false" customHeight="true" outlineLevel="0" collapsed="false">
      <c r="A987" s="896" t="s">
        <v>1665</v>
      </c>
      <c r="B987" s="896"/>
      <c r="C987" s="896"/>
      <c r="D987" s="896"/>
      <c r="E987" s="896"/>
      <c r="F987" s="896"/>
      <c r="G987" s="896"/>
      <c r="H987" s="897"/>
      <c r="I987" s="897"/>
      <c r="J987" s="897"/>
      <c r="K987" s="898"/>
      <c r="L987" s="899" t="s">
        <v>1666</v>
      </c>
    </row>
    <row r="988" s="11" customFormat="true" ht="15" hidden="false" customHeight="true" outlineLevel="0" collapsed="false"/>
    <row r="989" customFormat="false" ht="15.75" hidden="false" customHeight="true" outlineLevel="0" collapsed="false">
      <c r="A989" s="1329" t="s">
        <v>1667</v>
      </c>
      <c r="B989" s="1329"/>
      <c r="C989" s="1238" t="n">
        <f aca="false">$B$13/$F$27</f>
        <v>171.12</v>
      </c>
    </row>
    <row r="990" customFormat="false" ht="20" hidden="false" customHeight="true" outlineLevel="0" collapsed="false">
      <c r="E990" s="423"/>
      <c r="G990" s="423"/>
      <c r="H990" s="423"/>
      <c r="I990" s="423"/>
      <c r="J990" s="1327"/>
      <c r="K990" s="458"/>
      <c r="L990" s="459"/>
    </row>
    <row r="991" customFormat="false" ht="20" hidden="false" customHeight="true" outlineLevel="0" collapsed="false">
      <c r="A991" s="14" t="s">
        <v>753</v>
      </c>
      <c r="E991" s="988" t="s">
        <v>243</v>
      </c>
      <c r="G991" s="423"/>
      <c r="H991" s="423"/>
      <c r="I991" s="423"/>
      <c r="J991" s="1327"/>
      <c r="K991" s="458"/>
      <c r="L991" s="459"/>
    </row>
    <row r="992" customFormat="false" ht="29.25" hidden="false" customHeight="true" outlineLevel="0" collapsed="false">
      <c r="A992" s="1386" t="s">
        <v>754</v>
      </c>
      <c r="B992" s="1386"/>
      <c r="C992" s="1386"/>
      <c r="D992" s="1386"/>
      <c r="E992" s="933" t="s">
        <v>243</v>
      </c>
      <c r="G992" s="423"/>
      <c r="K992" s="458"/>
      <c r="L992" s="459"/>
    </row>
    <row r="993" s="1388" customFormat="true" ht="15" hidden="false" customHeight="true" outlineLevel="0" collapsed="false">
      <c r="A993" s="1387" t="s">
        <v>755</v>
      </c>
      <c r="B993" s="1387"/>
      <c r="C993" s="1387"/>
      <c r="D993" s="1387"/>
      <c r="G993" s="1389"/>
      <c r="K993" s="1390"/>
      <c r="L993" s="1187"/>
    </row>
    <row r="994" customFormat="false" ht="15.75" hidden="false" customHeight="true" outlineLevel="0" collapsed="false">
      <c r="F994" s="423"/>
      <c r="G994" s="423"/>
      <c r="H994" s="423"/>
      <c r="I994" s="423"/>
      <c r="J994" s="1327"/>
      <c r="K994" s="934"/>
      <c r="L994" s="906"/>
    </row>
    <row r="995" customFormat="false" ht="15.75" hidden="false" customHeight="true" outlineLevel="0" collapsed="false">
      <c r="A995" s="14" t="s">
        <v>1668</v>
      </c>
      <c r="E995" s="988" t="s">
        <v>243</v>
      </c>
      <c r="F995" s="423"/>
      <c r="G995" s="423"/>
      <c r="H995" s="423"/>
      <c r="I995" s="423"/>
      <c r="J995" s="1327"/>
      <c r="K995" s="934"/>
      <c r="L995" s="906"/>
    </row>
    <row r="996" customFormat="false" ht="15" hidden="false" customHeight="true" outlineLevel="0" collapsed="false">
      <c r="A996" s="449" t="s">
        <v>1669</v>
      </c>
      <c r="E996" s="423"/>
      <c r="F996" s="423"/>
      <c r="G996" s="423"/>
      <c r="H996" s="423"/>
      <c r="I996" s="423"/>
      <c r="J996" s="1327"/>
      <c r="K996" s="934"/>
      <c r="L996" s="906"/>
    </row>
    <row r="997" customFormat="false" ht="15.75" hidden="false" customHeight="true" outlineLevel="0" collapsed="false">
      <c r="A997" s="449"/>
      <c r="E997" s="423"/>
      <c r="F997" s="423"/>
      <c r="G997" s="423"/>
      <c r="H997" s="423"/>
      <c r="I997" s="423"/>
      <c r="J997" s="1327"/>
      <c r="K997" s="934"/>
      <c r="L997" s="906"/>
    </row>
    <row r="998" customFormat="false" ht="15.75" hidden="false" customHeight="true" outlineLevel="0" collapsed="false">
      <c r="A998" s="14" t="s">
        <v>757</v>
      </c>
      <c r="E998" s="1179" t="n">
        <f aca="false">SUM(F999:F1001)</f>
        <v>0</v>
      </c>
      <c r="K998" s="934"/>
      <c r="L998" s="906"/>
    </row>
    <row r="999" customFormat="false" ht="15.75" hidden="false" customHeight="true" outlineLevel="0" collapsed="false">
      <c r="A999" s="11" t="s">
        <v>758</v>
      </c>
      <c r="E999" s="1332"/>
      <c r="F999" s="1363" t="n">
        <f aca="false">IF(E999="non",1,0)</f>
        <v>0</v>
      </c>
      <c r="K999" s="934"/>
      <c r="L999" s="906"/>
    </row>
    <row r="1000" customFormat="false" ht="15.75" hidden="false" customHeight="true" outlineLevel="0" collapsed="false">
      <c r="A1000" s="11" t="s">
        <v>1670</v>
      </c>
      <c r="E1000" s="1332"/>
      <c r="F1000" s="1363" t="n">
        <f aca="false">IF(E1000="variées",1,0)</f>
        <v>0</v>
      </c>
      <c r="K1000" s="934"/>
      <c r="L1000" s="906"/>
    </row>
    <row r="1001" customFormat="false" ht="15.75" hidden="false" customHeight="true" outlineLevel="0" collapsed="false">
      <c r="A1001" s="11" t="s">
        <v>759</v>
      </c>
      <c r="B1001" s="19"/>
      <c r="E1001" s="1332"/>
      <c r="F1001" s="1363" t="n">
        <f aca="false">IF(E1001="oui",1,0)</f>
        <v>0</v>
      </c>
      <c r="K1001" s="934"/>
      <c r="L1001" s="906"/>
    </row>
    <row r="1002" customFormat="false" ht="15" hidden="false" customHeight="true" outlineLevel="0" collapsed="false">
      <c r="K1002" s="934"/>
      <c r="L1002" s="906"/>
    </row>
    <row r="1003" customFormat="false" ht="15" hidden="false" customHeight="true" outlineLevel="0" collapsed="false">
      <c r="K1003" s="934"/>
      <c r="L1003" s="906"/>
    </row>
    <row r="1004" customFormat="false" ht="16.5" hidden="false" customHeight="true" outlineLevel="0" collapsed="false">
      <c r="A1004" s="896" t="s">
        <v>1671</v>
      </c>
      <c r="B1004" s="896"/>
      <c r="C1004" s="896"/>
      <c r="D1004" s="896"/>
      <c r="E1004" s="896"/>
      <c r="F1004" s="896"/>
      <c r="G1004" s="896"/>
      <c r="H1004" s="897"/>
      <c r="I1004" s="897"/>
      <c r="J1004" s="897"/>
      <c r="K1004" s="898"/>
      <c r="L1004" s="899" t="s">
        <v>1672</v>
      </c>
    </row>
    <row r="1005" customFormat="false" ht="15.75" hidden="false" customHeight="true" outlineLevel="0" collapsed="false">
      <c r="A1005" s="1048"/>
      <c r="B1005" s="1048"/>
      <c r="C1005" s="1048"/>
      <c r="D1005" s="1048"/>
      <c r="E1005" s="1048"/>
      <c r="F1005" s="1048"/>
      <c r="G1005" s="1048"/>
      <c r="J1005" s="635"/>
      <c r="K1005" s="934"/>
      <c r="L1005" s="906"/>
    </row>
    <row r="1006" customFormat="false" ht="15.75" hidden="false" customHeight="true" outlineLevel="0" collapsed="false">
      <c r="A1006" s="14" t="s">
        <v>1673</v>
      </c>
      <c r="D1006" s="1179" t="n">
        <f aca="false">MIN(3,SUM(E1007:E1010))</f>
        <v>2</v>
      </c>
      <c r="F1006" s="978"/>
      <c r="G1006" s="14"/>
      <c r="K1006" s="934"/>
      <c r="L1006" s="906" t="s">
        <v>1666</v>
      </c>
    </row>
    <row r="1007" customFormat="false" ht="15.75" hidden="false" customHeight="true" outlineLevel="0" collapsed="false">
      <c r="A1007" s="16" t="s">
        <v>750</v>
      </c>
      <c r="D1007" s="1332" t="s">
        <v>243</v>
      </c>
      <c r="E1007" s="1363" t="n">
        <f aca="false">IF(D1007="oui",1,0)</f>
        <v>0</v>
      </c>
      <c r="F1007" s="978"/>
      <c r="G1007" s="14"/>
      <c r="K1007" s="934"/>
      <c r="L1007" s="906"/>
    </row>
    <row r="1008" customFormat="false" ht="15.75" hidden="false" customHeight="true" outlineLevel="0" collapsed="false">
      <c r="A1008" s="11" t="s">
        <v>749</v>
      </c>
      <c r="D1008" s="1332" t="s">
        <v>242</v>
      </c>
      <c r="E1008" s="1363" t="n">
        <f aca="false">IF(D1008="oui",1,0)</f>
        <v>1</v>
      </c>
      <c r="F1008" s="978"/>
      <c r="G1008" s="14"/>
      <c r="K1008" s="934"/>
      <c r="L1008" s="906"/>
    </row>
    <row r="1009" customFormat="false" ht="15.75" hidden="false" customHeight="true" outlineLevel="0" collapsed="false">
      <c r="A1009" s="11" t="s">
        <v>751</v>
      </c>
      <c r="D1009" s="1332" t="s">
        <v>243</v>
      </c>
      <c r="E1009" s="1363" t="n">
        <f aca="false">IF(D1009="oui",1,0)</f>
        <v>0</v>
      </c>
      <c r="F1009" s="978"/>
      <c r="G1009" s="14"/>
      <c r="J1009" s="635"/>
      <c r="K1009" s="934"/>
      <c r="L1009" s="906"/>
    </row>
    <row r="1010" customFormat="false" ht="15.75" hidden="false" customHeight="true" outlineLevel="0" collapsed="false">
      <c r="A1010" s="11" t="s">
        <v>752</v>
      </c>
      <c r="D1010" s="1332" t="s">
        <v>242</v>
      </c>
      <c r="E1010" s="1363" t="n">
        <f aca="false">IF(D1010="oui",1,0)</f>
        <v>1</v>
      </c>
      <c r="F1010" s="978"/>
      <c r="G1010" s="14"/>
      <c r="J1010" s="635"/>
      <c r="K1010" s="934"/>
      <c r="L1010" s="906"/>
    </row>
    <row r="1011" customFormat="false" ht="15.75" hidden="false" customHeight="true" outlineLevel="0" collapsed="false">
      <c r="F1011" s="978"/>
      <c r="G1011" s="14"/>
      <c r="J1011" s="635"/>
      <c r="K1011" s="934"/>
      <c r="L1011" s="906"/>
    </row>
    <row r="1012" customFormat="false" ht="15.75" hidden="false" customHeight="true" outlineLevel="0" collapsed="false">
      <c r="A1012" s="14" t="s">
        <v>1674</v>
      </c>
      <c r="D1012" s="933" t="s">
        <v>242</v>
      </c>
      <c r="E1012" s="15" t="s">
        <v>1675</v>
      </c>
      <c r="F1012" s="1357" t="s">
        <v>1676</v>
      </c>
      <c r="G1012" s="1357"/>
      <c r="H1012" s="1357"/>
      <c r="I1012" s="1357"/>
      <c r="J1012" s="1357"/>
      <c r="K1012" s="934"/>
      <c r="L1012" s="906" t="s">
        <v>1324</v>
      </c>
    </row>
    <row r="1013" customFormat="false" ht="15" hidden="false" customHeight="true" outlineLevel="0" collapsed="false">
      <c r="A1013" s="1384" t="s">
        <v>660</v>
      </c>
      <c r="B1013" s="1384"/>
      <c r="C1013" s="1384"/>
      <c r="D1013" s="1384"/>
      <c r="E1013" s="1384"/>
      <c r="G1013" s="14"/>
      <c r="J1013" s="635"/>
      <c r="K1013" s="934"/>
      <c r="L1013" s="906"/>
    </row>
    <row r="1014" customFormat="false" ht="15" hidden="false" customHeight="true" outlineLevel="0" collapsed="false">
      <c r="G1014" s="14"/>
      <c r="J1014" s="635"/>
      <c r="K1014" s="934"/>
      <c r="L1014" s="906"/>
    </row>
    <row r="1015" customFormat="false" ht="15" hidden="false" customHeight="true" outlineLevel="0" collapsed="false">
      <c r="H1015" s="70"/>
      <c r="I1015" s="70"/>
      <c r="J1015" s="1100"/>
      <c r="K1015" s="458"/>
      <c r="L1015" s="459"/>
    </row>
    <row r="1016" customFormat="false" ht="15" hidden="false" customHeight="true" outlineLevel="0" collapsed="false">
      <c r="A1016" s="896" t="s">
        <v>1677</v>
      </c>
      <c r="B1016" s="896"/>
      <c r="C1016" s="896"/>
      <c r="D1016" s="896"/>
      <c r="E1016" s="896"/>
      <c r="F1016" s="896"/>
      <c r="G1016" s="896"/>
      <c r="H1016" s="897"/>
      <c r="I1016" s="897"/>
      <c r="J1016" s="897"/>
      <c r="K1016" s="898"/>
      <c r="L1016" s="899" t="s">
        <v>1666</v>
      </c>
    </row>
    <row r="1017" s="11" customFormat="true" ht="15.75" hidden="false" customHeight="true" outlineLevel="0" collapsed="false"/>
    <row r="1018" customFormat="false" ht="15.75" hidden="false" customHeight="true" outlineLevel="0" collapsed="false">
      <c r="A1018" s="14" t="s">
        <v>765</v>
      </c>
      <c r="E1018" s="937" t="n">
        <v>2</v>
      </c>
      <c r="F1018" s="449" t="s">
        <v>1678</v>
      </c>
      <c r="G1018" s="14"/>
      <c r="J1018" s="1100"/>
      <c r="K1018" s="458"/>
      <c r="L1018" s="459"/>
      <c r="Q1018" s="70"/>
      <c r="R1018" s="70"/>
    </row>
    <row r="1019" s="11" customFormat="true" ht="15.75" hidden="false" customHeight="true" outlineLevel="0" collapsed="false">
      <c r="A1019" s="456" t="s">
        <v>1679</v>
      </c>
      <c r="B1019" s="456"/>
      <c r="C1019" s="456"/>
      <c r="D1019" s="456"/>
      <c r="E1019" s="1002" t="n">
        <v>52</v>
      </c>
      <c r="K1019" s="458"/>
      <c r="L1019" s="459"/>
      <c r="Q1019" s="70"/>
      <c r="R1019" s="70"/>
    </row>
    <row r="1020" s="11" customFormat="true" ht="15.75" hidden="false" customHeight="true" outlineLevel="0" collapsed="false">
      <c r="K1020" s="70"/>
      <c r="L1020" s="70"/>
      <c r="Q1020" s="70"/>
      <c r="R1020" s="70"/>
    </row>
    <row r="1021" customFormat="false" ht="15.75" hidden="false" customHeight="true" outlineLevel="0" collapsed="false">
      <c r="A1021" s="1361" t="s">
        <v>1680</v>
      </c>
      <c r="B1021" s="1361"/>
      <c r="C1021" s="937" t="s">
        <v>242</v>
      </c>
      <c r="D1021" s="463" t="s">
        <v>1681</v>
      </c>
      <c r="E1021" s="937" t="s">
        <v>243</v>
      </c>
      <c r="K1021" s="458"/>
      <c r="L1021" s="459"/>
      <c r="Q1021" s="70"/>
      <c r="R1021" s="70"/>
    </row>
    <row r="1022" customFormat="false" ht="15.75" hidden="false" customHeight="true" outlineLevel="0" collapsed="false">
      <c r="A1022" s="14"/>
      <c r="B1022" s="14"/>
      <c r="C1022" s="14"/>
      <c r="D1022" s="14"/>
      <c r="E1022" s="14"/>
      <c r="F1022" s="463"/>
      <c r="G1022" s="463"/>
      <c r="K1022" s="458"/>
      <c r="L1022" s="459"/>
      <c r="Q1022" s="70"/>
      <c r="R1022" s="70"/>
    </row>
    <row r="1023" customFormat="false" ht="15.75" hidden="false" customHeight="true" outlineLevel="0" collapsed="false">
      <c r="A1023" s="1361" t="s">
        <v>1682</v>
      </c>
      <c r="B1023" s="1361"/>
      <c r="C1023" s="1361"/>
      <c r="D1023" s="1361"/>
      <c r="E1023" s="1002" t="n">
        <v>-3</v>
      </c>
      <c r="F1023" s="449" t="s">
        <v>1683</v>
      </c>
      <c r="K1023" s="458"/>
      <c r="L1023" s="459"/>
      <c r="Q1023" s="70"/>
      <c r="R1023" s="70"/>
    </row>
    <row r="1024" customFormat="false" ht="15" hidden="false" customHeight="true" outlineLevel="0" collapsed="false">
      <c r="I1024" s="463"/>
      <c r="J1024" s="1391"/>
      <c r="K1024" s="458"/>
      <c r="L1024" s="459"/>
      <c r="Q1024" s="70"/>
      <c r="R1024" s="70"/>
    </row>
    <row r="1025" customFormat="false" ht="15" hidden="false" customHeight="true" outlineLevel="0" collapsed="false">
      <c r="I1025" s="463"/>
      <c r="J1025" s="1391"/>
      <c r="K1025" s="458"/>
      <c r="L1025" s="459"/>
      <c r="Q1025" s="70"/>
      <c r="R1025" s="70"/>
    </row>
    <row r="1026" customFormat="false" ht="15.75" hidden="false" customHeight="true" outlineLevel="0" collapsed="false">
      <c r="A1026" s="896" t="s">
        <v>1684</v>
      </c>
      <c r="B1026" s="896"/>
      <c r="C1026" s="896"/>
      <c r="D1026" s="896"/>
      <c r="E1026" s="896"/>
      <c r="F1026" s="896"/>
      <c r="G1026" s="896"/>
      <c r="H1026" s="897"/>
      <c r="I1026" s="897"/>
      <c r="J1026" s="897"/>
      <c r="K1026" s="898"/>
      <c r="L1026" s="899" t="s">
        <v>1685</v>
      </c>
      <c r="N1026" s="1392"/>
      <c r="O1026" s="1392"/>
      <c r="P1026" s="1392"/>
      <c r="Q1026" s="1392"/>
      <c r="R1026" s="1392"/>
      <c r="S1026" s="1392"/>
    </row>
    <row r="1027" customFormat="false" ht="15.75" hidden="false" customHeight="true" outlineLevel="0" collapsed="false">
      <c r="A1027" s="1048"/>
      <c r="B1027" s="1048"/>
      <c r="C1027" s="1048"/>
      <c r="D1027" s="1048"/>
      <c r="E1027" s="1048"/>
      <c r="F1027" s="1048"/>
      <c r="G1027" s="1048"/>
      <c r="K1027" s="1393"/>
      <c r="L1027" s="459"/>
      <c r="N1027" s="1392"/>
      <c r="O1027" s="1392"/>
      <c r="P1027" s="1392"/>
      <c r="Q1027" s="1392"/>
      <c r="R1027" s="1392"/>
      <c r="S1027" s="1392"/>
    </row>
    <row r="1028" s="314" customFormat="true" ht="15.75" hidden="false" customHeight="true" outlineLevel="0" collapsed="false">
      <c r="A1028" s="1079" t="s">
        <v>1686</v>
      </c>
      <c r="B1028" s="1079"/>
      <c r="C1028" s="1079"/>
      <c r="D1028" s="1079"/>
      <c r="E1028" s="937" t="n">
        <v>2</v>
      </c>
      <c r="F1028" s="449" t="s">
        <v>1687</v>
      </c>
      <c r="K1028" s="1393"/>
      <c r="L1028" s="459"/>
    </row>
    <row r="1029" s="1392" customFormat="true" ht="15.75" hidden="false" customHeight="true" outlineLevel="0" collapsed="false">
      <c r="A1029" s="14"/>
      <c r="B1029" s="11"/>
      <c r="C1029" s="11"/>
      <c r="D1029" s="11"/>
      <c r="E1029" s="11"/>
      <c r="F1029" s="11"/>
      <c r="L1029" s="1393"/>
      <c r="N1029" s="314"/>
      <c r="O1029" s="314"/>
      <c r="P1029" s="314"/>
      <c r="Q1029" s="314"/>
      <c r="R1029" s="314"/>
      <c r="S1029" s="314"/>
    </row>
    <row r="1030" customFormat="false" ht="15.75" hidden="false" customHeight="true" outlineLevel="0" collapsed="false">
      <c r="A1030" s="1171" t="s">
        <v>773</v>
      </c>
      <c r="B1030" s="1171"/>
      <c r="C1030" s="1171"/>
      <c r="D1030" s="1171"/>
      <c r="E1030" s="1002" t="s">
        <v>243</v>
      </c>
      <c r="L1030" s="1393"/>
      <c r="N1030" s="314"/>
      <c r="O1030" s="314"/>
      <c r="P1030" s="314"/>
      <c r="Q1030" s="314"/>
      <c r="R1030" s="314"/>
      <c r="S1030" s="314"/>
    </row>
    <row r="1031" customFormat="false" ht="15.75" hidden="false" customHeight="true" outlineLevel="0" collapsed="false">
      <c r="A1031" s="1384" t="s">
        <v>774</v>
      </c>
      <c r="B1031" s="1384"/>
      <c r="C1031" s="1384"/>
      <c r="D1031" s="1384"/>
      <c r="E1031" s="1384"/>
      <c r="G1031" s="14"/>
      <c r="L1031" s="1393"/>
      <c r="N1031" s="314"/>
      <c r="O1031" s="314"/>
      <c r="P1031" s="314"/>
      <c r="Q1031" s="314"/>
      <c r="R1031" s="314"/>
      <c r="S1031" s="314"/>
    </row>
    <row r="1032" customFormat="false" ht="15.75" hidden="false" customHeight="true" outlineLevel="0" collapsed="false">
      <c r="A1032" s="14"/>
      <c r="H1032" s="14"/>
      <c r="I1032" s="435"/>
      <c r="J1032" s="435"/>
      <c r="L1032" s="1393"/>
      <c r="N1032" s="314"/>
      <c r="O1032" s="314"/>
      <c r="P1032" s="314"/>
      <c r="Q1032" s="314"/>
      <c r="R1032" s="314"/>
      <c r="S1032" s="314"/>
    </row>
    <row r="1033" customFormat="false" ht="15.75" hidden="false" customHeight="true" outlineLevel="0" collapsed="false">
      <c r="A1033" s="966" t="s">
        <v>775</v>
      </c>
      <c r="B1033" s="966"/>
      <c r="C1033" s="966"/>
      <c r="D1033" s="966"/>
      <c r="E1033" s="937" t="s">
        <v>242</v>
      </c>
      <c r="K1033" s="1393"/>
      <c r="L1033" s="459"/>
      <c r="N1033" s="314"/>
      <c r="O1033" s="314"/>
      <c r="P1033" s="314"/>
      <c r="Q1033" s="314"/>
      <c r="R1033" s="314"/>
      <c r="S1033" s="314"/>
    </row>
    <row r="1034" customFormat="false" ht="15.75" hidden="false" customHeight="true" outlineLevel="0" collapsed="false">
      <c r="A1034" s="966" t="s">
        <v>1688</v>
      </c>
      <c r="B1034" s="966"/>
      <c r="C1034" s="966"/>
      <c r="D1034" s="966"/>
      <c r="E1034" s="937" t="s">
        <v>242</v>
      </c>
      <c r="I1034" s="463"/>
      <c r="J1034" s="463"/>
      <c r="K1034" s="1393"/>
      <c r="L1034" s="459"/>
      <c r="N1034" s="314"/>
      <c r="O1034" s="314"/>
      <c r="P1034" s="314"/>
      <c r="Q1034" s="314"/>
      <c r="R1034" s="314"/>
      <c r="S1034" s="314"/>
    </row>
    <row r="1035" customFormat="false" ht="15.75" hidden="false" customHeight="true" outlineLevel="0" collapsed="false">
      <c r="A1035" s="1394" t="s">
        <v>777</v>
      </c>
      <c r="B1035" s="436"/>
      <c r="C1035" s="436"/>
      <c r="D1035" s="436"/>
      <c r="I1035" s="463"/>
      <c r="J1035" s="463"/>
      <c r="K1035" s="1393"/>
      <c r="L1035" s="459"/>
      <c r="N1035" s="314"/>
      <c r="O1035" s="314"/>
      <c r="P1035" s="314"/>
      <c r="Q1035" s="314"/>
      <c r="R1035" s="314"/>
      <c r="S1035" s="314"/>
    </row>
    <row r="1036" customFormat="false" ht="15.75" hidden="false" customHeight="true" outlineLevel="0" collapsed="false">
      <c r="A1036" s="966" t="s">
        <v>778</v>
      </c>
      <c r="B1036" s="966"/>
      <c r="C1036" s="966"/>
      <c r="D1036" s="966"/>
      <c r="E1036" s="937" t="s">
        <v>243</v>
      </c>
      <c r="H1036" s="382"/>
      <c r="I1036" s="463"/>
      <c r="J1036" s="463"/>
      <c r="K1036" s="1393"/>
      <c r="L1036" s="459"/>
      <c r="Q1036" s="70"/>
      <c r="R1036" s="70"/>
    </row>
    <row r="1037" customFormat="false" ht="15.75" hidden="false" customHeight="true" outlineLevel="0" collapsed="false">
      <c r="A1037" s="14"/>
      <c r="I1037" s="463"/>
      <c r="J1037" s="1395"/>
      <c r="K1037" s="70"/>
      <c r="L1037" s="459"/>
      <c r="Q1037" s="70"/>
      <c r="R1037" s="70"/>
    </row>
    <row r="1038" s="314" customFormat="true" ht="15.75" hidden="false" customHeight="true" outlineLevel="0" collapsed="false">
      <c r="A1038" s="14"/>
      <c r="B1038" s="11"/>
      <c r="C1038" s="11"/>
      <c r="D1038" s="11"/>
      <c r="E1038" s="11"/>
      <c r="F1038" s="11"/>
      <c r="G1038" s="11"/>
      <c r="H1038" s="11"/>
      <c r="I1038" s="11"/>
      <c r="J1038" s="12"/>
      <c r="K1038" s="1395"/>
      <c r="L1038" s="906"/>
      <c r="N1038" s="11"/>
      <c r="O1038" s="11"/>
      <c r="P1038" s="11"/>
      <c r="Q1038" s="70"/>
      <c r="R1038" s="70"/>
      <c r="S1038" s="11"/>
    </row>
    <row r="1039" customFormat="false" ht="15.75" hidden="false" customHeight="true" outlineLevel="0" collapsed="false">
      <c r="A1039" s="896" t="s">
        <v>1689</v>
      </c>
      <c r="B1039" s="896"/>
      <c r="C1039" s="896"/>
      <c r="D1039" s="896"/>
      <c r="E1039" s="896"/>
      <c r="F1039" s="896"/>
      <c r="G1039" s="896"/>
      <c r="H1039" s="897"/>
      <c r="I1039" s="897"/>
      <c r="J1039" s="897"/>
      <c r="K1039" s="898"/>
      <c r="L1039" s="899" t="s">
        <v>1690</v>
      </c>
      <c r="Q1039" s="70"/>
      <c r="R1039" s="70"/>
    </row>
    <row r="1040" customFormat="false" ht="15.75" hidden="false" customHeight="true" outlineLevel="0" collapsed="false">
      <c r="A1040" s="1048"/>
      <c r="B1040" s="1048"/>
      <c r="C1040" s="1048"/>
      <c r="D1040" s="1048"/>
      <c r="E1040" s="1048"/>
      <c r="F1040" s="1048"/>
      <c r="G1040" s="1048"/>
      <c r="K1040" s="1393"/>
      <c r="L1040" s="459"/>
      <c r="Q1040" s="70"/>
      <c r="R1040" s="70"/>
    </row>
    <row r="1041" customFormat="false" ht="30" hidden="false" customHeight="true" outlineLevel="0" collapsed="false">
      <c r="A1041" s="1349" t="s">
        <v>741</v>
      </c>
      <c r="B1041" s="1349"/>
      <c r="C1041" s="1349"/>
      <c r="D1041" s="937" t="n">
        <v>2</v>
      </c>
      <c r="K1041" s="1393"/>
      <c r="L1041" s="459"/>
      <c r="Q1041" s="70"/>
      <c r="R1041" s="70"/>
    </row>
    <row r="1042" customFormat="false" ht="15.75" hidden="false" customHeight="true" outlineLevel="0" collapsed="false">
      <c r="K1042" s="1393"/>
      <c r="L1042" s="459"/>
      <c r="Q1042" s="70"/>
      <c r="R1042" s="70"/>
    </row>
    <row r="1043" customFormat="false" ht="31.5" hidden="false" customHeight="true" outlineLevel="0" collapsed="false">
      <c r="A1043" s="1349" t="s">
        <v>744</v>
      </c>
      <c r="B1043" s="1349"/>
      <c r="C1043" s="1349"/>
      <c r="D1043" s="1002" t="s">
        <v>242</v>
      </c>
      <c r="K1043" s="1393"/>
      <c r="L1043" s="459"/>
      <c r="Q1043" s="70"/>
      <c r="R1043" s="70"/>
    </row>
    <row r="1044" customFormat="false" ht="15.75" hidden="false" customHeight="true" outlineLevel="0" collapsed="false">
      <c r="A1044" s="449"/>
      <c r="K1044" s="1393"/>
      <c r="L1044" s="459"/>
      <c r="Q1044" s="70"/>
      <c r="R1044" s="70"/>
    </row>
    <row r="1045" customFormat="false" ht="33" hidden="false" customHeight="true" outlineLevel="0" collapsed="false">
      <c r="A1045" s="1349" t="s">
        <v>742</v>
      </c>
      <c r="B1045" s="1349"/>
      <c r="C1045" s="1349"/>
      <c r="D1045" s="937" t="n">
        <v>1</v>
      </c>
      <c r="H1045" s="14"/>
      <c r="K1045" s="1393"/>
      <c r="L1045" s="459"/>
      <c r="Q1045" s="70"/>
      <c r="R1045" s="70"/>
    </row>
    <row r="1046" customFormat="false" ht="15" hidden="false" customHeight="true" outlineLevel="0" collapsed="false">
      <c r="Q1046" s="70"/>
      <c r="R1046" s="70"/>
    </row>
    <row r="1047" s="11" customFormat="true" ht="15" hidden="false" customHeight="true" outlineLevel="0" collapsed="false">
      <c r="K1047" s="934"/>
      <c r="L1047" s="906"/>
    </row>
    <row r="1048" customFormat="false" ht="16.5" hidden="false" customHeight="true" outlineLevel="0" collapsed="false">
      <c r="A1048" s="896" t="s">
        <v>1691</v>
      </c>
      <c r="B1048" s="896"/>
      <c r="C1048" s="896"/>
      <c r="D1048" s="896"/>
      <c r="E1048" s="896"/>
      <c r="F1048" s="896"/>
      <c r="G1048" s="896"/>
      <c r="H1048" s="897"/>
      <c r="I1048" s="897"/>
      <c r="J1048" s="897"/>
      <c r="K1048" s="898"/>
      <c r="L1048" s="899" t="s">
        <v>1692</v>
      </c>
    </row>
    <row r="1049" customFormat="false" ht="16.5" hidden="false" customHeight="true" outlineLevel="0" collapsed="false">
      <c r="A1049" s="1048"/>
      <c r="B1049" s="1048"/>
      <c r="C1049" s="1048"/>
      <c r="D1049" s="1048"/>
      <c r="E1049" s="1048"/>
      <c r="F1049" s="1048"/>
      <c r="G1049" s="1048"/>
      <c r="H1049" s="70"/>
      <c r="I1049" s="70"/>
      <c r="J1049" s="1100"/>
      <c r="K1049" s="458"/>
      <c r="L1049" s="459"/>
    </row>
    <row r="1050" customFormat="false" ht="15.75" hidden="false" customHeight="true" outlineLevel="0" collapsed="false">
      <c r="A1050" s="14" t="s">
        <v>1693</v>
      </c>
      <c r="D1050" s="70"/>
      <c r="G1050" s="988" t="s">
        <v>1694</v>
      </c>
      <c r="H1050" s="15" t="s">
        <v>792</v>
      </c>
      <c r="I1050" s="1396" t="s">
        <v>1695</v>
      </c>
      <c r="J1050" s="1333"/>
      <c r="K1050" s="1333"/>
      <c r="L1050" s="459" t="s">
        <v>1696</v>
      </c>
    </row>
    <row r="1051" s="70" customFormat="true" ht="15.75" hidden="false" customHeight="true" outlineLevel="0" collapsed="false">
      <c r="L1051" s="459"/>
      <c r="M1051" s="11"/>
      <c r="N1051" s="11"/>
      <c r="O1051" s="11"/>
      <c r="P1051" s="11"/>
      <c r="Q1051" s="11"/>
      <c r="R1051" s="11"/>
      <c r="S1051" s="11"/>
    </row>
    <row r="1052" s="70" customFormat="true" ht="15.75" hidden="false" customHeight="true" outlineLevel="0" collapsed="false">
      <c r="A1052" s="961"/>
      <c r="G1052" s="954"/>
      <c r="J1052" s="635"/>
      <c r="L1052" s="459"/>
    </row>
    <row r="1053" s="70" customFormat="true" ht="15.75" hidden="false" customHeight="true" outlineLevel="0" collapsed="false">
      <c r="A1053" s="14" t="s">
        <v>1697</v>
      </c>
      <c r="B1053" s="11"/>
      <c r="C1053" s="11"/>
      <c r="E1053" s="11"/>
      <c r="G1053" s="988" t="s">
        <v>1698</v>
      </c>
      <c r="H1053" s="15" t="s">
        <v>792</v>
      </c>
      <c r="I1053" s="1357" t="s">
        <v>1699</v>
      </c>
      <c r="J1053" s="1333"/>
      <c r="K1053" s="1333"/>
      <c r="L1053" s="459"/>
      <c r="M1053" s="11"/>
      <c r="N1053" s="11"/>
      <c r="O1053" s="11"/>
      <c r="P1053" s="11"/>
      <c r="Q1053" s="11"/>
      <c r="R1053" s="11"/>
      <c r="S1053" s="11"/>
    </row>
    <row r="1054" customFormat="false" ht="15.75" hidden="false" customHeight="true" outlineLevel="0" collapsed="false">
      <c r="A1054" s="70"/>
      <c r="B1054" s="70"/>
      <c r="C1054" s="70"/>
      <c r="D1054" s="70"/>
      <c r="E1054" s="70"/>
      <c r="F1054" s="70"/>
      <c r="G1054" s="70"/>
      <c r="H1054" s="70"/>
      <c r="I1054" s="70"/>
      <c r="J1054" s="70"/>
      <c r="K1054" s="458"/>
      <c r="L1054" s="459"/>
    </row>
    <row r="1055" customFormat="false" ht="15.75" hidden="false" customHeight="true" outlineLevel="0" collapsed="false">
      <c r="G1055" s="1397"/>
      <c r="K1055" s="458"/>
      <c r="L1055" s="459"/>
    </row>
    <row r="1056" s="11" customFormat="true" ht="15.75" hidden="false" customHeight="true" outlineLevel="0" collapsed="false">
      <c r="A1056" s="14" t="s">
        <v>1700</v>
      </c>
      <c r="B1056" s="314"/>
      <c r="C1056" s="314"/>
      <c r="D1056" s="314"/>
      <c r="E1056" s="978"/>
      <c r="G1056" s="933" t="s">
        <v>243</v>
      </c>
      <c r="H1056" s="978"/>
      <c r="I1056" s="314"/>
      <c r="K1056" s="458"/>
      <c r="L1056" s="459"/>
    </row>
    <row r="1057" customFormat="false" ht="15.75" hidden="false" customHeight="true" outlineLevel="0" collapsed="false">
      <c r="G1057" s="1397"/>
      <c r="K1057" s="458"/>
      <c r="L1057" s="459"/>
    </row>
    <row r="1058" customFormat="false" ht="15.75" hidden="false" customHeight="true" outlineLevel="0" collapsed="false">
      <c r="A1058" s="1398" t="s">
        <v>785</v>
      </c>
      <c r="D1058" s="988" t="s">
        <v>243</v>
      </c>
      <c r="E1058" s="15" t="s">
        <v>1624</v>
      </c>
      <c r="F1058" s="1333"/>
      <c r="G1058" s="1333"/>
      <c r="H1058" s="1333"/>
    </row>
    <row r="1059" customFormat="false" ht="15.75" hidden="false" customHeight="true" outlineLevel="0" collapsed="false">
      <c r="K1059" s="458"/>
      <c r="L1059" s="459"/>
    </row>
    <row r="1060" customFormat="false" ht="15.75" hidden="false" customHeight="true" outlineLevel="0" collapsed="false">
      <c r="A1060" s="14" t="s">
        <v>787</v>
      </c>
      <c r="C1060" s="988" t="s">
        <v>242</v>
      </c>
      <c r="D1060" s="1399" t="s">
        <v>1701</v>
      </c>
      <c r="E1060" s="1399"/>
      <c r="F1060" s="1399"/>
      <c r="G1060" s="1333"/>
      <c r="H1060" s="1333"/>
      <c r="I1060" s="1333"/>
      <c r="J1060" s="1333"/>
      <c r="K1060" s="458"/>
      <c r="L1060" s="459"/>
    </row>
    <row r="1061" s="11" customFormat="true" ht="15.75" hidden="false" customHeight="true" outlineLevel="0" collapsed="false">
      <c r="A1061" s="1400"/>
      <c r="B1061" s="314"/>
      <c r="C1061" s="314"/>
      <c r="E1061" s="978"/>
      <c r="F1061" s="978"/>
      <c r="G1061" s="1401"/>
      <c r="K1061" s="458"/>
      <c r="L1061" s="459"/>
    </row>
    <row r="1062" customFormat="false" ht="15.75" hidden="false" customHeight="true" outlineLevel="0" collapsed="false">
      <c r="A1062" s="417" t="s">
        <v>1702</v>
      </c>
      <c r="B1062" s="314"/>
      <c r="C1062" s="988" t="s">
        <v>243</v>
      </c>
      <c r="E1062" s="978"/>
      <c r="F1062" s="978"/>
      <c r="G1062" s="1401"/>
      <c r="H1062" s="978"/>
      <c r="I1062" s="314"/>
      <c r="K1062" s="458"/>
      <c r="L1062" s="459" t="s">
        <v>1703</v>
      </c>
    </row>
    <row r="1063" customFormat="false" ht="15" hidden="false" customHeight="true" outlineLevel="0" collapsed="false">
      <c r="A1063" s="1400"/>
      <c r="B1063" s="314"/>
      <c r="C1063" s="314"/>
      <c r="D1063" s="314"/>
      <c r="E1063" s="978"/>
      <c r="F1063" s="978"/>
      <c r="G1063" s="1401"/>
      <c r="H1063" s="978"/>
      <c r="I1063" s="314"/>
      <c r="K1063" s="458"/>
      <c r="L1063" s="459"/>
    </row>
    <row r="1064" customFormat="false" ht="15" hidden="false" customHeight="true" outlineLevel="0" collapsed="false">
      <c r="K1064" s="458"/>
      <c r="L1064" s="459"/>
    </row>
    <row r="1065" customFormat="false" ht="16.5" hidden="false" customHeight="true" outlineLevel="0" collapsed="false">
      <c r="A1065" s="896" t="s">
        <v>1704</v>
      </c>
      <c r="B1065" s="896"/>
      <c r="C1065" s="896"/>
      <c r="D1065" s="896"/>
      <c r="E1065" s="896"/>
      <c r="F1065" s="896"/>
      <c r="G1065" s="896"/>
      <c r="H1065" s="897"/>
      <c r="I1065" s="897"/>
      <c r="J1065" s="897"/>
      <c r="K1065" s="898"/>
      <c r="L1065" s="899" t="s">
        <v>1696</v>
      </c>
    </row>
    <row r="1066" customFormat="false" ht="15" hidden="false" customHeight="true" outlineLevel="0" collapsed="false">
      <c r="A1066" s="1048"/>
      <c r="B1066" s="1048"/>
      <c r="C1066" s="1048"/>
      <c r="D1066" s="1048"/>
      <c r="E1066" s="1048"/>
      <c r="F1066" s="1048"/>
      <c r="G1066" s="1048"/>
      <c r="J1066" s="635"/>
      <c r="K1066" s="458"/>
      <c r="L1066" s="459"/>
    </row>
    <row r="1067" s="11" customFormat="true" ht="15.75" hidden="false" customHeight="true" outlineLevel="0" collapsed="false">
      <c r="A1067" s="456" t="s">
        <v>790</v>
      </c>
      <c r="B1067" s="456"/>
      <c r="C1067" s="988" t="s">
        <v>1705</v>
      </c>
      <c r="D1067" s="15" t="s">
        <v>792</v>
      </c>
      <c r="E1067" s="1357" t="s">
        <v>1706</v>
      </c>
      <c r="F1067" s="1357"/>
      <c r="K1067" s="458"/>
      <c r="L1067" s="459"/>
    </row>
    <row r="1068" customFormat="false" ht="15" hidden="false" customHeight="true" outlineLevel="0" collapsed="false">
      <c r="A1068" s="11" t="s">
        <v>791</v>
      </c>
      <c r="E1068" s="19"/>
      <c r="K1068" s="934"/>
      <c r="L1068" s="906"/>
    </row>
    <row r="1069" s="11" customFormat="true" ht="15.75" hidden="false" customHeight="true" outlineLevel="0" collapsed="false">
      <c r="E1069" s="972"/>
    </row>
    <row r="1070" s="11" customFormat="true" ht="15.75" hidden="false" customHeight="true" outlineLevel="0" collapsed="false">
      <c r="A1070" s="456" t="s">
        <v>793</v>
      </c>
      <c r="B1070" s="456"/>
      <c r="C1070" s="988" t="s">
        <v>243</v>
      </c>
      <c r="D1070" s="15" t="s">
        <v>795</v>
      </c>
      <c r="E1070" s="1333"/>
      <c r="F1070" s="1333"/>
    </row>
    <row r="1071" s="11" customFormat="true" ht="15" hidden="false" customHeight="true" outlineLevel="0" collapsed="false">
      <c r="A1071" s="449" t="s">
        <v>794</v>
      </c>
      <c r="P1071" s="1402"/>
    </row>
    <row r="1072" s="11" customFormat="true" ht="15" hidden="false" customHeight="true" outlineLevel="0" collapsed="false">
      <c r="P1072" s="1402"/>
    </row>
    <row r="1073" s="11" customFormat="true" ht="15" hidden="false" customHeight="true" outlineLevel="0" collapsed="false"/>
    <row r="1074" customFormat="false" ht="16.5" hidden="false" customHeight="true" outlineLevel="0" collapsed="false">
      <c r="A1074" s="896" t="s">
        <v>1707</v>
      </c>
      <c r="B1074" s="896"/>
      <c r="C1074" s="896"/>
      <c r="D1074" s="896"/>
      <c r="E1074" s="896"/>
      <c r="F1074" s="896"/>
      <c r="G1074" s="896"/>
      <c r="H1074" s="897"/>
      <c r="I1074" s="897"/>
      <c r="J1074" s="897"/>
      <c r="K1074" s="898"/>
      <c r="L1074" s="899" t="s">
        <v>1696</v>
      </c>
      <c r="M1074" s="70"/>
      <c r="Q1074" s="70"/>
      <c r="R1074" s="70"/>
    </row>
    <row r="1075" customFormat="false" ht="16.5" hidden="false" customHeight="true" outlineLevel="0" collapsed="false">
      <c r="A1075" s="1048"/>
      <c r="B1075" s="1048"/>
      <c r="C1075" s="1048"/>
      <c r="D1075" s="1048"/>
      <c r="E1075" s="1048"/>
      <c r="F1075" s="1048"/>
      <c r="G1075" s="1048"/>
      <c r="I1075" s="463"/>
      <c r="J1075" s="1391"/>
      <c r="K1075" s="458"/>
      <c r="L1075" s="459"/>
      <c r="M1075" s="70"/>
      <c r="Q1075" s="70"/>
      <c r="R1075" s="70"/>
    </row>
    <row r="1076" s="11" customFormat="true" ht="15.75" hidden="false" customHeight="true" outlineLevel="0" collapsed="false">
      <c r="A1076" s="14" t="s">
        <v>798</v>
      </c>
      <c r="C1076" s="937" t="n">
        <v>4</v>
      </c>
      <c r="D1076" s="449" t="s">
        <v>799</v>
      </c>
      <c r="Q1076" s="70"/>
      <c r="R1076" s="70"/>
    </row>
    <row r="1077" s="11" customFormat="true" ht="15" hidden="false" customHeight="true" outlineLevel="0" collapsed="false">
      <c r="A1077" s="14"/>
      <c r="D1077" s="1006"/>
      <c r="Q1077" s="70"/>
      <c r="R1077" s="70"/>
    </row>
    <row r="1078" s="11" customFormat="true" ht="15" hidden="false" customHeight="true" outlineLevel="0" collapsed="false">
      <c r="Q1078" s="70"/>
      <c r="R1078" s="70"/>
    </row>
    <row r="1079" customFormat="false" ht="16.5" hidden="false" customHeight="true" outlineLevel="0" collapsed="false">
      <c r="A1079" s="896" t="s">
        <v>1708</v>
      </c>
      <c r="B1079" s="896"/>
      <c r="C1079" s="896"/>
      <c r="D1079" s="896"/>
      <c r="E1079" s="896"/>
      <c r="F1079" s="896"/>
      <c r="G1079" s="896"/>
      <c r="H1079" s="897"/>
      <c r="I1079" s="897"/>
      <c r="J1079" s="897"/>
      <c r="K1079" s="898"/>
      <c r="L1079" s="899" t="s">
        <v>1696</v>
      </c>
      <c r="N1079" s="1392"/>
      <c r="O1079" s="1392"/>
      <c r="P1079" s="1392"/>
      <c r="Q1079" s="1392"/>
      <c r="R1079" s="1392"/>
      <c r="S1079" s="1392"/>
    </row>
    <row r="1080" s="11" customFormat="true" ht="16.5" hidden="false" customHeight="true" outlineLevel="0" collapsed="false">
      <c r="A1080" s="1048"/>
      <c r="B1080" s="1048"/>
      <c r="C1080" s="1048"/>
      <c r="D1080" s="1048"/>
      <c r="E1080" s="1048"/>
      <c r="F1080" s="1048"/>
      <c r="G1080" s="1048"/>
      <c r="K1080" s="458"/>
      <c r="L1080" s="459"/>
      <c r="N1080" s="1392"/>
      <c r="O1080" s="1392"/>
      <c r="P1080" s="1392"/>
      <c r="Q1080" s="1392"/>
      <c r="R1080" s="1392"/>
      <c r="S1080" s="1392"/>
    </row>
    <row r="1081" s="11" customFormat="true" ht="15.75" hidden="false" customHeight="true" outlineLevel="0" collapsed="false">
      <c r="A1081" s="456" t="s">
        <v>1709</v>
      </c>
      <c r="B1081" s="456"/>
      <c r="C1081" s="456"/>
      <c r="D1081" s="456"/>
      <c r="E1081" s="933" t="n">
        <v>2</v>
      </c>
      <c r="F1081" s="449" t="s">
        <v>1710</v>
      </c>
      <c r="N1081" s="314"/>
      <c r="O1081" s="314"/>
      <c r="P1081" s="314"/>
      <c r="Q1081" s="314"/>
      <c r="R1081" s="314"/>
      <c r="S1081" s="314"/>
    </row>
    <row r="1082" s="11" customFormat="true" ht="15.75" hidden="false" customHeight="true" outlineLevel="0" collapsed="false">
      <c r="A1082" s="456" t="s">
        <v>1711</v>
      </c>
      <c r="B1082" s="456"/>
      <c r="C1082" s="456"/>
      <c r="D1082" s="456"/>
      <c r="E1082" s="933" t="n">
        <v>3</v>
      </c>
      <c r="F1082" s="449" t="s">
        <v>1712</v>
      </c>
      <c r="N1082" s="1392"/>
      <c r="O1082" s="1392"/>
      <c r="P1082" s="1392"/>
      <c r="Q1082" s="1392"/>
      <c r="R1082" s="1392"/>
      <c r="S1082" s="1392"/>
    </row>
    <row r="1083" s="11" customFormat="true" ht="15" hidden="false" customHeight="true" outlineLevel="0" collapsed="false">
      <c r="A1083" s="449" t="s">
        <v>803</v>
      </c>
      <c r="N1083" s="1392"/>
      <c r="O1083" s="1392"/>
      <c r="P1083" s="1392"/>
      <c r="Q1083" s="1392"/>
      <c r="R1083" s="1392"/>
      <c r="S1083" s="1392"/>
    </row>
    <row r="1084" customFormat="false" ht="15" hidden="false" customHeight="true" outlineLevel="0" collapsed="false">
      <c r="K1084" s="934"/>
      <c r="L1084" s="906"/>
      <c r="N1084" s="1392"/>
      <c r="O1084" s="1392"/>
      <c r="P1084" s="1392"/>
      <c r="Q1084" s="1392"/>
      <c r="R1084" s="1392"/>
      <c r="S1084" s="1392"/>
    </row>
    <row r="1085" customFormat="false" ht="15" hidden="false" customHeight="true" outlineLevel="0" collapsed="false">
      <c r="K1085" s="934"/>
      <c r="L1085" s="906"/>
      <c r="N1085" s="1392"/>
      <c r="O1085" s="1392"/>
      <c r="P1085" s="1392"/>
      <c r="Q1085" s="1392"/>
      <c r="R1085" s="1392"/>
      <c r="S1085" s="1392"/>
    </row>
    <row r="1086" customFormat="false" ht="16.5" hidden="false" customHeight="true" outlineLevel="0" collapsed="false">
      <c r="A1086" s="896" t="s">
        <v>1713</v>
      </c>
      <c r="B1086" s="896"/>
      <c r="C1086" s="896"/>
      <c r="D1086" s="896"/>
      <c r="E1086" s="896"/>
      <c r="F1086" s="896"/>
      <c r="G1086" s="896"/>
      <c r="H1086" s="897"/>
      <c r="I1086" s="897"/>
      <c r="J1086" s="897"/>
      <c r="K1086" s="898"/>
      <c r="L1086" s="899" t="s">
        <v>1714</v>
      </c>
    </row>
    <row r="1087" customFormat="false" ht="16.5" hidden="false" customHeight="true" outlineLevel="0" collapsed="false">
      <c r="A1087" s="1048"/>
      <c r="B1087" s="1048"/>
      <c r="C1087" s="1048"/>
      <c r="D1087" s="1048"/>
      <c r="E1087" s="1048"/>
      <c r="F1087" s="1048"/>
      <c r="G1087" s="1048"/>
      <c r="K1087" s="1403"/>
      <c r="L1087" s="679"/>
    </row>
    <row r="1088" customFormat="false" ht="16.5" hidden="false" customHeight="true" outlineLevel="0" collapsed="false">
      <c r="A1088" s="456" t="s">
        <v>967</v>
      </c>
      <c r="B1088" s="992" t="str">
        <f aca="false">B23</f>
        <v>oui</v>
      </c>
      <c r="C1088" s="1048"/>
      <c r="D1088" s="1048"/>
      <c r="E1088" s="1048"/>
      <c r="F1088" s="1048"/>
      <c r="G1088" s="1048"/>
      <c r="K1088" s="1403"/>
      <c r="L1088" s="679"/>
    </row>
    <row r="1089" customFormat="false" ht="16.5" hidden="false" customHeight="true" outlineLevel="0" collapsed="false">
      <c r="A1089" s="1048"/>
      <c r="B1089" s="1048"/>
      <c r="C1089" s="1048"/>
      <c r="D1089" s="1048"/>
      <c r="E1089" s="1048"/>
      <c r="F1089" s="1048"/>
      <c r="G1089" s="1048"/>
      <c r="K1089" s="1403"/>
      <c r="L1089" s="679"/>
    </row>
    <row r="1090" customFormat="false" ht="16.5" hidden="false" customHeight="true" outlineLevel="0" collapsed="false">
      <c r="A1090" s="1404" t="s">
        <v>1715</v>
      </c>
      <c r="B1090" s="1404"/>
      <c r="C1090" s="1404"/>
      <c r="D1090" s="1404"/>
      <c r="E1090" s="1404"/>
      <c r="F1090" s="1404"/>
      <c r="G1090" s="1404"/>
      <c r="H1090" s="1404"/>
      <c r="I1090" s="1404"/>
      <c r="K1090" s="1403"/>
      <c r="L1090" s="679" t="s">
        <v>1452</v>
      </c>
    </row>
    <row r="1091" customFormat="false" ht="16.5" hidden="false" customHeight="true" outlineLevel="0" collapsed="false">
      <c r="A1091" s="1405"/>
      <c r="B1091" s="1405"/>
      <c r="C1091" s="1405"/>
      <c r="D1091" s="1405"/>
      <c r="E1091" s="1405"/>
      <c r="F1091" s="1405"/>
      <c r="G1091" s="1405"/>
      <c r="H1091" s="1405"/>
      <c r="I1091" s="1405"/>
      <c r="K1091" s="1403"/>
      <c r="L1091" s="679"/>
    </row>
    <row r="1092" customFormat="false" ht="16.5" hidden="false" customHeight="true" outlineLevel="0" collapsed="false">
      <c r="A1092" s="639" t="s">
        <v>263</v>
      </c>
      <c r="B1092" s="311"/>
      <c r="C1092" s="311"/>
      <c r="D1092" s="1179" t="n">
        <f aca="false">SUM(E1093:E1097)</f>
        <v>4</v>
      </c>
      <c r="E1092" s="314"/>
      <c r="F1092" s="639" t="s">
        <v>268</v>
      </c>
      <c r="G1092" s="314"/>
      <c r="H1092" s="314"/>
      <c r="I1092" s="1242" t="n">
        <f aca="false">SUM(J1093:J1101)</f>
        <v>4</v>
      </c>
      <c r="K1092" s="1403"/>
      <c r="L1092" s="679"/>
    </row>
    <row r="1093" customFormat="false" ht="16.5" hidden="false" customHeight="true" outlineLevel="0" collapsed="false">
      <c r="A1093" s="1406" t="s">
        <v>264</v>
      </c>
      <c r="B1093" s="311"/>
      <c r="D1093" s="1324" t="s">
        <v>242</v>
      </c>
      <c r="E1093" s="1407" t="n">
        <f aca="false">IF(D1093="oui",1,0)</f>
        <v>1</v>
      </c>
      <c r="F1093" s="1334" t="s">
        <v>269</v>
      </c>
      <c r="G1093" s="314"/>
      <c r="H1093" s="1334"/>
      <c r="I1093" s="1408" t="s">
        <v>243</v>
      </c>
      <c r="J1093" s="1409" t="n">
        <f aca="false">IF(I1093="oui",1,0)</f>
        <v>0</v>
      </c>
      <c r="K1093" s="1403"/>
      <c r="L1093" s="679"/>
    </row>
    <row r="1094" customFormat="false" ht="16.5" hidden="false" customHeight="true" outlineLevel="0" collapsed="false">
      <c r="A1094" s="1334" t="s">
        <v>1716</v>
      </c>
      <c r="B1094" s="1334"/>
      <c r="C1094" s="1334"/>
      <c r="D1094" s="1324" t="s">
        <v>242</v>
      </c>
      <c r="E1094" s="1407" t="n">
        <f aca="false">IF(D1094="oui",1,0)</f>
        <v>1</v>
      </c>
      <c r="F1094" s="1334" t="s">
        <v>270</v>
      </c>
      <c r="G1094" s="314"/>
      <c r="H1094" s="1334"/>
      <c r="I1094" s="1408" t="s">
        <v>242</v>
      </c>
      <c r="J1094" s="1409" t="n">
        <f aca="false">IF(I1094="oui",1,0)</f>
        <v>1</v>
      </c>
      <c r="K1094" s="1403"/>
      <c r="L1094" s="679"/>
    </row>
    <row r="1095" customFormat="false" ht="15.75" hidden="false" customHeight="true" outlineLevel="0" collapsed="false">
      <c r="A1095" s="1381" t="s">
        <v>1717</v>
      </c>
      <c r="B1095" s="1381"/>
      <c r="C1095" s="1381"/>
      <c r="D1095" s="1410" t="s">
        <v>242</v>
      </c>
      <c r="E1095" s="1407" t="n">
        <f aca="false">IF(D1095="oui",1,0)</f>
        <v>1</v>
      </c>
      <c r="F1095" s="1406" t="s">
        <v>1718</v>
      </c>
      <c r="G1095" s="314"/>
      <c r="H1095" s="314"/>
      <c r="I1095" s="1408" t="s">
        <v>243</v>
      </c>
      <c r="J1095" s="1409" t="n">
        <f aca="false">IF(I1095="oui",1,0)</f>
        <v>0</v>
      </c>
      <c r="K1095" s="1403"/>
      <c r="L1095" s="679"/>
    </row>
    <row r="1096" customFormat="false" ht="15.75" hidden="false" customHeight="true" outlineLevel="0" collapsed="false">
      <c r="A1096" s="1381"/>
      <c r="B1096" s="1381"/>
      <c r="C1096" s="1381"/>
      <c r="D1096" s="1410"/>
      <c r="E1096" s="1407"/>
      <c r="F1096" s="11" t="s">
        <v>272</v>
      </c>
      <c r="G1096" s="314"/>
      <c r="H1096" s="314"/>
      <c r="I1096" s="1408" t="s">
        <v>242</v>
      </c>
      <c r="J1096" s="1409" t="n">
        <f aca="false">IF(I1096="oui",1,0)</f>
        <v>1</v>
      </c>
      <c r="K1096" s="1403"/>
      <c r="L1096" s="679"/>
    </row>
    <row r="1097" customFormat="false" ht="16.5" hidden="false" customHeight="true" outlineLevel="0" collapsed="false">
      <c r="A1097" s="1406" t="s">
        <v>1719</v>
      </c>
      <c r="B1097" s="311"/>
      <c r="D1097" s="1324" t="s">
        <v>242</v>
      </c>
      <c r="E1097" s="1407" t="n">
        <f aca="false">IF(D1097="oui",1,0)</f>
        <v>1</v>
      </c>
      <c r="F1097" s="1334" t="s">
        <v>1720</v>
      </c>
      <c r="G1097" s="314"/>
      <c r="H1097" s="314"/>
      <c r="I1097" s="1408" t="s">
        <v>242</v>
      </c>
      <c r="J1097" s="1409" t="n">
        <f aca="false">IF(I1097="oui",1,0)</f>
        <v>1</v>
      </c>
      <c r="K1097" s="1403"/>
      <c r="L1097" s="679"/>
    </row>
    <row r="1098" customFormat="false" ht="16.5" hidden="false" customHeight="true" outlineLevel="0" collapsed="false">
      <c r="A1098" s="1406"/>
      <c r="B1098" s="311"/>
      <c r="E1098" s="1407"/>
      <c r="F1098" s="1334" t="s">
        <v>274</v>
      </c>
      <c r="G1098" s="314"/>
      <c r="H1098" s="314"/>
      <c r="I1098" s="1408" t="s">
        <v>242</v>
      </c>
      <c r="J1098" s="1409" t="n">
        <f aca="false">IF(I1098="oui",1,0)</f>
        <v>1</v>
      </c>
      <c r="K1098" s="1403"/>
      <c r="L1098" s="679"/>
    </row>
    <row r="1099" customFormat="false" ht="16.5" hidden="false" customHeight="true" outlineLevel="0" collapsed="false">
      <c r="A1099" s="1406"/>
      <c r="B1099" s="311"/>
      <c r="E1099" s="1407"/>
      <c r="F1099" s="1334" t="s">
        <v>275</v>
      </c>
      <c r="G1099" s="314"/>
      <c r="H1099" s="314"/>
      <c r="I1099" s="1408" t="s">
        <v>243</v>
      </c>
      <c r="J1099" s="1409" t="n">
        <f aca="false">IF(I1099="oui",1,0)</f>
        <v>0</v>
      </c>
      <c r="K1099" s="1403"/>
      <c r="L1099" s="679"/>
    </row>
    <row r="1100" customFormat="false" ht="16.5" hidden="false" customHeight="true" outlineLevel="0" collapsed="false">
      <c r="A1100" s="1406"/>
      <c r="B1100" s="311"/>
      <c r="E1100" s="1407"/>
      <c r="F1100" s="1334" t="s">
        <v>276</v>
      </c>
      <c r="G1100" s="314"/>
      <c r="H1100" s="314"/>
      <c r="I1100" s="1408" t="s">
        <v>243</v>
      </c>
      <c r="J1100" s="1409" t="n">
        <f aca="false">IF(I1100="oui",1,0)</f>
        <v>0</v>
      </c>
      <c r="K1100" s="1403"/>
      <c r="L1100" s="679"/>
    </row>
    <row r="1101" customFormat="false" ht="16.5" hidden="false" customHeight="true" outlineLevel="0" collapsed="false">
      <c r="A1101" s="1406"/>
      <c r="B1101" s="311"/>
      <c r="E1101" s="1407"/>
      <c r="F1101" s="1406" t="s">
        <v>277</v>
      </c>
      <c r="G1101" s="314"/>
      <c r="H1101" s="314"/>
      <c r="I1101" s="1408" t="s">
        <v>243</v>
      </c>
      <c r="J1101" s="1409" t="n">
        <f aca="false">IF(I1101="oui",1,0)</f>
        <v>0</v>
      </c>
      <c r="K1101" s="1403"/>
      <c r="L1101" s="679"/>
    </row>
    <row r="1102" customFormat="false" ht="16.5" hidden="false" customHeight="true" outlineLevel="0" collapsed="false">
      <c r="B1102" s="311"/>
      <c r="D1102" s="311"/>
      <c r="F1102" s="15" t="s">
        <v>278</v>
      </c>
      <c r="G1102" s="1333"/>
      <c r="H1102" s="1333"/>
      <c r="I1102" s="1333"/>
      <c r="J1102" s="909"/>
      <c r="K1102" s="1403"/>
      <c r="L1102" s="679"/>
    </row>
    <row r="1103" s="11" customFormat="true" ht="15" hidden="false" customHeight="true" outlineLevel="0" collapsed="false">
      <c r="A1103" s="314"/>
      <c r="B1103" s="314"/>
      <c r="C1103" s="314"/>
      <c r="D1103" s="314"/>
      <c r="E1103" s="314"/>
      <c r="K1103" s="1403"/>
      <c r="L1103" s="679"/>
    </row>
    <row r="1104" customFormat="false" ht="15.75" hidden="false" customHeight="true" outlineLevel="0" collapsed="false">
      <c r="A1104" s="639" t="s">
        <v>1721</v>
      </c>
      <c r="B1104" s="314"/>
      <c r="C1104" s="314"/>
      <c r="D1104" s="314"/>
      <c r="E1104" s="314"/>
      <c r="F1104" s="314"/>
      <c r="G1104" s="314"/>
      <c r="H1104" s="314"/>
      <c r="I1104" s="314"/>
      <c r="J1104" s="909"/>
      <c r="K1104" s="1403"/>
      <c r="L1104" s="679"/>
    </row>
    <row r="1105" s="11" customFormat="true" ht="17.25" hidden="false" customHeight="true" outlineLevel="0" collapsed="false">
      <c r="A1105" s="1411" t="s">
        <v>280</v>
      </c>
      <c r="B1105" s="937" t="s">
        <v>243</v>
      </c>
      <c r="C1105" s="1411" t="s">
        <v>1722</v>
      </c>
      <c r="D1105" s="937" t="s">
        <v>243</v>
      </c>
      <c r="E1105" s="1411" t="s">
        <v>283</v>
      </c>
      <c r="F1105" s="1002" t="s">
        <v>243</v>
      </c>
      <c r="G1105" s="1411" t="s">
        <v>282</v>
      </c>
      <c r="H1105" s="1002" t="s">
        <v>243</v>
      </c>
      <c r="K1105" s="1403"/>
      <c r="L1105" s="679"/>
    </row>
    <row r="1106" s="11" customFormat="true" ht="17.25" hidden="false" customHeight="true" outlineLevel="0" collapsed="false">
      <c r="A1106" s="1406" t="s">
        <v>1723</v>
      </c>
      <c r="B1106" s="1333"/>
      <c r="C1106" s="1333"/>
      <c r="D1106" s="1333"/>
      <c r="E1106" s="1333"/>
      <c r="F1106" s="1333"/>
      <c r="K1106" s="1403"/>
      <c r="L1106" s="679"/>
    </row>
    <row r="1107" s="11" customFormat="true" ht="15" hidden="false" customHeight="true" outlineLevel="0" collapsed="false"/>
    <row r="1108" s="11" customFormat="true" ht="15" hidden="false" customHeight="true" outlineLevel="0" collapsed="false"/>
    <row r="1109" s="11" customFormat="true" ht="15" hidden="false" customHeight="true" outlineLevel="0" collapsed="false">
      <c r="A1109" s="1404" t="s">
        <v>1724</v>
      </c>
      <c r="B1109" s="1404"/>
      <c r="C1109" s="1404"/>
      <c r="D1109" s="1404"/>
      <c r="E1109" s="1404"/>
      <c r="F1109" s="1404"/>
      <c r="G1109" s="1404"/>
      <c r="H1109" s="1404"/>
      <c r="I1109" s="1404"/>
      <c r="L1109" s="11" t="s">
        <v>1300</v>
      </c>
    </row>
    <row r="1110" s="11" customFormat="true" ht="15" hidden="false" customHeight="true" outlineLevel="0" collapsed="false"/>
    <row r="1111" customFormat="false" ht="15" hidden="false" customHeight="true" outlineLevel="0" collapsed="false">
      <c r="A1111" s="639" t="s">
        <v>615</v>
      </c>
      <c r="B1111" s="311"/>
      <c r="C1111" s="311"/>
      <c r="D1111" s="1179" t="n">
        <f aca="false">SUM(E1112:E1120)</f>
        <v>3</v>
      </c>
      <c r="E1111" s="314"/>
      <c r="F1111" s="639" t="s">
        <v>623</v>
      </c>
      <c r="G1111" s="314"/>
      <c r="H1111" s="314"/>
      <c r="I1111" s="1412" t="n">
        <f aca="false">SUM(J1112:J1119)</f>
        <v>3</v>
      </c>
    </row>
    <row r="1112" customFormat="false" ht="15" hidden="false" customHeight="true" outlineLevel="0" collapsed="false">
      <c r="A1112" s="1406" t="s">
        <v>616</v>
      </c>
      <c r="B1112" s="311"/>
      <c r="D1112" s="1413" t="s">
        <v>242</v>
      </c>
      <c r="E1112" s="1407" t="n">
        <f aca="false">IF(D1112="oui",1,0)</f>
        <v>1</v>
      </c>
      <c r="F1112" s="1381" t="s">
        <v>624</v>
      </c>
      <c r="G1112" s="1381"/>
      <c r="H1112" s="1381"/>
      <c r="I1112" s="1414" t="s">
        <v>243</v>
      </c>
      <c r="J1112" s="1407" t="n">
        <f aca="false">IF(I1112="oui",1,0)</f>
        <v>0</v>
      </c>
    </row>
    <row r="1113" customFormat="false" ht="15" hidden="false" customHeight="true" outlineLevel="0" collapsed="false">
      <c r="A1113" s="1381" t="s">
        <v>617</v>
      </c>
      <c r="B1113" s="1381"/>
      <c r="C1113" s="1381"/>
      <c r="D1113" s="1413" t="s">
        <v>242</v>
      </c>
      <c r="E1113" s="1407" t="n">
        <f aca="false">IF(D1113="oui",1,0)</f>
        <v>1</v>
      </c>
      <c r="F1113" s="1381"/>
      <c r="G1113" s="1381"/>
      <c r="H1113" s="1381"/>
      <c r="I1113" s="1414"/>
      <c r="J1113" s="1407"/>
    </row>
    <row r="1114" customFormat="false" ht="15" hidden="false" customHeight="true" outlineLevel="0" collapsed="false">
      <c r="A1114" s="1381"/>
      <c r="B1114" s="1381"/>
      <c r="C1114" s="1381"/>
      <c r="D1114" s="1413"/>
      <c r="E1114" s="1407"/>
      <c r="F1114" s="1381" t="s">
        <v>625</v>
      </c>
      <c r="G1114" s="1381"/>
      <c r="H1114" s="1381"/>
      <c r="I1114" s="1414" t="s">
        <v>242</v>
      </c>
      <c r="J1114" s="1407" t="n">
        <f aca="false">IF(I1114="oui",1,0)</f>
        <v>1</v>
      </c>
    </row>
    <row r="1115" customFormat="false" ht="15" hidden="false" customHeight="true" outlineLevel="0" collapsed="false">
      <c r="A1115" s="1381" t="s">
        <v>618</v>
      </c>
      <c r="B1115" s="1381"/>
      <c r="C1115" s="1381"/>
      <c r="D1115" s="1413" t="s">
        <v>243</v>
      </c>
      <c r="E1115" s="1407" t="n">
        <f aca="false">IF(D1115="oui",1,0)</f>
        <v>0</v>
      </c>
      <c r="F1115" s="1381"/>
      <c r="G1115" s="1381"/>
      <c r="H1115" s="1381"/>
      <c r="I1115" s="1414"/>
      <c r="J1115" s="1407"/>
    </row>
    <row r="1116" customFormat="false" ht="15" hidden="false" customHeight="true" outlineLevel="0" collapsed="false">
      <c r="A1116" s="1406" t="s">
        <v>619</v>
      </c>
      <c r="B1116" s="311"/>
      <c r="D1116" s="1413" t="s">
        <v>243</v>
      </c>
      <c r="E1116" s="1407" t="n">
        <f aca="false">IF(D1116="oui",1,0)</f>
        <v>0</v>
      </c>
      <c r="F1116" s="11" t="s">
        <v>626</v>
      </c>
      <c r="G1116" s="314"/>
      <c r="H1116" s="314"/>
      <c r="I1116" s="1415" t="s">
        <v>242</v>
      </c>
      <c r="J1116" s="1409" t="n">
        <f aca="false">IF(I1116="oui",1,0)</f>
        <v>1</v>
      </c>
    </row>
    <row r="1117" customFormat="false" ht="15" hidden="false" customHeight="true" outlineLevel="0" collapsed="false">
      <c r="A1117" s="1381" t="s">
        <v>1725</v>
      </c>
      <c r="B1117" s="1381"/>
      <c r="C1117" s="1381"/>
      <c r="D1117" s="1413" t="s">
        <v>243</v>
      </c>
      <c r="E1117" s="1407" t="n">
        <f aca="false">IF(D1117="oui",1,0)</f>
        <v>0</v>
      </c>
      <c r="F1117" s="1334" t="s">
        <v>627</v>
      </c>
      <c r="G1117" s="314"/>
      <c r="H1117" s="314"/>
      <c r="I1117" s="1415" t="s">
        <v>243</v>
      </c>
      <c r="J1117" s="1409" t="n">
        <f aca="false">IF(I1117="oui",1,0)</f>
        <v>0</v>
      </c>
    </row>
    <row r="1118" customFormat="false" ht="15" hidden="false" customHeight="true" outlineLevel="0" collapsed="false">
      <c r="A1118" s="1381"/>
      <c r="B1118" s="1381"/>
      <c r="C1118" s="1381"/>
      <c r="D1118" s="1413"/>
      <c r="E1118" s="1407"/>
      <c r="F1118" s="1381" t="s">
        <v>1726</v>
      </c>
      <c r="G1118" s="1381"/>
      <c r="H1118" s="1381"/>
      <c r="I1118" s="1414" t="s">
        <v>242</v>
      </c>
      <c r="J1118" s="1407" t="n">
        <f aca="false">IF(I1118="oui",1,0)</f>
        <v>1</v>
      </c>
    </row>
    <row r="1119" customFormat="false" ht="15" hidden="false" customHeight="true" outlineLevel="0" collapsed="false">
      <c r="A1119" s="1406" t="s">
        <v>621</v>
      </c>
      <c r="B1119" s="311"/>
      <c r="D1119" s="1413" t="s">
        <v>242</v>
      </c>
      <c r="E1119" s="1407" t="n">
        <f aca="false">IF(D1119="oui",1,0)</f>
        <v>1</v>
      </c>
      <c r="F1119" s="1381"/>
      <c r="G1119" s="1381"/>
      <c r="H1119" s="1381"/>
      <c r="I1119" s="1414"/>
      <c r="J1119" s="1407"/>
    </row>
    <row r="1120" customFormat="false" ht="15" hidden="false" customHeight="true" outlineLevel="0" collapsed="false">
      <c r="A1120" s="1406" t="s">
        <v>622</v>
      </c>
      <c r="B1120" s="311"/>
      <c r="D1120" s="1413" t="s">
        <v>243</v>
      </c>
      <c r="E1120" s="1407" t="n">
        <f aca="false">IF(D1120="oui",1,0)</f>
        <v>0</v>
      </c>
      <c r="I1120" s="1416"/>
    </row>
    <row r="1121" customFormat="false" ht="15" hidden="false" customHeight="true" outlineLevel="0" collapsed="false">
      <c r="B1121" s="311"/>
      <c r="D1121" s="311"/>
      <c r="I1121" s="1416"/>
    </row>
    <row r="1122" customFormat="false" ht="15" hidden="false" customHeight="true" outlineLevel="0" collapsed="false">
      <c r="A1122" s="314"/>
      <c r="B1122" s="314"/>
      <c r="C1122" s="314"/>
      <c r="D1122" s="314"/>
      <c r="E1122" s="314"/>
      <c r="H1122" s="1411" t="s">
        <v>629</v>
      </c>
      <c r="I1122" s="1417" t="s">
        <v>243</v>
      </c>
    </row>
    <row r="1123" s="11" customFormat="true" ht="15" hidden="false" customHeight="true" outlineLevel="0" collapsed="false"/>
    <row r="1124" s="314" customFormat="true" ht="18.75" hidden="false" customHeight="true" outlineLevel="0" collapsed="false">
      <c r="B1124" s="311"/>
      <c r="C1124" s="311"/>
      <c r="D1124" s="311"/>
      <c r="E1124" s="311"/>
      <c r="G1124" s="311"/>
      <c r="J1124" s="909"/>
      <c r="N1124" s="70"/>
      <c r="O1124" s="70"/>
      <c r="P1124" s="70"/>
      <c r="Q1124" s="11"/>
      <c r="R1124" s="11"/>
      <c r="S1124" s="11"/>
    </row>
    <row r="1125" customFormat="false" ht="23.25" hidden="false" customHeight="true" outlineLevel="0" collapsed="false">
      <c r="A1125" s="1418" t="s">
        <v>1727</v>
      </c>
      <c r="B1125" s="1418"/>
      <c r="C1125" s="1418"/>
      <c r="D1125" s="1418"/>
      <c r="E1125" s="1418"/>
      <c r="F1125" s="1418"/>
      <c r="G1125" s="1418"/>
      <c r="H1125" s="1418"/>
      <c r="I1125" s="1418"/>
      <c r="J1125" s="1418"/>
      <c r="K1125" s="1418"/>
      <c r="L1125" s="1418"/>
      <c r="N1125" s="70"/>
      <c r="S1125" s="70"/>
    </row>
    <row r="1126" s="70" customFormat="true" ht="15" hidden="false" customHeight="true" outlineLevel="0" collapsed="false">
      <c r="A1126" s="469"/>
      <c r="B1126" s="469"/>
      <c r="C1126" s="469"/>
      <c r="D1126" s="469"/>
      <c r="E1126" s="469"/>
      <c r="F1126" s="469"/>
      <c r="G1126" s="556"/>
      <c r="H1126" s="1419"/>
      <c r="I1126" s="11"/>
      <c r="J1126" s="12"/>
      <c r="L1126" s="11"/>
      <c r="M1126" s="11"/>
      <c r="O1126" s="11"/>
      <c r="P1126" s="11"/>
      <c r="Q1126" s="11"/>
      <c r="R1126" s="11"/>
    </row>
    <row r="1127" s="70" customFormat="true" ht="15" hidden="false" customHeight="true" outlineLevel="0" collapsed="false">
      <c r="A1127" s="469"/>
      <c r="B1127" s="469"/>
      <c r="C1127" s="469"/>
      <c r="D1127" s="469"/>
      <c r="E1127" s="469"/>
      <c r="F1127" s="469"/>
      <c r="G1127" s="556"/>
      <c r="H1127" s="1419"/>
      <c r="I1127" s="11"/>
      <c r="J1127" s="12"/>
      <c r="L1127" s="11"/>
      <c r="M1127" s="11"/>
      <c r="O1127" s="11"/>
      <c r="P1127" s="11"/>
      <c r="Q1127" s="11"/>
      <c r="R1127" s="11"/>
    </row>
    <row r="1128" s="70" customFormat="true" ht="15" hidden="false" customHeight="true" outlineLevel="0" collapsed="false">
      <c r="A1128" s="1048" t="s">
        <v>1728</v>
      </c>
      <c r="B1128" s="1048"/>
      <c r="C1128" s="1048"/>
      <c r="D1128" s="1048"/>
      <c r="E1128" s="1048"/>
      <c r="F1128" s="1048"/>
      <c r="G1128" s="1048"/>
      <c r="H1128" s="1419"/>
      <c r="I1128" s="11"/>
      <c r="J1128" s="12"/>
      <c r="L1128" s="11" t="s">
        <v>1729</v>
      </c>
      <c r="M1128" s="11"/>
      <c r="O1128" s="11"/>
      <c r="P1128" s="11"/>
      <c r="Q1128" s="11"/>
      <c r="R1128" s="11"/>
    </row>
    <row r="1129" s="70" customFormat="true" ht="15" hidden="false" customHeight="true" outlineLevel="0" collapsed="false">
      <c r="A1129" s="469"/>
      <c r="B1129" s="469"/>
      <c r="C1129" s="469"/>
      <c r="D1129" s="469"/>
      <c r="E1129" s="469"/>
      <c r="F1129" s="469"/>
      <c r="G1129" s="556"/>
      <c r="H1129" s="1419"/>
      <c r="I1129" s="11"/>
      <c r="J1129" s="12"/>
      <c r="L1129" s="11"/>
      <c r="M1129" s="11"/>
      <c r="O1129" s="11"/>
      <c r="P1129" s="11"/>
      <c r="Q1129" s="11"/>
      <c r="R1129" s="11"/>
    </row>
    <row r="1130" s="70" customFormat="true" ht="26.25" hidden="false" customHeight="true" outlineLevel="0" collapsed="false">
      <c r="A1130" s="1420" t="s">
        <v>807</v>
      </c>
      <c r="B1130" s="1420"/>
      <c r="C1130" s="1420"/>
      <c r="D1130" s="1420"/>
      <c r="E1130" s="1420"/>
      <c r="F1130" s="1421" t="s">
        <v>1730</v>
      </c>
      <c r="G1130" s="1421"/>
      <c r="H1130" s="1421"/>
      <c r="I1130" s="901" t="s">
        <v>1379</v>
      </c>
      <c r="J1130" s="12"/>
      <c r="M1130" s="11"/>
      <c r="O1130" s="11"/>
      <c r="P1130" s="11"/>
      <c r="Q1130" s="11"/>
      <c r="R1130" s="11"/>
    </row>
    <row r="1131" s="70" customFormat="true" ht="15" hidden="false" customHeight="false" outlineLevel="0" collapsed="false">
      <c r="A1131" s="1420"/>
      <c r="B1131" s="1420"/>
      <c r="C1131" s="1420"/>
      <c r="D1131" s="1420"/>
      <c r="E1131" s="1420"/>
      <c r="F1131" s="1422" t="s">
        <v>395</v>
      </c>
      <c r="G1131" s="1423" t="s">
        <v>809</v>
      </c>
      <c r="H1131" s="1424" t="s">
        <v>810</v>
      </c>
      <c r="I1131" s="901"/>
      <c r="J1131" s="12"/>
      <c r="L1131" s="11"/>
      <c r="M1131" s="11"/>
      <c r="O1131" s="11"/>
      <c r="P1131" s="11"/>
      <c r="Q1131" s="11"/>
      <c r="R1131" s="11"/>
    </row>
    <row r="1132" s="70" customFormat="true" ht="15" hidden="false" customHeight="true" outlineLevel="0" collapsed="false">
      <c r="A1132" s="1425" t="s">
        <v>811</v>
      </c>
      <c r="B1132" s="1425"/>
      <c r="C1132" s="1425"/>
      <c r="D1132" s="1425"/>
      <c r="E1132" s="1425"/>
      <c r="F1132" s="1426" t="n">
        <v>78586.39</v>
      </c>
      <c r="G1132" s="1427" t="n">
        <v>64906.75</v>
      </c>
      <c r="H1132" s="1428"/>
      <c r="I1132" s="1429" t="n">
        <f aca="false">AVERAGE(F1132,G1132,H1132)</f>
        <v>71746.57</v>
      </c>
      <c r="J1132" s="12"/>
      <c r="L1132" s="11"/>
      <c r="M1132" s="11"/>
      <c r="O1132" s="11"/>
      <c r="P1132" s="11"/>
      <c r="Q1132" s="11"/>
      <c r="R1132" s="11"/>
    </row>
    <row r="1133" s="70" customFormat="true" ht="33.75" hidden="false" customHeight="true" outlineLevel="0" collapsed="false">
      <c r="A1133" s="1430" t="s">
        <v>813</v>
      </c>
      <c r="B1133" s="1430"/>
      <c r="C1133" s="1430"/>
      <c r="D1133" s="1430"/>
      <c r="E1133" s="1430"/>
      <c r="F1133" s="1431"/>
      <c r="G1133" s="1432"/>
      <c r="H1133" s="1433"/>
      <c r="I1133" s="1434"/>
      <c r="J1133" s="12"/>
      <c r="L1133" s="11"/>
      <c r="M1133" s="11"/>
      <c r="O1133" s="11"/>
      <c r="P1133" s="11"/>
      <c r="Q1133" s="11"/>
      <c r="R1133" s="11"/>
    </row>
    <row r="1134" s="70" customFormat="true" ht="15" hidden="false" customHeight="true" outlineLevel="0" collapsed="false">
      <c r="A1134" s="1435" t="s">
        <v>814</v>
      </c>
      <c r="B1134" s="1435"/>
      <c r="C1134" s="1435"/>
      <c r="D1134" s="1435"/>
      <c r="E1134" s="1435"/>
      <c r="F1134" s="1436" t="n">
        <v>26208.13</v>
      </c>
      <c r="G1134" s="1437" t="n">
        <v>21298.43</v>
      </c>
      <c r="H1134" s="1438"/>
      <c r="I1134" s="1439" t="n">
        <f aca="false">AVERAGE(F1134,G1134,H1134)</f>
        <v>23753.28</v>
      </c>
      <c r="J1134" s="12"/>
      <c r="L1134" s="11"/>
      <c r="M1134" s="11"/>
      <c r="O1134" s="11"/>
      <c r="P1134" s="11"/>
      <c r="Q1134" s="11"/>
      <c r="R1134" s="11"/>
    </row>
    <row r="1135" s="70" customFormat="true" ht="15" hidden="false" customHeight="true" outlineLevel="0" collapsed="false">
      <c r="A1135" s="1430" t="s">
        <v>816</v>
      </c>
      <c r="B1135" s="1430"/>
      <c r="C1135" s="1430"/>
      <c r="D1135" s="1430"/>
      <c r="E1135" s="1430"/>
      <c r="F1135" s="1440"/>
      <c r="G1135" s="1441"/>
      <c r="H1135" s="1442"/>
      <c r="I1135" s="1443"/>
      <c r="J1135" s="12"/>
      <c r="L1135" s="11"/>
      <c r="M1135" s="11"/>
      <c r="O1135" s="11"/>
      <c r="P1135" s="11"/>
      <c r="Q1135" s="11"/>
      <c r="R1135" s="11"/>
    </row>
    <row r="1136" s="70" customFormat="true" ht="15" hidden="false" customHeight="true" outlineLevel="0" collapsed="false">
      <c r="A1136" s="1444"/>
      <c r="B1136" s="1445"/>
      <c r="C1136" s="1445"/>
      <c r="D1136" s="1445"/>
      <c r="E1136" s="1445"/>
      <c r="F1136" s="1446"/>
      <c r="G1136" s="1447"/>
      <c r="H1136" s="1448"/>
      <c r="I1136" s="1449"/>
      <c r="J1136" s="12"/>
      <c r="L1136" s="11"/>
      <c r="M1136" s="11"/>
      <c r="O1136" s="11"/>
      <c r="P1136" s="11"/>
      <c r="Q1136" s="11"/>
      <c r="R1136" s="11"/>
    </row>
    <row r="1137" s="70" customFormat="true" ht="15" hidden="false" customHeight="true" outlineLevel="0" collapsed="false">
      <c r="A1137" s="1435" t="s">
        <v>817</v>
      </c>
      <c r="B1137" s="1435"/>
      <c r="C1137" s="1435"/>
      <c r="D1137" s="1435"/>
      <c r="E1137" s="1435"/>
      <c r="F1137" s="1436" t="n">
        <v>21535.88</v>
      </c>
      <c r="G1137" s="1437" t="n">
        <v>16733.57</v>
      </c>
      <c r="H1137" s="1438"/>
      <c r="I1137" s="1439" t="n">
        <f aca="false">AVERAGE(F1137,G1137,H1137)</f>
        <v>19134.725</v>
      </c>
      <c r="J1137" s="12"/>
      <c r="L1137" s="11"/>
      <c r="M1137" s="11"/>
      <c r="O1137" s="11"/>
      <c r="P1137" s="11"/>
      <c r="Q1137" s="11"/>
      <c r="R1137" s="11"/>
    </row>
    <row r="1138" s="70" customFormat="true" ht="15" hidden="false" customHeight="true" outlineLevel="0" collapsed="false">
      <c r="A1138" s="1430" t="s">
        <v>818</v>
      </c>
      <c r="B1138" s="1430"/>
      <c r="C1138" s="1430"/>
      <c r="D1138" s="1430"/>
      <c r="E1138" s="1430"/>
      <c r="F1138" s="1440"/>
      <c r="G1138" s="1441"/>
      <c r="H1138" s="1442"/>
      <c r="I1138" s="1443"/>
      <c r="J1138" s="12"/>
      <c r="L1138" s="11"/>
      <c r="M1138" s="11"/>
      <c r="O1138" s="11"/>
      <c r="P1138" s="11"/>
      <c r="Q1138" s="11"/>
      <c r="R1138" s="11"/>
    </row>
    <row r="1139" s="70" customFormat="true" ht="15" hidden="false" customHeight="true" outlineLevel="0" collapsed="false">
      <c r="A1139" s="1435" t="s">
        <v>819</v>
      </c>
      <c r="B1139" s="1435"/>
      <c r="C1139" s="1435"/>
      <c r="D1139" s="1435"/>
      <c r="E1139" s="1435"/>
      <c r="F1139" s="1436" t="n">
        <v>13358.27</v>
      </c>
      <c r="G1139" s="1437" t="n">
        <v>15416.78</v>
      </c>
      <c r="H1139" s="1438"/>
      <c r="I1139" s="1439" t="n">
        <f aca="false">AVERAGE(F1139,G1139,H1139)</f>
        <v>14387.525</v>
      </c>
      <c r="J1139" s="12"/>
      <c r="L1139" s="11"/>
      <c r="M1139" s="11"/>
      <c r="O1139" s="11"/>
      <c r="P1139" s="11"/>
      <c r="Q1139" s="11"/>
      <c r="R1139" s="11"/>
    </row>
    <row r="1140" s="70" customFormat="true" ht="44.25" hidden="false" customHeight="true" outlineLevel="0" collapsed="false">
      <c r="A1140" s="1430" t="s">
        <v>820</v>
      </c>
      <c r="B1140" s="1430"/>
      <c r="C1140" s="1430"/>
      <c r="D1140" s="1430"/>
      <c r="E1140" s="1430"/>
      <c r="F1140" s="1440"/>
      <c r="G1140" s="1441"/>
      <c r="H1140" s="1442"/>
      <c r="I1140" s="1443"/>
      <c r="J1140" s="12"/>
      <c r="L1140" s="11"/>
      <c r="M1140" s="11"/>
      <c r="O1140" s="11"/>
      <c r="P1140" s="11"/>
      <c r="Q1140" s="11"/>
      <c r="R1140" s="11"/>
    </row>
    <row r="1141" s="70" customFormat="true" ht="15" hidden="false" customHeight="true" outlineLevel="0" collapsed="false">
      <c r="A1141" s="1435" t="s">
        <v>821</v>
      </c>
      <c r="B1141" s="1435"/>
      <c r="C1141" s="1435"/>
      <c r="D1141" s="1435"/>
      <c r="E1141" s="1435"/>
      <c r="F1141" s="1436" t="n">
        <v>0</v>
      </c>
      <c r="G1141" s="1437" t="n">
        <v>0</v>
      </c>
      <c r="H1141" s="1438"/>
      <c r="I1141" s="1439" t="n">
        <f aca="false">AVERAGE(F1141,G1141,H1141)</f>
        <v>0</v>
      </c>
      <c r="J1141" s="12"/>
      <c r="L1141" s="11"/>
      <c r="M1141" s="11"/>
      <c r="O1141" s="11"/>
      <c r="P1141" s="11"/>
      <c r="Q1141" s="11"/>
      <c r="R1141" s="11"/>
    </row>
    <row r="1142" s="70" customFormat="true" ht="47.25" hidden="false" customHeight="true" outlineLevel="0" collapsed="false">
      <c r="A1142" s="1430" t="s">
        <v>823</v>
      </c>
      <c r="B1142" s="1430"/>
      <c r="C1142" s="1430"/>
      <c r="D1142" s="1430"/>
      <c r="E1142" s="1430"/>
      <c r="F1142" s="1440"/>
      <c r="G1142" s="1441"/>
      <c r="H1142" s="1442"/>
      <c r="I1142" s="1443"/>
      <c r="J1142" s="12"/>
      <c r="L1142" s="11"/>
      <c r="M1142" s="11"/>
      <c r="O1142" s="11"/>
      <c r="P1142" s="11"/>
      <c r="Q1142" s="11"/>
      <c r="R1142" s="11"/>
    </row>
    <row r="1143" s="70" customFormat="true" ht="15" hidden="false" customHeight="true" outlineLevel="0" collapsed="false">
      <c r="A1143" s="1450"/>
      <c r="B1143" s="698"/>
      <c r="C1143" s="698"/>
      <c r="D1143" s="698"/>
      <c r="E1143" s="698"/>
      <c r="F1143" s="1451"/>
      <c r="G1143" s="1447"/>
      <c r="H1143" s="1448"/>
      <c r="I1143" s="1449"/>
      <c r="J1143" s="12"/>
      <c r="L1143" s="11"/>
      <c r="M1143" s="11"/>
      <c r="O1143" s="11"/>
      <c r="P1143" s="11"/>
      <c r="Q1143" s="11"/>
      <c r="R1143" s="11"/>
    </row>
    <row r="1144" s="70" customFormat="true" ht="15" hidden="false" customHeight="true" outlineLevel="0" collapsed="false">
      <c r="A1144" s="1435" t="s">
        <v>824</v>
      </c>
      <c r="B1144" s="1435"/>
      <c r="C1144" s="1435"/>
      <c r="D1144" s="1435"/>
      <c r="E1144" s="1435"/>
      <c r="F1144" s="1436" t="n">
        <v>0</v>
      </c>
      <c r="G1144" s="1437" t="n">
        <v>0</v>
      </c>
      <c r="H1144" s="1438"/>
      <c r="I1144" s="1439" t="n">
        <f aca="false">AVERAGE(F1144,G1144,H1144)</f>
        <v>0</v>
      </c>
      <c r="J1144" s="12"/>
      <c r="L1144" s="11"/>
      <c r="M1144" s="11"/>
      <c r="O1144" s="11"/>
      <c r="P1144" s="11"/>
      <c r="Q1144" s="11"/>
      <c r="R1144" s="11"/>
    </row>
    <row r="1145" s="70" customFormat="true" ht="15" hidden="false" customHeight="true" outlineLevel="0" collapsed="false">
      <c r="A1145" s="1430" t="s">
        <v>825</v>
      </c>
      <c r="B1145" s="1430"/>
      <c r="C1145" s="1430"/>
      <c r="D1145" s="1430"/>
      <c r="E1145" s="1430"/>
      <c r="F1145" s="1440"/>
      <c r="G1145" s="1441"/>
      <c r="H1145" s="1442"/>
      <c r="I1145" s="1443"/>
      <c r="J1145" s="12"/>
      <c r="L1145" s="11"/>
      <c r="M1145" s="11"/>
      <c r="O1145" s="11"/>
      <c r="P1145" s="11"/>
      <c r="Q1145" s="11"/>
      <c r="R1145" s="11"/>
    </row>
    <row r="1146" s="70" customFormat="true" ht="15" hidden="false" customHeight="true" outlineLevel="0" collapsed="false">
      <c r="A1146" s="1435" t="s">
        <v>826</v>
      </c>
      <c r="B1146" s="1435"/>
      <c r="C1146" s="1435"/>
      <c r="D1146" s="1435"/>
      <c r="E1146" s="1435"/>
      <c r="F1146" s="1436" t="n">
        <v>10172.48</v>
      </c>
      <c r="G1146" s="1437" t="n">
        <v>9277.8</v>
      </c>
      <c r="H1146" s="1438"/>
      <c r="I1146" s="1439" t="n">
        <f aca="false">AVERAGE(F1146,G1146,H1146)</f>
        <v>9725.14</v>
      </c>
      <c r="J1146" s="12"/>
      <c r="L1146" s="11"/>
      <c r="M1146" s="11"/>
      <c r="O1146" s="11"/>
      <c r="P1146" s="11"/>
      <c r="Q1146" s="11"/>
      <c r="R1146" s="11"/>
    </row>
    <row r="1147" s="70" customFormat="true" ht="34.5" hidden="false" customHeight="true" outlineLevel="0" collapsed="false">
      <c r="A1147" s="1452" t="s">
        <v>827</v>
      </c>
      <c r="B1147" s="1452"/>
      <c r="C1147" s="1452"/>
      <c r="D1147" s="1452"/>
      <c r="E1147" s="1452"/>
      <c r="F1147" s="1453"/>
      <c r="G1147" s="1454"/>
      <c r="H1147" s="1455"/>
      <c r="I1147" s="1456"/>
      <c r="J1147" s="12"/>
      <c r="L1147" s="11"/>
      <c r="M1147" s="11"/>
      <c r="O1147" s="11"/>
      <c r="P1147" s="11"/>
      <c r="Q1147" s="11"/>
      <c r="R1147" s="11"/>
    </row>
    <row r="1148" s="70" customFormat="true" ht="15" hidden="false" customHeight="true" outlineLevel="0" collapsed="false">
      <c r="A1148" s="1457"/>
      <c r="B1148" s="1458"/>
      <c r="C1148" s="1458"/>
      <c r="D1148" s="1458"/>
      <c r="E1148" s="1458"/>
      <c r="F1148" s="1459"/>
      <c r="G1148" s="1460"/>
      <c r="H1148" s="1461"/>
      <c r="I1148" s="1462"/>
      <c r="J1148" s="12"/>
      <c r="L1148" s="11"/>
      <c r="M1148" s="11"/>
      <c r="O1148" s="11"/>
      <c r="P1148" s="11"/>
      <c r="Q1148" s="11"/>
      <c r="R1148" s="11"/>
    </row>
    <row r="1149" s="70" customFormat="true" ht="15" hidden="false" customHeight="true" outlineLevel="0" collapsed="false">
      <c r="A1149" s="1463" t="s">
        <v>1731</v>
      </c>
      <c r="B1149" s="1463"/>
      <c r="C1149" s="1463"/>
      <c r="D1149" s="1463"/>
      <c r="E1149" s="1463"/>
      <c r="F1149" s="1464" t="n">
        <f aca="false">F1132+F1134+F1137+F1139+F1144+F1146</f>
        <v>149861.15</v>
      </c>
      <c r="G1149" s="1464" t="n">
        <f aca="false">G1132+G1134+G1137+G1139+G1144+G1146</f>
        <v>127633.33</v>
      </c>
      <c r="H1149" s="1464" t="n">
        <f aca="false">H1132+H1134+H1137+H1139+H1144+H1146</f>
        <v>0</v>
      </c>
      <c r="I1149" s="1465" t="n">
        <f aca="false">SUM(I1132,I1134,I1137,I1139,I1144,I1146)</f>
        <v>138747.24</v>
      </c>
      <c r="J1149" s="12"/>
      <c r="L1149" s="11"/>
      <c r="M1149" s="11"/>
      <c r="O1149" s="11"/>
      <c r="P1149" s="11"/>
      <c r="Q1149" s="11"/>
      <c r="R1149" s="11"/>
    </row>
    <row r="1150" s="70" customFormat="true" ht="168" hidden="false" customHeight="true" outlineLevel="0" collapsed="false">
      <c r="A1150" s="1466" t="s">
        <v>1732</v>
      </c>
      <c r="B1150" s="1466"/>
      <c r="C1150" s="1466"/>
      <c r="D1150" s="1466"/>
      <c r="E1150" s="1466"/>
      <c r="F1150" s="1467"/>
      <c r="G1150" s="1468"/>
      <c r="H1150" s="1469"/>
      <c r="I1150" s="1470"/>
      <c r="J1150" s="12"/>
      <c r="L1150" s="11"/>
      <c r="M1150" s="11"/>
      <c r="O1150" s="11"/>
      <c r="P1150" s="11"/>
      <c r="Q1150" s="11"/>
      <c r="R1150" s="11"/>
    </row>
    <row r="1151" s="70" customFormat="true" ht="15" hidden="false" customHeight="true" outlineLevel="0" collapsed="false">
      <c r="A1151" s="1435" t="s">
        <v>1733</v>
      </c>
      <c r="B1151" s="1435"/>
      <c r="C1151" s="1435"/>
      <c r="D1151" s="1435"/>
      <c r="E1151" s="1435"/>
      <c r="F1151" s="1471" t="n">
        <f aca="false">F1132+F1137+F1141+F1144</f>
        <v>100122.27</v>
      </c>
      <c r="G1151" s="1471" t="n">
        <f aca="false">G1132+G1137+G1141+G1144</f>
        <v>81640.32</v>
      </c>
      <c r="H1151" s="1471" t="n">
        <f aca="false">H1132+H1137+H1141+H1144</f>
        <v>0</v>
      </c>
      <c r="I1151" s="1465" t="n">
        <f aca="false">SUM(I1132,I1137,I1141,I1144)</f>
        <v>90881.295</v>
      </c>
      <c r="J1151" s="12"/>
      <c r="L1151" s="11"/>
      <c r="M1151" s="11"/>
      <c r="O1151" s="11"/>
      <c r="P1151" s="11"/>
      <c r="Q1151" s="11"/>
      <c r="R1151" s="11"/>
    </row>
    <row r="1152" s="70" customFormat="true" ht="90.75" hidden="false" customHeight="true" outlineLevel="0" collapsed="false">
      <c r="A1152" s="1472" t="s">
        <v>1734</v>
      </c>
      <c r="B1152" s="1472"/>
      <c r="C1152" s="1472"/>
      <c r="D1152" s="1472"/>
      <c r="E1152" s="1472"/>
      <c r="F1152" s="1453"/>
      <c r="G1152" s="1454"/>
      <c r="H1152" s="1455"/>
      <c r="I1152" s="1456"/>
      <c r="J1152" s="12"/>
      <c r="L1152" s="11"/>
      <c r="M1152" s="11"/>
      <c r="O1152" s="11"/>
      <c r="P1152" s="11"/>
      <c r="Q1152" s="11"/>
      <c r="R1152" s="11"/>
    </row>
    <row r="1153" s="70" customFormat="true" ht="15" hidden="false" customHeight="true" outlineLevel="0" collapsed="false">
      <c r="A1153" s="556"/>
      <c r="B1153" s="556"/>
      <c r="C1153" s="556"/>
      <c r="D1153" s="556"/>
      <c r="E1153" s="556"/>
      <c r="F1153" s="1473"/>
      <c r="G1153" s="1474"/>
      <c r="H1153" s="1475"/>
      <c r="I1153" s="1476"/>
      <c r="J1153" s="12"/>
      <c r="L1153" s="11"/>
      <c r="M1153" s="11"/>
      <c r="O1153" s="11"/>
      <c r="P1153" s="11"/>
      <c r="Q1153" s="11"/>
      <c r="R1153" s="11"/>
    </row>
    <row r="1154" s="70" customFormat="true" ht="15" hidden="false" customHeight="true" outlineLevel="0" collapsed="false">
      <c r="A1154" s="1477" t="s">
        <v>828</v>
      </c>
      <c r="B1154" s="1477"/>
      <c r="C1154" s="1477"/>
      <c r="D1154" s="1477"/>
      <c r="E1154" s="1477"/>
      <c r="F1154" s="1426" t="n">
        <v>26067</v>
      </c>
      <c r="G1154" s="1427" t="n">
        <v>29397</v>
      </c>
      <c r="H1154" s="1428"/>
      <c r="I1154" s="1429" t="n">
        <f aca="false">AVERAGE(F1154,G1154,H1154)</f>
        <v>27732</v>
      </c>
      <c r="J1154" s="12"/>
      <c r="L1154" s="11"/>
      <c r="M1154" s="11"/>
      <c r="O1154" s="11"/>
      <c r="P1154" s="11"/>
      <c r="Q1154" s="11"/>
      <c r="R1154" s="11"/>
    </row>
    <row r="1155" s="70" customFormat="true" ht="15" hidden="false" customHeight="true" outlineLevel="0" collapsed="false">
      <c r="A1155" s="1452" t="s">
        <v>830</v>
      </c>
      <c r="B1155" s="1452"/>
      <c r="C1155" s="1452"/>
      <c r="D1155" s="1452"/>
      <c r="E1155" s="1452"/>
      <c r="F1155" s="1453"/>
      <c r="G1155" s="1454"/>
      <c r="H1155" s="1455"/>
      <c r="I1155" s="1456"/>
      <c r="J1155" s="12"/>
      <c r="L1155" s="11"/>
      <c r="M1155" s="11"/>
      <c r="O1155" s="11"/>
      <c r="P1155" s="11"/>
      <c r="Q1155" s="11"/>
      <c r="R1155" s="11"/>
    </row>
    <row r="1156" s="70" customFormat="true" ht="15" hidden="false" customHeight="true" outlineLevel="0" collapsed="false">
      <c r="A1156" s="369"/>
      <c r="B1156" s="369"/>
      <c r="C1156" s="369"/>
      <c r="D1156" s="314"/>
      <c r="E1156" s="314"/>
      <c r="F1156" s="314"/>
      <c r="G1156" s="314"/>
      <c r="H1156" s="1419"/>
      <c r="I1156" s="11"/>
      <c r="J1156" s="12"/>
      <c r="L1156" s="11"/>
      <c r="M1156" s="11"/>
      <c r="O1156" s="11"/>
      <c r="P1156" s="11"/>
      <c r="Q1156" s="11"/>
      <c r="R1156" s="11"/>
    </row>
    <row r="1157" s="70" customFormat="true" ht="15" hidden="false" customHeight="true" outlineLevel="0" collapsed="false">
      <c r="A1157" s="369"/>
      <c r="B1157" s="369"/>
      <c r="C1157" s="369"/>
      <c r="D1157" s="314"/>
      <c r="E1157" s="314"/>
      <c r="F1157" s="314"/>
      <c r="G1157" s="314"/>
      <c r="H1157" s="1419"/>
      <c r="I1157" s="11"/>
      <c r="J1157" s="12"/>
      <c r="L1157" s="11"/>
      <c r="M1157" s="11"/>
      <c r="O1157" s="11"/>
      <c r="P1157" s="11"/>
      <c r="Q1157" s="11"/>
      <c r="R1157" s="11"/>
    </row>
    <row r="1158" s="70" customFormat="true" ht="15" hidden="false" customHeight="true" outlineLevel="0" collapsed="false">
      <c r="A1158" s="1048" t="s">
        <v>1735</v>
      </c>
      <c r="B1158" s="1048"/>
      <c r="C1158" s="1048"/>
      <c r="D1158" s="1048"/>
      <c r="E1158" s="1048"/>
      <c r="F1158" s="1048"/>
      <c r="G1158" s="1048"/>
      <c r="H1158" s="1419"/>
      <c r="I1158" s="11"/>
      <c r="J1158" s="12"/>
      <c r="L1158" s="11" t="s">
        <v>1729</v>
      </c>
      <c r="M1158" s="11"/>
      <c r="O1158" s="11"/>
      <c r="P1158" s="11"/>
      <c r="Q1158" s="11"/>
      <c r="R1158" s="11"/>
    </row>
    <row r="1159" s="70" customFormat="true" ht="15" hidden="false" customHeight="true" outlineLevel="0" collapsed="false">
      <c r="A1159" s="1048"/>
      <c r="B1159" s="1048"/>
      <c r="C1159" s="1048"/>
      <c r="D1159" s="1048"/>
      <c r="E1159" s="1048"/>
      <c r="F1159" s="1048"/>
      <c r="G1159" s="1048"/>
      <c r="H1159" s="1419"/>
      <c r="I1159" s="11"/>
      <c r="J1159" s="12"/>
      <c r="L1159" s="11"/>
      <c r="M1159" s="11"/>
      <c r="O1159" s="11"/>
      <c r="P1159" s="11"/>
      <c r="Q1159" s="11"/>
      <c r="R1159" s="11"/>
    </row>
    <row r="1160" s="70" customFormat="true" ht="15" hidden="false" customHeight="true" outlineLevel="0" collapsed="false">
      <c r="A1160" s="1420" t="s">
        <v>807</v>
      </c>
      <c r="B1160" s="1420"/>
      <c r="C1160" s="1420"/>
      <c r="D1160" s="1420"/>
      <c r="E1160" s="1420"/>
      <c r="F1160" s="1421" t="s">
        <v>1730</v>
      </c>
      <c r="G1160" s="1421"/>
      <c r="H1160" s="1421"/>
      <c r="I1160" s="901" t="s">
        <v>1379</v>
      </c>
      <c r="J1160" s="12"/>
      <c r="L1160" s="11"/>
      <c r="M1160" s="11"/>
      <c r="O1160" s="11"/>
      <c r="P1160" s="11"/>
      <c r="Q1160" s="11"/>
      <c r="R1160" s="11"/>
    </row>
    <row r="1161" s="70" customFormat="true" ht="15" hidden="false" customHeight="false" outlineLevel="0" collapsed="false">
      <c r="A1161" s="1420"/>
      <c r="B1161" s="1420"/>
      <c r="C1161" s="1420"/>
      <c r="D1161" s="1420"/>
      <c r="E1161" s="1420"/>
      <c r="F1161" s="1422" t="s">
        <v>395</v>
      </c>
      <c r="G1161" s="1423" t="s">
        <v>809</v>
      </c>
      <c r="H1161" s="1424" t="s">
        <v>810</v>
      </c>
      <c r="I1161" s="901"/>
      <c r="J1161" s="12"/>
      <c r="L1161" s="11"/>
      <c r="M1161" s="11"/>
      <c r="O1161" s="11"/>
      <c r="P1161" s="11"/>
      <c r="Q1161" s="11"/>
      <c r="R1161" s="11"/>
    </row>
    <row r="1162" s="70" customFormat="true" ht="15" hidden="false" customHeight="true" outlineLevel="0" collapsed="false">
      <c r="A1162" s="1478" t="s">
        <v>832</v>
      </c>
      <c r="B1162" s="1478"/>
      <c r="C1162" s="1478"/>
      <c r="D1162" s="1478"/>
      <c r="E1162" s="1478"/>
      <c r="F1162" s="1479"/>
      <c r="G1162" s="1480" t="n">
        <v>164363</v>
      </c>
      <c r="H1162" s="1481"/>
      <c r="I1162" s="1482" t="n">
        <f aca="false">AVERAGE(F1162,G1162,H1162)</f>
        <v>164363</v>
      </c>
      <c r="J1162" s="12"/>
      <c r="L1162" s="11"/>
      <c r="M1162" s="11"/>
      <c r="O1162" s="11"/>
      <c r="P1162" s="11"/>
      <c r="Q1162" s="11"/>
      <c r="R1162" s="11"/>
    </row>
    <row r="1163" s="70" customFormat="true" ht="47.25" hidden="false" customHeight="true" outlineLevel="0" collapsed="false">
      <c r="A1163" s="1483" t="s">
        <v>834</v>
      </c>
      <c r="B1163" s="1483"/>
      <c r="C1163" s="1483"/>
      <c r="D1163" s="1483"/>
      <c r="E1163" s="1483"/>
      <c r="F1163" s="1484"/>
      <c r="G1163" s="1485"/>
      <c r="H1163" s="1486"/>
      <c r="I1163" s="1487"/>
      <c r="J1163" s="12"/>
      <c r="L1163" s="11"/>
      <c r="M1163" s="11"/>
      <c r="O1163" s="11"/>
      <c r="P1163" s="11"/>
      <c r="Q1163" s="11"/>
      <c r="R1163" s="11"/>
    </row>
    <row r="1164" s="70" customFormat="true" ht="15" hidden="false" customHeight="true" outlineLevel="0" collapsed="false">
      <c r="A1164" s="1488" t="s">
        <v>835</v>
      </c>
      <c r="B1164" s="1488"/>
      <c r="C1164" s="1488"/>
      <c r="D1164" s="1488"/>
      <c r="E1164" s="1488"/>
      <c r="F1164" s="1426" t="n">
        <v>20</v>
      </c>
      <c r="G1164" s="1427" t="n">
        <v>10538</v>
      </c>
      <c r="H1164" s="1428"/>
      <c r="I1164" s="1429" t="n">
        <f aca="false">AVERAGE(F1164,G1164,H1164)</f>
        <v>5279</v>
      </c>
      <c r="J1164" s="12"/>
      <c r="L1164" s="11"/>
      <c r="M1164" s="11"/>
      <c r="O1164" s="11"/>
      <c r="P1164" s="11"/>
      <c r="Q1164" s="11"/>
      <c r="R1164" s="11"/>
    </row>
    <row r="1165" s="70" customFormat="true" ht="15" hidden="false" customHeight="true" outlineLevel="0" collapsed="false">
      <c r="A1165" s="1489" t="s">
        <v>836</v>
      </c>
      <c r="B1165" s="1489"/>
      <c r="C1165" s="1489"/>
      <c r="D1165" s="1489"/>
      <c r="E1165" s="1489"/>
      <c r="F1165" s="1436" t="n">
        <v>0</v>
      </c>
      <c r="G1165" s="1437" t="n">
        <v>0</v>
      </c>
      <c r="H1165" s="1438"/>
      <c r="I1165" s="1439" t="n">
        <f aca="false">AVERAGE(F1165,G1165,H1165)</f>
        <v>0</v>
      </c>
      <c r="J1165" s="12"/>
      <c r="L1165" s="11"/>
      <c r="M1165" s="11"/>
      <c r="O1165" s="11"/>
      <c r="P1165" s="11"/>
      <c r="Q1165" s="11"/>
      <c r="R1165" s="11"/>
    </row>
    <row r="1166" s="70" customFormat="true" ht="15" hidden="false" customHeight="true" outlineLevel="0" collapsed="false">
      <c r="A1166" s="1489" t="s">
        <v>837</v>
      </c>
      <c r="B1166" s="1489"/>
      <c r="C1166" s="1489"/>
      <c r="D1166" s="1489"/>
      <c r="E1166" s="1489"/>
      <c r="F1166" s="1436" t="n">
        <v>0</v>
      </c>
      <c r="G1166" s="1437" t="n">
        <v>0</v>
      </c>
      <c r="H1166" s="1438"/>
      <c r="I1166" s="1439" t="n">
        <f aca="false">AVERAGE(F1166,G1166,H1166)</f>
        <v>0</v>
      </c>
      <c r="J1166" s="12"/>
      <c r="L1166" s="11"/>
      <c r="M1166" s="11"/>
      <c r="O1166" s="11"/>
      <c r="P1166" s="11"/>
      <c r="Q1166" s="11"/>
      <c r="R1166" s="11"/>
    </row>
    <row r="1167" s="70" customFormat="true" ht="15" hidden="false" customHeight="true" outlineLevel="0" collapsed="false">
      <c r="A1167" s="1452" t="s">
        <v>838</v>
      </c>
      <c r="B1167" s="1452"/>
      <c r="C1167" s="1452"/>
      <c r="D1167" s="1452"/>
      <c r="E1167" s="1452"/>
      <c r="F1167" s="1453"/>
      <c r="G1167" s="1454"/>
      <c r="H1167" s="1455"/>
      <c r="I1167" s="1456"/>
      <c r="J1167" s="12"/>
      <c r="L1167" s="11"/>
      <c r="M1167" s="11"/>
      <c r="O1167" s="11"/>
      <c r="P1167" s="11"/>
      <c r="Q1167" s="11"/>
      <c r="R1167" s="11"/>
    </row>
    <row r="1168" s="70" customFormat="true" ht="15" hidden="false" customHeight="true" outlineLevel="0" collapsed="false">
      <c r="A1168" s="1490" t="s">
        <v>1736</v>
      </c>
      <c r="B1168" s="1490"/>
      <c r="C1168" s="1490"/>
      <c r="D1168" s="1490"/>
      <c r="E1168" s="1490"/>
      <c r="F1168" s="1491" t="n">
        <f aca="false">F1162+F1164+F1165-F1166</f>
        <v>20</v>
      </c>
      <c r="G1168" s="1491" t="n">
        <f aca="false">G1162+G1164+G1165-G1166</f>
        <v>174901</v>
      </c>
      <c r="H1168" s="1491" t="n">
        <f aca="false">H1162+H1164+H1165-H1166</f>
        <v>0</v>
      </c>
      <c r="I1168" s="1492" t="n">
        <f aca="false">I1162+I1164+I1165-I1166</f>
        <v>169642</v>
      </c>
      <c r="J1168" s="12"/>
      <c r="L1168" s="11"/>
      <c r="M1168" s="11"/>
      <c r="O1168" s="11"/>
      <c r="P1168" s="11"/>
      <c r="Q1168" s="11"/>
      <c r="R1168" s="11"/>
    </row>
    <row r="1169" s="70" customFormat="true" ht="15" hidden="false" customHeight="true" outlineLevel="0" collapsed="false">
      <c r="A1169" s="556"/>
      <c r="B1169" s="556"/>
      <c r="C1169" s="556"/>
      <c r="D1169" s="556"/>
      <c r="E1169" s="556"/>
      <c r="F1169" s="1473"/>
      <c r="G1169" s="1474"/>
      <c r="H1169" s="1493"/>
      <c r="I1169" s="1476"/>
      <c r="J1169" s="12"/>
      <c r="L1169" s="11"/>
      <c r="M1169" s="11"/>
      <c r="O1169" s="11"/>
      <c r="P1169" s="11"/>
      <c r="Q1169" s="11"/>
      <c r="R1169" s="11"/>
    </row>
    <row r="1170" s="70" customFormat="true" ht="15" hidden="false" customHeight="true" outlineLevel="0" collapsed="false">
      <c r="A1170" s="1488" t="s">
        <v>839</v>
      </c>
      <c r="B1170" s="1488"/>
      <c r="C1170" s="1488"/>
      <c r="D1170" s="1488"/>
      <c r="E1170" s="1488"/>
      <c r="F1170" s="1426" t="n">
        <v>30556.41</v>
      </c>
      <c r="G1170" s="1427" t="n">
        <v>30401</v>
      </c>
      <c r="H1170" s="1428"/>
      <c r="I1170" s="1429" t="n">
        <f aca="false">AVERAGE(F1170,G1170,H1170)</f>
        <v>30478.705</v>
      </c>
      <c r="J1170" s="12"/>
      <c r="L1170" s="11"/>
      <c r="M1170" s="11"/>
      <c r="O1170" s="11"/>
      <c r="P1170" s="11"/>
      <c r="Q1170" s="11"/>
      <c r="R1170" s="11"/>
    </row>
    <row r="1171" s="70" customFormat="true" ht="19.5" hidden="false" customHeight="true" outlineLevel="0" collapsed="false">
      <c r="A1171" s="1452" t="s">
        <v>841</v>
      </c>
      <c r="B1171" s="1452"/>
      <c r="C1171" s="1452"/>
      <c r="D1171" s="1452"/>
      <c r="E1171" s="1452"/>
      <c r="F1171" s="1453"/>
      <c r="G1171" s="1454"/>
      <c r="H1171" s="1455"/>
      <c r="I1171" s="1456"/>
      <c r="J1171" s="12"/>
      <c r="L1171" s="11"/>
      <c r="M1171" s="11"/>
      <c r="O1171" s="11"/>
      <c r="P1171" s="11"/>
      <c r="Q1171" s="11"/>
      <c r="R1171" s="11"/>
    </row>
    <row r="1172" s="70" customFormat="true" ht="15" hidden="false" customHeight="true" outlineLevel="0" collapsed="false">
      <c r="A1172" s="1494" t="s">
        <v>842</v>
      </c>
      <c r="B1172" s="1494"/>
      <c r="C1172" s="1494"/>
      <c r="D1172" s="1494"/>
      <c r="E1172" s="1494"/>
      <c r="F1172" s="1479" t="n">
        <v>47984</v>
      </c>
      <c r="G1172" s="1480" t="n">
        <v>69276</v>
      </c>
      <c r="H1172" s="1481"/>
      <c r="I1172" s="1482" t="n">
        <f aca="false">AVERAGE(F1172,G1172,H1172)</f>
        <v>58630</v>
      </c>
      <c r="J1172" s="12"/>
      <c r="L1172" s="11"/>
      <c r="M1172" s="11"/>
      <c r="O1172" s="11"/>
      <c r="P1172" s="11"/>
      <c r="Q1172" s="11"/>
      <c r="R1172" s="11"/>
    </row>
    <row r="1173" s="70" customFormat="true" ht="78.75" hidden="false" customHeight="true" outlineLevel="0" collapsed="false">
      <c r="A1173" s="1452" t="s">
        <v>844</v>
      </c>
      <c r="B1173" s="1452"/>
      <c r="C1173" s="1452"/>
      <c r="D1173" s="1452"/>
      <c r="E1173" s="1452"/>
      <c r="F1173" s="1453"/>
      <c r="G1173" s="1454"/>
      <c r="H1173" s="1455"/>
      <c r="I1173" s="1456"/>
      <c r="J1173" s="12"/>
      <c r="L1173" s="11"/>
      <c r="M1173" s="11"/>
      <c r="O1173" s="11"/>
      <c r="P1173" s="11"/>
      <c r="Q1173" s="11"/>
      <c r="R1173" s="11"/>
    </row>
    <row r="1174" s="70" customFormat="true" ht="15" hidden="false" customHeight="true" outlineLevel="0" collapsed="false">
      <c r="A1174" s="1495"/>
      <c r="B1174" s="1496"/>
      <c r="C1174" s="1496"/>
      <c r="D1174" s="1496"/>
      <c r="E1174" s="1496"/>
      <c r="F1174" s="1496"/>
      <c r="G1174" s="1496"/>
      <c r="H1174" s="1419"/>
      <c r="I1174" s="11"/>
      <c r="J1174" s="12"/>
      <c r="L1174" s="11"/>
      <c r="M1174" s="11"/>
      <c r="O1174" s="11"/>
      <c r="P1174" s="11"/>
      <c r="Q1174" s="11"/>
      <c r="R1174" s="11"/>
    </row>
    <row r="1175" s="70" customFormat="true" ht="15" hidden="false" customHeight="true" outlineLevel="0" collapsed="false">
      <c r="B1175" s="73"/>
      <c r="C1175" s="73"/>
      <c r="H1175" s="1419"/>
      <c r="I1175" s="11"/>
      <c r="J1175" s="12"/>
      <c r="L1175" s="11"/>
      <c r="M1175" s="11"/>
      <c r="O1175" s="11"/>
      <c r="P1175" s="11"/>
      <c r="Q1175" s="11"/>
      <c r="R1175" s="11"/>
    </row>
    <row r="1176" s="70" customFormat="true" ht="15" hidden="false" customHeight="true" outlineLevel="0" collapsed="false">
      <c r="A1176" s="1048" t="s">
        <v>1737</v>
      </c>
      <c r="B1176" s="1048"/>
      <c r="C1176" s="1048"/>
      <c r="D1176" s="1048"/>
      <c r="E1176" s="1048"/>
      <c r="F1176" s="1048"/>
      <c r="G1176" s="1048"/>
      <c r="H1176" s="1419"/>
      <c r="I1176" s="11"/>
      <c r="J1176" s="12"/>
      <c r="L1176" s="11" t="s">
        <v>1703</v>
      </c>
      <c r="M1176" s="11"/>
      <c r="O1176" s="11"/>
      <c r="P1176" s="11"/>
      <c r="Q1176" s="11"/>
      <c r="R1176" s="11"/>
    </row>
    <row r="1177" s="70" customFormat="true" ht="15" hidden="false" customHeight="true" outlineLevel="0" collapsed="false">
      <c r="A1177" s="1048"/>
      <c r="B1177" s="1048"/>
      <c r="C1177" s="1048"/>
      <c r="D1177" s="1048"/>
      <c r="E1177" s="1048"/>
      <c r="F1177" s="1048"/>
      <c r="G1177" s="1048"/>
      <c r="H1177" s="1419"/>
      <c r="I1177" s="11"/>
      <c r="J1177" s="12"/>
      <c r="L1177" s="11"/>
      <c r="M1177" s="11"/>
      <c r="O1177" s="11"/>
      <c r="P1177" s="11"/>
      <c r="Q1177" s="11"/>
      <c r="R1177" s="11"/>
    </row>
    <row r="1178" s="70" customFormat="true" ht="15" hidden="false" customHeight="true" outlineLevel="0" collapsed="false">
      <c r="A1178" s="1497" t="s">
        <v>807</v>
      </c>
      <c r="B1178" s="1497"/>
      <c r="C1178" s="1497"/>
      <c r="D1178" s="1497"/>
      <c r="E1178" s="1497"/>
      <c r="F1178" s="1421" t="s">
        <v>1730</v>
      </c>
      <c r="G1178" s="1421"/>
      <c r="H1178" s="1421"/>
      <c r="I1178" s="1498" t="s">
        <v>1379</v>
      </c>
      <c r="J1178" s="12"/>
      <c r="L1178" s="11"/>
      <c r="M1178" s="11"/>
      <c r="O1178" s="11"/>
      <c r="P1178" s="11"/>
      <c r="Q1178" s="11"/>
      <c r="R1178" s="11"/>
    </row>
    <row r="1179" s="70" customFormat="true" ht="15" hidden="false" customHeight="true" outlineLevel="0" collapsed="false">
      <c r="A1179" s="1497"/>
      <c r="B1179" s="1497"/>
      <c r="C1179" s="1497"/>
      <c r="D1179" s="1497"/>
      <c r="E1179" s="1497"/>
      <c r="F1179" s="1499" t="s">
        <v>395</v>
      </c>
      <c r="G1179" s="1500" t="s">
        <v>809</v>
      </c>
      <c r="H1179" s="1501" t="s">
        <v>810</v>
      </c>
      <c r="I1179" s="1498"/>
      <c r="J1179" s="12"/>
      <c r="L1179" s="11"/>
      <c r="M1179" s="11"/>
      <c r="O1179" s="11"/>
      <c r="P1179" s="11"/>
      <c r="Q1179" s="11"/>
      <c r="R1179" s="11"/>
    </row>
    <row r="1180" s="70" customFormat="true" ht="15" hidden="false" customHeight="true" outlineLevel="0" collapsed="false">
      <c r="A1180" s="1502" t="s">
        <v>1738</v>
      </c>
      <c r="B1180" s="1502"/>
      <c r="C1180" s="1502"/>
      <c r="D1180" s="1502"/>
      <c r="E1180" s="1502"/>
      <c r="F1180" s="1426" t="n">
        <v>247411</v>
      </c>
      <c r="G1180" s="1427" t="n">
        <v>227465</v>
      </c>
      <c r="H1180" s="1428"/>
      <c r="I1180" s="1429" t="n">
        <f aca="false">AVERAGE(F1180,G1180,H1180)</f>
        <v>237438</v>
      </c>
      <c r="J1180" s="12"/>
      <c r="L1180" s="11"/>
      <c r="M1180" s="11"/>
      <c r="O1180" s="11"/>
      <c r="P1180" s="11"/>
      <c r="Q1180" s="11"/>
      <c r="R1180" s="11"/>
    </row>
    <row r="1181" s="70" customFormat="true" ht="135" hidden="false" customHeight="true" outlineLevel="0" collapsed="false">
      <c r="A1181" s="1452" t="s">
        <v>1739</v>
      </c>
      <c r="B1181" s="1452"/>
      <c r="C1181" s="1452"/>
      <c r="D1181" s="1452"/>
      <c r="E1181" s="1452"/>
      <c r="F1181" s="1453"/>
      <c r="G1181" s="1454"/>
      <c r="H1181" s="1455"/>
      <c r="I1181" s="1456"/>
      <c r="J1181" s="12"/>
      <c r="L1181" s="11"/>
      <c r="M1181" s="11"/>
      <c r="O1181" s="11"/>
      <c r="P1181" s="11"/>
      <c r="Q1181" s="11"/>
      <c r="R1181" s="11"/>
    </row>
    <row r="1182" s="70" customFormat="true" ht="15" hidden="false" customHeight="true" outlineLevel="0" collapsed="false">
      <c r="A1182" s="1503" t="s">
        <v>1740</v>
      </c>
      <c r="B1182" s="1503"/>
      <c r="C1182" s="1503"/>
      <c r="D1182" s="1503"/>
      <c r="E1182" s="1503"/>
      <c r="F1182" s="1426" t="n">
        <f aca="false">2713.27+29353.76</f>
        <v>32067.03</v>
      </c>
      <c r="G1182" s="1427"/>
      <c r="H1182" s="1428"/>
      <c r="I1182" s="1429" t="n">
        <f aca="false">AVERAGE(F1182,G1182,H1182)</f>
        <v>32067.03</v>
      </c>
      <c r="J1182" s="12"/>
      <c r="L1182" s="11"/>
      <c r="M1182" s="11"/>
      <c r="O1182" s="11"/>
      <c r="P1182" s="11"/>
      <c r="Q1182" s="11"/>
      <c r="R1182" s="11"/>
    </row>
    <row r="1183" s="70" customFormat="true" ht="47.25" hidden="false" customHeight="true" outlineLevel="0" collapsed="false">
      <c r="A1183" s="1452" t="s">
        <v>1741</v>
      </c>
      <c r="B1183" s="1452"/>
      <c r="C1183" s="1452"/>
      <c r="D1183" s="1452"/>
      <c r="E1183" s="1452"/>
      <c r="F1183" s="1453"/>
      <c r="G1183" s="1454"/>
      <c r="H1183" s="1455"/>
      <c r="I1183" s="1456"/>
      <c r="J1183" s="12"/>
      <c r="L1183" s="11"/>
      <c r="M1183" s="11"/>
      <c r="O1183" s="11"/>
      <c r="P1183" s="11"/>
      <c r="Q1183" s="11"/>
      <c r="R1183" s="11"/>
    </row>
    <row r="1184" s="70" customFormat="true" ht="15" hidden="false" customHeight="true" outlineLevel="0" collapsed="false">
      <c r="A1184" s="1504" t="s">
        <v>852</v>
      </c>
      <c r="B1184" s="1504"/>
      <c r="C1184" s="1504"/>
      <c r="D1184" s="1504"/>
      <c r="E1184" s="1504"/>
      <c r="F1184" s="1479" t="n">
        <v>36721</v>
      </c>
      <c r="G1184" s="1480" t="n">
        <v>53162</v>
      </c>
      <c r="H1184" s="1481"/>
      <c r="I1184" s="1482" t="n">
        <f aca="false">AVERAGE(F1184,G1184,H1184)</f>
        <v>44941.5</v>
      </c>
      <c r="J1184" s="12"/>
      <c r="L1184" s="11"/>
      <c r="M1184" s="11"/>
      <c r="O1184" s="11"/>
      <c r="P1184" s="11"/>
      <c r="Q1184" s="11"/>
      <c r="R1184" s="11"/>
    </row>
    <row r="1185" s="70" customFormat="true" ht="15" hidden="false" customHeight="true" outlineLevel="0" collapsed="false">
      <c r="A1185" s="1452" t="s">
        <v>1742</v>
      </c>
      <c r="B1185" s="1452"/>
      <c r="C1185" s="1452"/>
      <c r="D1185" s="1452"/>
      <c r="E1185" s="1452"/>
      <c r="F1185" s="1453"/>
      <c r="G1185" s="1454"/>
      <c r="H1185" s="1455"/>
      <c r="I1185" s="1456"/>
      <c r="J1185" s="12"/>
      <c r="L1185" s="11"/>
      <c r="M1185" s="11"/>
      <c r="O1185" s="11"/>
      <c r="P1185" s="11"/>
      <c r="Q1185" s="11"/>
      <c r="R1185" s="11"/>
    </row>
    <row r="1186" s="70" customFormat="true" ht="15" hidden="false" customHeight="true" outlineLevel="0" collapsed="false">
      <c r="B1186" s="73"/>
      <c r="C1186" s="73"/>
      <c r="H1186" s="1419"/>
      <c r="I1186" s="11"/>
      <c r="J1186" s="12"/>
      <c r="L1186" s="11"/>
      <c r="M1186" s="11"/>
      <c r="O1186" s="11"/>
      <c r="P1186" s="11"/>
      <c r="Q1186" s="11"/>
      <c r="R1186" s="11"/>
    </row>
    <row r="1187" s="70" customFormat="true" ht="15" hidden="false" customHeight="true" outlineLevel="0" collapsed="false">
      <c r="B1187" s="73"/>
      <c r="C1187" s="73"/>
      <c r="H1187" s="1419"/>
      <c r="I1187" s="11"/>
      <c r="J1187" s="12"/>
      <c r="L1187" s="11"/>
      <c r="M1187" s="11"/>
      <c r="O1187" s="11"/>
      <c r="P1187" s="11"/>
      <c r="Q1187" s="11"/>
      <c r="R1187" s="11"/>
    </row>
    <row r="1188" s="70" customFormat="true" ht="15" hidden="false" customHeight="true" outlineLevel="0" collapsed="false">
      <c r="A1188" s="1048" t="s">
        <v>1743</v>
      </c>
      <c r="B1188" s="1048"/>
      <c r="C1188" s="1048"/>
      <c r="D1188" s="1048"/>
      <c r="E1188" s="1048"/>
      <c r="F1188" s="1048"/>
      <c r="G1188" s="1048"/>
      <c r="H1188" s="1419"/>
      <c r="I1188" s="11"/>
      <c r="J1188" s="12"/>
      <c r="L1188" s="11" t="s">
        <v>1703</v>
      </c>
      <c r="M1188" s="11"/>
      <c r="O1188" s="11"/>
      <c r="P1188" s="11"/>
      <c r="Q1188" s="11"/>
      <c r="R1188" s="11"/>
    </row>
    <row r="1189" s="70" customFormat="true" ht="15" hidden="false" customHeight="true" outlineLevel="0" collapsed="false">
      <c r="A1189" s="1048"/>
      <c r="B1189" s="1048"/>
      <c r="C1189" s="1048"/>
      <c r="D1189" s="1048"/>
      <c r="E1189" s="1048"/>
      <c r="F1189" s="1048"/>
      <c r="G1189" s="1048"/>
      <c r="H1189" s="1419"/>
      <c r="I1189" s="11"/>
      <c r="J1189" s="12"/>
      <c r="L1189" s="11"/>
      <c r="M1189" s="11"/>
      <c r="O1189" s="11"/>
      <c r="P1189" s="11"/>
      <c r="Q1189" s="11"/>
      <c r="R1189" s="11"/>
    </row>
    <row r="1190" s="70" customFormat="true" ht="15" hidden="false" customHeight="true" outlineLevel="0" collapsed="false">
      <c r="A1190" s="1497" t="s">
        <v>807</v>
      </c>
      <c r="B1190" s="1497"/>
      <c r="C1190" s="1497"/>
      <c r="D1190" s="1497"/>
      <c r="E1190" s="1497"/>
      <c r="F1190" s="1421" t="s">
        <v>1730</v>
      </c>
      <c r="G1190" s="1421"/>
      <c r="H1190" s="1421"/>
      <c r="I1190" s="1498" t="s">
        <v>1379</v>
      </c>
      <c r="J1190" s="12"/>
      <c r="L1190" s="11"/>
      <c r="M1190" s="11"/>
      <c r="O1190" s="11"/>
      <c r="P1190" s="11"/>
      <c r="Q1190" s="11"/>
      <c r="R1190" s="11"/>
    </row>
    <row r="1191" s="70" customFormat="true" ht="15" hidden="false" customHeight="false" outlineLevel="0" collapsed="false">
      <c r="A1191" s="1497"/>
      <c r="B1191" s="1497"/>
      <c r="C1191" s="1497"/>
      <c r="D1191" s="1497"/>
      <c r="E1191" s="1497"/>
      <c r="F1191" s="1499" t="s">
        <v>395</v>
      </c>
      <c r="G1191" s="1500" t="s">
        <v>809</v>
      </c>
      <c r="H1191" s="1501" t="s">
        <v>810</v>
      </c>
      <c r="I1191" s="1498"/>
      <c r="J1191" s="12"/>
      <c r="L1191" s="11"/>
      <c r="M1191" s="11"/>
      <c r="O1191" s="11"/>
      <c r="P1191" s="11"/>
      <c r="Q1191" s="11"/>
      <c r="R1191" s="11"/>
    </row>
    <row r="1192" s="70" customFormat="true" ht="15" hidden="false" customHeight="true" outlineLevel="0" collapsed="false">
      <c r="A1192" s="1505" t="s">
        <v>1744</v>
      </c>
      <c r="B1192" s="1505"/>
      <c r="C1192" s="1505"/>
      <c r="D1192" s="1505"/>
      <c r="E1192" s="1505"/>
      <c r="F1192" s="1506" t="n">
        <v>584527</v>
      </c>
      <c r="G1192" s="1507" t="n">
        <v>553510</v>
      </c>
      <c r="H1192" s="1508"/>
      <c r="I1192" s="1492" t="n">
        <f aca="false">AVERAGE(F1192,G1192,H1192)</f>
        <v>569018.5</v>
      </c>
      <c r="J1192" s="12"/>
      <c r="L1192" s="11"/>
      <c r="M1192" s="11"/>
      <c r="O1192" s="11"/>
      <c r="P1192" s="11"/>
      <c r="Q1192" s="11"/>
      <c r="R1192" s="11"/>
    </row>
    <row r="1193" s="70" customFormat="true" ht="15" hidden="false" customHeight="true" outlineLevel="0" collapsed="false">
      <c r="A1193" s="1452" t="s">
        <v>1745</v>
      </c>
      <c r="B1193" s="1452"/>
      <c r="C1193" s="1452"/>
      <c r="D1193" s="1452"/>
      <c r="E1193" s="1452"/>
      <c r="F1193" s="1453"/>
      <c r="G1193" s="1454"/>
      <c r="H1193" s="1455"/>
      <c r="I1193" s="1456"/>
      <c r="J1193" s="12"/>
      <c r="L1193" s="11"/>
      <c r="M1193" s="11"/>
      <c r="O1193" s="11"/>
      <c r="P1193" s="11"/>
      <c r="Q1193" s="11"/>
      <c r="R1193" s="11"/>
    </row>
    <row r="1194" s="70" customFormat="true" ht="15" hidden="false" customHeight="true" outlineLevel="0" collapsed="false">
      <c r="A1194" s="1509"/>
      <c r="B1194" s="1510"/>
      <c r="C1194" s="1510"/>
      <c r="D1194" s="1510"/>
      <c r="E1194" s="1510"/>
      <c r="F1194" s="1511"/>
      <c r="G1194" s="1512"/>
      <c r="H1194" s="1513"/>
      <c r="I1194" s="1476"/>
      <c r="J1194" s="12"/>
      <c r="L1194" s="11"/>
      <c r="M1194" s="11"/>
      <c r="O1194" s="11"/>
      <c r="P1194" s="11"/>
      <c r="Q1194" s="11"/>
      <c r="R1194" s="11"/>
    </row>
    <row r="1195" s="70" customFormat="true" ht="16" hidden="false" customHeight="true" outlineLevel="0" collapsed="false">
      <c r="A1195" s="1488" t="s">
        <v>858</v>
      </c>
      <c r="B1195" s="1488"/>
      <c r="C1195" s="1488"/>
      <c r="D1195" s="1488"/>
      <c r="E1195" s="1488"/>
      <c r="F1195" s="1426" t="n">
        <v>403019</v>
      </c>
      <c r="G1195" s="1427" t="n">
        <v>390408</v>
      </c>
      <c r="H1195" s="1428"/>
      <c r="I1195" s="1429" t="n">
        <f aca="false">AVERAGE(F1195,G1195,H1195)</f>
        <v>396713.5</v>
      </c>
      <c r="J1195" s="12"/>
      <c r="L1195" s="11"/>
      <c r="M1195" s="11"/>
      <c r="O1195" s="11"/>
      <c r="P1195" s="11"/>
      <c r="Q1195" s="11"/>
      <c r="R1195" s="11"/>
    </row>
    <row r="1196" s="70" customFormat="true" ht="17" hidden="false" customHeight="true" outlineLevel="0" collapsed="false">
      <c r="A1196" s="1514" t="s">
        <v>859</v>
      </c>
      <c r="B1196" s="1514"/>
      <c r="C1196" s="1514"/>
      <c r="D1196" s="1514"/>
      <c r="E1196" s="1514"/>
      <c r="F1196" s="1515" t="n">
        <v>0</v>
      </c>
      <c r="G1196" s="1516" t="n">
        <v>0</v>
      </c>
      <c r="H1196" s="1517"/>
      <c r="I1196" s="1518" t="n">
        <f aca="false">AVERAGE(F1196,G1196,H1196)</f>
        <v>0</v>
      </c>
      <c r="J1196" s="12"/>
      <c r="L1196" s="11"/>
      <c r="M1196" s="11"/>
      <c r="O1196" s="11"/>
      <c r="P1196" s="11"/>
      <c r="Q1196" s="11"/>
      <c r="R1196" s="11"/>
    </row>
    <row r="1197" s="70" customFormat="true" ht="16" hidden="false" customHeight="true" outlineLevel="0" collapsed="false">
      <c r="A1197" s="1478" t="s">
        <v>1746</v>
      </c>
      <c r="B1197" s="1478"/>
      <c r="C1197" s="1478"/>
      <c r="D1197" s="1478"/>
      <c r="E1197" s="1478"/>
      <c r="F1197" s="1519" t="n">
        <f aca="false">F1180+F1195+F1196</f>
        <v>650430</v>
      </c>
      <c r="G1197" s="1519" t="n">
        <f aca="false">G1180+G1195+G1196</f>
        <v>617873</v>
      </c>
      <c r="H1197" s="1520" t="n">
        <f aca="false">H1180+H1195+H1196</f>
        <v>0</v>
      </c>
      <c r="I1197" s="1429" t="n">
        <f aca="false">I1180+I1195+I1196</f>
        <v>634151.5</v>
      </c>
      <c r="J1197" s="12"/>
      <c r="L1197" s="11"/>
      <c r="M1197" s="11"/>
      <c r="O1197" s="11"/>
      <c r="P1197" s="11"/>
      <c r="Q1197" s="11"/>
      <c r="R1197" s="11"/>
    </row>
    <row r="1198" s="70" customFormat="true" ht="15" hidden="false" customHeight="true" outlineLevel="0" collapsed="false">
      <c r="A1198" s="1452" t="s">
        <v>1747</v>
      </c>
      <c r="B1198" s="1452"/>
      <c r="C1198" s="1452"/>
      <c r="D1198" s="1452"/>
      <c r="E1198" s="1452"/>
      <c r="F1198" s="1453"/>
      <c r="G1198" s="1454"/>
      <c r="H1198" s="1455"/>
      <c r="I1198" s="1456"/>
      <c r="J1198" s="12"/>
      <c r="L1198" s="11"/>
      <c r="M1198" s="11"/>
      <c r="O1198" s="11"/>
      <c r="P1198" s="11"/>
      <c r="Q1198" s="11"/>
      <c r="R1198" s="11"/>
    </row>
    <row r="1199" s="70" customFormat="true" ht="15" hidden="false" customHeight="true" outlineLevel="0" collapsed="false">
      <c r="A1199" s="1521"/>
      <c r="B1199" s="1521"/>
      <c r="C1199" s="1522"/>
      <c r="D1199" s="1522"/>
      <c r="E1199" s="19"/>
      <c r="F1199" s="19"/>
      <c r="G1199" s="19"/>
      <c r="H1199" s="1419"/>
      <c r="I1199" s="11"/>
      <c r="J1199" s="12"/>
      <c r="L1199" s="11"/>
      <c r="M1199" s="11"/>
      <c r="O1199" s="11"/>
      <c r="P1199" s="11"/>
      <c r="Q1199" s="11"/>
      <c r="R1199" s="11"/>
    </row>
    <row r="1200" customFormat="false" ht="15" hidden="false" customHeight="true" outlineLevel="0" collapsed="false">
      <c r="A1200" s="469"/>
      <c r="B1200" s="469"/>
      <c r="C1200" s="469"/>
      <c r="D1200" s="469"/>
      <c r="E1200" s="469"/>
      <c r="F1200" s="469"/>
      <c r="G1200" s="556"/>
      <c r="H1200" s="1419"/>
      <c r="K1200" s="1393"/>
      <c r="L1200" s="1523"/>
    </row>
    <row r="1201" customFormat="false" ht="15.75" hidden="false" customHeight="true" outlineLevel="0" collapsed="false">
      <c r="A1201" s="896" t="s">
        <v>1748</v>
      </c>
      <c r="B1201" s="896"/>
      <c r="C1201" s="896"/>
      <c r="D1201" s="896"/>
      <c r="E1201" s="896"/>
      <c r="F1201" s="896"/>
      <c r="G1201" s="896"/>
      <c r="H1201" s="897"/>
      <c r="I1201" s="897"/>
      <c r="J1201" s="897"/>
      <c r="K1201" s="898"/>
      <c r="L1201" s="899" t="s">
        <v>1703</v>
      </c>
    </row>
    <row r="1202" s="382" customFormat="true" ht="15.75" hidden="false" customHeight="true" outlineLevel="0" collapsed="false">
      <c r="A1202" s="1126"/>
      <c r="B1202" s="1126"/>
      <c r="C1202" s="1126"/>
      <c r="D1202" s="1126"/>
      <c r="E1202" s="1126"/>
      <c r="F1202" s="1126"/>
      <c r="G1202" s="1126"/>
      <c r="H1202" s="146"/>
      <c r="I1202" s="146"/>
      <c r="J1202" s="146"/>
      <c r="K1202" s="458"/>
      <c r="L1202" s="459"/>
      <c r="N1202" s="146"/>
      <c r="S1202" s="146"/>
      <c r="T1202" s="146"/>
      <c r="U1202" s="146"/>
      <c r="V1202" s="146"/>
      <c r="W1202" s="146"/>
      <c r="X1202" s="146"/>
      <c r="Y1202" s="146"/>
      <c r="Z1202" s="146"/>
      <c r="AA1202" s="146"/>
      <c r="AB1202" s="146"/>
      <c r="AC1202" s="146"/>
      <c r="AD1202" s="146"/>
      <c r="AE1202" s="146"/>
      <c r="AF1202" s="146"/>
      <c r="AG1202" s="146"/>
      <c r="AH1202" s="146"/>
      <c r="AI1202" s="146"/>
      <c r="AJ1202" s="146"/>
      <c r="AK1202" s="146"/>
      <c r="AL1202" s="146"/>
      <c r="AM1202" s="146"/>
      <c r="AN1202" s="146"/>
      <c r="AO1202" s="146"/>
      <c r="AP1202" s="146"/>
      <c r="AQ1202" s="146"/>
      <c r="AR1202" s="146"/>
      <c r="AS1202" s="146"/>
      <c r="AT1202" s="146"/>
      <c r="AU1202" s="146"/>
      <c r="AV1202" s="146"/>
      <c r="AW1202" s="146"/>
      <c r="AX1202" s="146"/>
      <c r="AY1202" s="146"/>
      <c r="AZ1202" s="146"/>
      <c r="BA1202" s="146"/>
      <c r="BB1202" s="146"/>
      <c r="BC1202" s="146"/>
      <c r="BD1202" s="146"/>
      <c r="BE1202" s="146"/>
      <c r="BF1202" s="146"/>
      <c r="BG1202" s="146"/>
      <c r="BH1202" s="146"/>
      <c r="BI1202" s="146"/>
      <c r="BJ1202" s="146"/>
      <c r="BK1202" s="146"/>
      <c r="BL1202" s="146"/>
      <c r="BM1202" s="146"/>
      <c r="BN1202" s="146"/>
      <c r="BO1202" s="146"/>
      <c r="BP1202" s="146"/>
      <c r="BQ1202" s="146"/>
      <c r="BR1202" s="146"/>
      <c r="BS1202" s="146"/>
      <c r="BT1202" s="146"/>
      <c r="BU1202" s="146"/>
      <c r="BV1202" s="146"/>
      <c r="BW1202" s="146"/>
      <c r="BX1202" s="146"/>
      <c r="BY1202" s="146"/>
      <c r="BZ1202" s="146"/>
      <c r="CA1202" s="146"/>
      <c r="CB1202" s="146"/>
      <c r="CC1202" s="146"/>
      <c r="CD1202" s="146"/>
      <c r="CE1202" s="146"/>
      <c r="CF1202" s="146"/>
      <c r="CG1202" s="146"/>
      <c r="CH1202" s="146"/>
      <c r="CI1202" s="146"/>
      <c r="CJ1202" s="146"/>
      <c r="CK1202" s="146"/>
      <c r="CL1202" s="146"/>
      <c r="CM1202" s="146"/>
      <c r="CN1202" s="146"/>
      <c r="CO1202" s="146"/>
      <c r="CP1202" s="146"/>
      <c r="CQ1202" s="146"/>
      <c r="CR1202" s="146"/>
      <c r="CS1202" s="146"/>
      <c r="CT1202" s="146"/>
      <c r="CU1202" s="146"/>
      <c r="CV1202" s="146"/>
      <c r="CW1202" s="146"/>
      <c r="CX1202" s="146"/>
      <c r="CY1202" s="146"/>
      <c r="CZ1202" s="146"/>
      <c r="DA1202" s="146"/>
      <c r="DB1202" s="146"/>
      <c r="DC1202" s="146"/>
      <c r="DD1202" s="146"/>
      <c r="DE1202" s="146"/>
      <c r="DF1202" s="146"/>
      <c r="DG1202" s="146"/>
      <c r="DH1202" s="146"/>
      <c r="DI1202" s="146"/>
      <c r="DJ1202" s="146"/>
      <c r="DK1202" s="146"/>
      <c r="DL1202" s="146"/>
      <c r="DM1202" s="146"/>
      <c r="DN1202" s="146"/>
      <c r="DO1202" s="146"/>
      <c r="DP1202" s="146"/>
      <c r="DQ1202" s="146"/>
      <c r="DR1202" s="146"/>
      <c r="DS1202" s="146"/>
      <c r="DT1202" s="146"/>
      <c r="DU1202" s="146"/>
      <c r="DV1202" s="146"/>
      <c r="DW1202" s="146"/>
      <c r="DX1202" s="146"/>
      <c r="DY1202" s="146"/>
      <c r="DZ1202" s="146"/>
      <c r="EA1202" s="146"/>
      <c r="EB1202" s="146"/>
      <c r="EC1202" s="146"/>
      <c r="ED1202" s="146"/>
      <c r="EE1202" s="146"/>
      <c r="EF1202" s="146"/>
      <c r="EG1202" s="146"/>
      <c r="EH1202" s="146"/>
      <c r="EI1202" s="146"/>
      <c r="EJ1202" s="146"/>
      <c r="EK1202" s="146"/>
      <c r="EL1202" s="146"/>
      <c r="EM1202" s="146"/>
      <c r="EN1202" s="146"/>
      <c r="EO1202" s="146"/>
      <c r="EP1202" s="146"/>
      <c r="EQ1202" s="146"/>
      <c r="ER1202" s="146"/>
      <c r="ES1202" s="146"/>
      <c r="ET1202" s="146"/>
      <c r="EU1202" s="146"/>
      <c r="EV1202" s="146"/>
      <c r="EW1202" s="146"/>
      <c r="EX1202" s="146"/>
      <c r="EY1202" s="146"/>
      <c r="EZ1202" s="146"/>
      <c r="FA1202" s="146"/>
      <c r="FB1202" s="146"/>
      <c r="FC1202" s="146"/>
      <c r="FD1202" s="146"/>
      <c r="FE1202" s="146"/>
      <c r="FF1202" s="146"/>
      <c r="FG1202" s="146"/>
      <c r="FH1202" s="146"/>
      <c r="FI1202" s="146"/>
      <c r="FJ1202" s="146"/>
      <c r="FK1202" s="146"/>
      <c r="FL1202" s="146"/>
      <c r="FM1202" s="146"/>
      <c r="FN1202" s="146"/>
      <c r="FO1202" s="146"/>
      <c r="FP1202" s="146"/>
      <c r="FQ1202" s="146"/>
      <c r="FR1202" s="146"/>
      <c r="FS1202" s="146"/>
      <c r="FT1202" s="146"/>
      <c r="FU1202" s="146"/>
      <c r="FV1202" s="146"/>
      <c r="FW1202" s="146"/>
      <c r="FX1202" s="146"/>
      <c r="FY1202" s="146"/>
      <c r="FZ1202" s="146"/>
      <c r="GA1202" s="146"/>
      <c r="GB1202" s="146"/>
      <c r="GC1202" s="146"/>
      <c r="GD1202" s="146"/>
      <c r="GE1202" s="146"/>
      <c r="GF1202" s="146"/>
      <c r="GG1202" s="146"/>
      <c r="GH1202" s="146"/>
      <c r="GI1202" s="146"/>
      <c r="GJ1202" s="146"/>
      <c r="GK1202" s="146"/>
      <c r="GL1202" s="146"/>
      <c r="GM1202" s="146"/>
      <c r="GN1202" s="146"/>
      <c r="GO1202" s="146"/>
      <c r="GP1202" s="146"/>
      <c r="GQ1202" s="146"/>
      <c r="GR1202" s="146"/>
      <c r="GS1202" s="146"/>
      <c r="GT1202" s="146"/>
      <c r="GU1202" s="146"/>
      <c r="GV1202" s="146"/>
      <c r="GW1202" s="146"/>
      <c r="GX1202" s="146"/>
      <c r="GY1202" s="146"/>
      <c r="GZ1202" s="146"/>
      <c r="HA1202" s="146"/>
      <c r="HB1202" s="146"/>
      <c r="HC1202" s="146"/>
      <c r="HD1202" s="146"/>
      <c r="HE1202" s="146"/>
      <c r="HF1202" s="146"/>
      <c r="HG1202" s="146"/>
      <c r="HH1202" s="146"/>
      <c r="HI1202" s="146"/>
      <c r="HJ1202" s="146"/>
      <c r="HK1202" s="146"/>
      <c r="HL1202" s="146"/>
      <c r="HM1202" s="146"/>
      <c r="HN1202" s="146"/>
      <c r="HO1202" s="146"/>
      <c r="HP1202" s="146"/>
      <c r="HQ1202" s="146"/>
      <c r="HR1202" s="146"/>
      <c r="HS1202" s="146"/>
      <c r="HT1202" s="146"/>
      <c r="HU1202" s="146"/>
      <c r="HV1202" s="146"/>
      <c r="HW1202" s="146"/>
      <c r="HX1202" s="146"/>
      <c r="HY1202" s="146"/>
      <c r="HZ1202" s="146"/>
      <c r="IA1202" s="146"/>
      <c r="IB1202" s="146"/>
      <c r="IC1202" s="146"/>
      <c r="ID1202" s="146"/>
      <c r="IE1202" s="146"/>
      <c r="IF1202" s="146"/>
      <c r="IG1202" s="146"/>
      <c r="IH1202" s="146"/>
      <c r="II1202" s="146"/>
      <c r="IJ1202" s="146"/>
      <c r="IK1202" s="146"/>
      <c r="IL1202" s="146"/>
      <c r="IM1202" s="146"/>
      <c r="IN1202" s="146"/>
      <c r="IO1202" s="146"/>
      <c r="IP1202" s="146"/>
      <c r="IQ1202" s="146"/>
      <c r="IR1202" s="146"/>
      <c r="IS1202" s="146"/>
      <c r="IT1202" s="146"/>
      <c r="IU1202" s="146"/>
      <c r="IV1202" s="146"/>
    </row>
    <row r="1203" customFormat="false" ht="15" hidden="false" customHeight="true" outlineLevel="0" collapsed="false">
      <c r="A1203" s="1524" t="s">
        <v>1749</v>
      </c>
      <c r="B1203" s="1524"/>
      <c r="C1203" s="975" t="s">
        <v>1750</v>
      </c>
      <c r="D1203" s="1525" t="n">
        <f aca="false">(0.25*I1154)+I1182</f>
        <v>39000.03</v>
      </c>
      <c r="E1203" s="1526"/>
      <c r="F1203" s="469"/>
      <c r="G1203" s="556"/>
      <c r="H1203" s="1419"/>
    </row>
    <row r="1204" customFormat="false" ht="15" hidden="false" customHeight="true" outlineLevel="0" collapsed="false">
      <c r="A1204" s="469"/>
      <c r="D1204" s="1065"/>
      <c r="E1204" s="1526"/>
      <c r="F1204" s="469"/>
      <c r="G1204" s="556"/>
      <c r="H1204" s="1419"/>
    </row>
    <row r="1205" customFormat="false" ht="15" hidden="false" customHeight="true" outlineLevel="0" collapsed="false">
      <c r="A1205" s="1524" t="s">
        <v>1751</v>
      </c>
      <c r="B1205" s="1524"/>
      <c r="C1205" s="975" t="s">
        <v>1752</v>
      </c>
      <c r="D1205" s="1525" t="n">
        <f aca="false">(I1172-D1203)/B27</f>
        <v>19629.97</v>
      </c>
      <c r="E1205" s="1526"/>
      <c r="F1205" s="469"/>
      <c r="G1205" s="556"/>
      <c r="H1205" s="1419"/>
    </row>
    <row r="1206" customFormat="false" ht="15" hidden="false" customHeight="true" outlineLevel="0" collapsed="false">
      <c r="A1206" s="469"/>
      <c r="B1206" s="12"/>
      <c r="D1206" s="1395"/>
      <c r="E1206" s="1526"/>
      <c r="F1206" s="469"/>
      <c r="G1206" s="556"/>
      <c r="H1206" s="1419"/>
    </row>
    <row r="1207" customFormat="false" ht="15" hidden="false" customHeight="true" outlineLevel="0" collapsed="false">
      <c r="A1207" s="369" t="s">
        <v>1753</v>
      </c>
      <c r="B1207" s="369"/>
      <c r="C1207" s="443"/>
      <c r="D1207" s="1527" t="n">
        <v>1171</v>
      </c>
      <c r="E1207" s="1526"/>
      <c r="F1207" s="369" t="s">
        <v>1754</v>
      </c>
      <c r="G1207" s="369"/>
      <c r="H1207" s="1525" t="n">
        <f aca="false">D1207*12</f>
        <v>14052</v>
      </c>
    </row>
    <row r="1208" customFormat="false" ht="15.75" hidden="false" customHeight="true" outlineLevel="0" collapsed="false">
      <c r="A1208" s="469"/>
      <c r="D1208" s="1395"/>
      <c r="E1208" s="1526"/>
      <c r="F1208" s="469"/>
      <c r="G1208" s="556"/>
      <c r="H1208" s="1419"/>
    </row>
    <row r="1209" customFormat="false" ht="15" hidden="false" customHeight="true" outlineLevel="0" collapsed="false">
      <c r="A1209" s="469"/>
      <c r="B1209" s="12"/>
      <c r="C1209" s="942" t="s">
        <v>1755</v>
      </c>
      <c r="D1209" s="1380" t="n">
        <f aca="false">D1205/H1207</f>
        <v>1.39695203529747</v>
      </c>
      <c r="E1209" s="1526"/>
      <c r="F1209" s="469"/>
      <c r="G1209" s="556"/>
      <c r="H1209" s="1419"/>
    </row>
    <row r="1210" customFormat="false" ht="15.75" hidden="false" customHeight="true" outlineLevel="0" collapsed="false">
      <c r="A1210" s="469"/>
      <c r="B1210" s="12"/>
      <c r="C1210" s="942"/>
      <c r="D1210" s="1380"/>
      <c r="E1210" s="1526"/>
      <c r="F1210" s="469"/>
      <c r="G1210" s="556"/>
      <c r="H1210" s="1419"/>
    </row>
    <row r="1211" s="70" customFormat="true" ht="15" hidden="false" customHeight="true" outlineLevel="0" collapsed="false">
      <c r="A1211" s="469"/>
      <c r="D1211" s="1395"/>
      <c r="E1211" s="1526"/>
      <c r="F1211" s="469"/>
      <c r="G1211" s="556"/>
      <c r="H1211" s="1419"/>
      <c r="I1211" s="11"/>
      <c r="J1211" s="12"/>
      <c r="L1211" s="11"/>
      <c r="M1211" s="11"/>
      <c r="O1211" s="11"/>
      <c r="P1211" s="11"/>
      <c r="Q1211" s="11"/>
      <c r="R1211" s="11"/>
    </row>
    <row r="1212" s="70" customFormat="true" ht="15.75" hidden="false" customHeight="true" outlineLevel="0" collapsed="false">
      <c r="A1212" s="469"/>
      <c r="B1212" s="11"/>
      <c r="C1212" s="11"/>
      <c r="D1212" s="1395"/>
      <c r="E1212" s="1526"/>
      <c r="F1212" s="469"/>
      <c r="G1212" s="556"/>
      <c r="H1212" s="1419"/>
      <c r="I1212" s="11"/>
      <c r="J1212" s="12"/>
      <c r="L1212" s="11"/>
      <c r="M1212" s="11"/>
      <c r="O1212" s="11"/>
      <c r="P1212" s="11"/>
      <c r="Q1212" s="11"/>
      <c r="R1212" s="11"/>
    </row>
    <row r="1213" s="70" customFormat="true" ht="28.5" hidden="false" customHeight="true" outlineLevel="0" collapsed="false">
      <c r="A1213" s="1528" t="s">
        <v>861</v>
      </c>
      <c r="B1213" s="1528"/>
      <c r="C1213" s="1528"/>
      <c r="D1213" s="1344" t="n">
        <v>0</v>
      </c>
      <c r="E1213" s="449"/>
      <c r="F1213" s="314"/>
      <c r="G1213" s="314"/>
      <c r="I1213" s="314"/>
      <c r="J1213" s="909"/>
      <c r="K1213" s="1529"/>
      <c r="L1213" s="1530"/>
      <c r="M1213" s="11"/>
      <c r="O1213" s="11"/>
      <c r="P1213" s="11"/>
      <c r="Q1213" s="11"/>
      <c r="R1213" s="11"/>
    </row>
    <row r="1214" customFormat="false" ht="15" hidden="false" customHeight="true" outlineLevel="0" collapsed="false">
      <c r="A1214" s="469"/>
      <c r="D1214" s="1395"/>
      <c r="E1214" s="1526"/>
      <c r="F1214" s="469"/>
      <c r="G1214" s="556"/>
      <c r="H1214" s="1419"/>
      <c r="K1214" s="70"/>
    </row>
    <row r="1215" customFormat="false" ht="15.75" hidden="false" customHeight="true" outlineLevel="0" collapsed="false">
      <c r="A1215" s="469"/>
      <c r="F1215" s="469"/>
      <c r="G1215" s="556"/>
      <c r="H1215" s="1419"/>
      <c r="K1215" s="70"/>
    </row>
    <row r="1216" customFormat="false" ht="16.5" hidden="false" customHeight="true" outlineLevel="0" collapsed="false">
      <c r="A1216" s="896" t="s">
        <v>1756</v>
      </c>
      <c r="B1216" s="896"/>
      <c r="C1216" s="896"/>
      <c r="D1216" s="896"/>
      <c r="E1216" s="896"/>
      <c r="F1216" s="896"/>
      <c r="G1216" s="896"/>
      <c r="H1216" s="897"/>
      <c r="I1216" s="897"/>
      <c r="J1216" s="897"/>
      <c r="K1216" s="898"/>
      <c r="L1216" s="899"/>
    </row>
    <row r="1217" customFormat="false" ht="16.5" hidden="false" customHeight="true" outlineLevel="0" collapsed="false">
      <c r="A1217" s="1048"/>
      <c r="B1217" s="1048"/>
      <c r="C1217" s="1048"/>
      <c r="D1217" s="1048"/>
      <c r="E1217" s="1048"/>
      <c r="F1217" s="1048"/>
      <c r="G1217" s="1048"/>
      <c r="H1217" s="1419"/>
      <c r="K1217" s="1393"/>
      <c r="L1217" s="1523"/>
    </row>
    <row r="1218" customFormat="false" ht="15" hidden="false" customHeight="true" outlineLevel="0" collapsed="false">
      <c r="A1218" s="1531" t="s">
        <v>1757</v>
      </c>
      <c r="B1218" s="1531"/>
      <c r="C1218" s="975" t="s">
        <v>1758</v>
      </c>
      <c r="D1218" s="1532" t="n">
        <f aca="false">(I1184+I1182)/I1172</f>
        <v>1.31346631417363</v>
      </c>
      <c r="E1218" s="469"/>
      <c r="F1218" s="469"/>
      <c r="G1218" s="556"/>
      <c r="H1218" s="1419"/>
      <c r="K1218" s="70"/>
    </row>
    <row r="1219" customFormat="false" ht="15" hidden="false" customHeight="true" outlineLevel="0" collapsed="false">
      <c r="A1219" s="1207"/>
      <c r="B1219" s="1533"/>
      <c r="C1219" s="469"/>
      <c r="D1219" s="469"/>
      <c r="E1219" s="469"/>
      <c r="F1219" s="469"/>
      <c r="G1219" s="556"/>
      <c r="H1219" s="1419"/>
      <c r="K1219" s="70"/>
    </row>
    <row r="1220" customFormat="false" ht="15" hidden="false" customHeight="true" outlineLevel="0" collapsed="false">
      <c r="A1220" s="1207"/>
      <c r="B1220" s="1533"/>
      <c r="C1220" s="469"/>
      <c r="D1220" s="469"/>
      <c r="E1220" s="469"/>
      <c r="F1220" s="469"/>
      <c r="G1220" s="556"/>
      <c r="H1220" s="1419"/>
      <c r="K1220" s="70"/>
    </row>
    <row r="1221" customFormat="false" ht="16.5" hidden="false" customHeight="true" outlineLevel="0" collapsed="false">
      <c r="A1221" s="896" t="s">
        <v>1759</v>
      </c>
      <c r="B1221" s="896"/>
      <c r="C1221" s="896"/>
      <c r="D1221" s="896"/>
      <c r="E1221" s="896"/>
      <c r="F1221" s="896"/>
      <c r="G1221" s="896"/>
      <c r="H1221" s="897"/>
      <c r="I1221" s="897"/>
      <c r="J1221" s="897"/>
      <c r="K1221" s="898"/>
      <c r="L1221" s="899"/>
      <c r="M1221" s="1534"/>
    </row>
    <row r="1222" customFormat="false" ht="16.5" hidden="false" customHeight="true" outlineLevel="0" collapsed="false">
      <c r="A1222" s="1048"/>
      <c r="B1222" s="1048"/>
      <c r="C1222" s="1048"/>
      <c r="D1222" s="1048"/>
      <c r="E1222" s="1048"/>
      <c r="F1222" s="1048"/>
      <c r="G1222" s="1048"/>
      <c r="H1222" s="1419"/>
      <c r="K1222" s="1393"/>
      <c r="L1222" s="1523"/>
      <c r="M1222" s="1534"/>
    </row>
    <row r="1223" customFormat="false" ht="15" hidden="false" customHeight="true" outlineLevel="0" collapsed="false">
      <c r="A1223" s="1531" t="s">
        <v>1760</v>
      </c>
      <c r="B1223" s="1531"/>
      <c r="C1223" s="975" t="s">
        <v>1761</v>
      </c>
      <c r="D1223" s="1532" t="n">
        <f aca="false">I1180/I1197</f>
        <v>0.374418415788656</v>
      </c>
      <c r="G1223" s="556"/>
      <c r="H1223" s="1419"/>
      <c r="K1223" s="70"/>
    </row>
    <row r="1224" customFormat="false" ht="15" hidden="false" customHeight="true" outlineLevel="0" collapsed="false">
      <c r="A1224" s="1535"/>
      <c r="B1224" s="314"/>
      <c r="C1224" s="418"/>
      <c r="D1224" s="314"/>
      <c r="E1224" s="469"/>
      <c r="F1224" s="1536"/>
      <c r="G1224" s="556"/>
      <c r="H1224" s="1419"/>
      <c r="K1224" s="70"/>
      <c r="M1224" s="1534"/>
    </row>
    <row r="1225" customFormat="false" ht="15" hidden="false" customHeight="true" outlineLevel="0" collapsed="false">
      <c r="A1225" s="1535"/>
      <c r="B1225" s="314"/>
      <c r="C1225" s="418"/>
      <c r="D1225" s="314"/>
      <c r="E1225" s="469"/>
      <c r="F1225" s="1536"/>
      <c r="G1225" s="556"/>
      <c r="H1225" s="1419"/>
      <c r="K1225" s="70"/>
    </row>
    <row r="1226" customFormat="false" ht="15.75" hidden="false" customHeight="true" outlineLevel="0" collapsed="false">
      <c r="A1226" s="896" t="s">
        <v>1762</v>
      </c>
      <c r="B1226" s="896"/>
      <c r="C1226" s="896"/>
      <c r="D1226" s="896"/>
      <c r="E1226" s="896"/>
      <c r="F1226" s="896"/>
      <c r="G1226" s="896"/>
      <c r="H1226" s="897"/>
      <c r="I1226" s="897"/>
      <c r="J1226" s="897"/>
      <c r="K1226" s="898"/>
      <c r="L1226" s="899" t="s">
        <v>1763</v>
      </c>
      <c r="M1226" s="1496"/>
    </row>
    <row r="1227" s="382" customFormat="true" ht="15.75" hidden="false" customHeight="true" outlineLevel="0" collapsed="false">
      <c r="A1227" s="1126"/>
      <c r="B1227" s="1126"/>
      <c r="C1227" s="1126"/>
      <c r="D1227" s="1126"/>
      <c r="E1227" s="1126"/>
      <c r="F1227" s="1126"/>
      <c r="G1227" s="1126"/>
      <c r="H1227" s="146"/>
      <c r="I1227" s="146"/>
      <c r="J1227" s="146"/>
      <c r="K1227" s="458"/>
      <c r="L1227" s="459"/>
      <c r="M1227" s="945"/>
      <c r="T1227" s="146"/>
      <c r="U1227" s="146"/>
      <c r="V1227" s="146"/>
      <c r="W1227" s="146"/>
      <c r="X1227" s="146"/>
      <c r="Y1227" s="146"/>
      <c r="Z1227" s="146"/>
      <c r="AA1227" s="146"/>
      <c r="AB1227" s="146"/>
      <c r="AC1227" s="146"/>
      <c r="AD1227" s="146"/>
      <c r="AE1227" s="146"/>
      <c r="AF1227" s="146"/>
      <c r="AG1227" s="146"/>
      <c r="AH1227" s="146"/>
      <c r="AI1227" s="146"/>
      <c r="AJ1227" s="146"/>
      <c r="AK1227" s="146"/>
      <c r="AL1227" s="146"/>
      <c r="AM1227" s="146"/>
      <c r="AN1227" s="146"/>
      <c r="AO1227" s="146"/>
      <c r="AP1227" s="146"/>
      <c r="AQ1227" s="146"/>
      <c r="AR1227" s="146"/>
      <c r="AS1227" s="146"/>
      <c r="AT1227" s="146"/>
      <c r="AU1227" s="146"/>
      <c r="AV1227" s="146"/>
      <c r="AW1227" s="146"/>
      <c r="AX1227" s="146"/>
      <c r="AY1227" s="146"/>
      <c r="AZ1227" s="146"/>
      <c r="BA1227" s="146"/>
      <c r="BB1227" s="146"/>
      <c r="BC1227" s="146"/>
      <c r="BD1227" s="146"/>
      <c r="BE1227" s="146"/>
      <c r="BF1227" s="146"/>
      <c r="BG1227" s="146"/>
      <c r="BH1227" s="146"/>
      <c r="BI1227" s="146"/>
      <c r="BJ1227" s="146"/>
      <c r="BK1227" s="146"/>
      <c r="BL1227" s="146"/>
      <c r="BM1227" s="146"/>
      <c r="BN1227" s="146"/>
      <c r="BO1227" s="146"/>
      <c r="BP1227" s="146"/>
      <c r="BQ1227" s="146"/>
      <c r="BR1227" s="146"/>
      <c r="BS1227" s="146"/>
      <c r="BT1227" s="146"/>
      <c r="BU1227" s="146"/>
      <c r="BV1227" s="146"/>
      <c r="BW1227" s="146"/>
      <c r="BX1227" s="146"/>
      <c r="BY1227" s="146"/>
      <c r="BZ1227" s="146"/>
      <c r="CA1227" s="146"/>
      <c r="CB1227" s="146"/>
      <c r="CC1227" s="146"/>
      <c r="CD1227" s="146"/>
      <c r="CE1227" s="146"/>
      <c r="CF1227" s="146"/>
      <c r="CG1227" s="146"/>
      <c r="CH1227" s="146"/>
      <c r="CI1227" s="146"/>
      <c r="CJ1227" s="146"/>
      <c r="CK1227" s="146"/>
      <c r="CL1227" s="146"/>
      <c r="CM1227" s="146"/>
      <c r="CN1227" s="146"/>
      <c r="CO1227" s="146"/>
      <c r="CP1227" s="146"/>
      <c r="CQ1227" s="146"/>
      <c r="CR1227" s="146"/>
      <c r="CS1227" s="146"/>
      <c r="CT1227" s="146"/>
      <c r="CU1227" s="146"/>
      <c r="CV1227" s="146"/>
      <c r="CW1227" s="146"/>
      <c r="CX1227" s="146"/>
      <c r="CY1227" s="146"/>
      <c r="CZ1227" s="146"/>
      <c r="DA1227" s="146"/>
      <c r="DB1227" s="146"/>
      <c r="DC1227" s="146"/>
      <c r="DD1227" s="146"/>
      <c r="DE1227" s="146"/>
      <c r="DF1227" s="146"/>
      <c r="DG1227" s="146"/>
      <c r="DH1227" s="146"/>
      <c r="DI1227" s="146"/>
      <c r="DJ1227" s="146"/>
      <c r="DK1227" s="146"/>
      <c r="DL1227" s="146"/>
      <c r="DM1227" s="146"/>
      <c r="DN1227" s="146"/>
      <c r="DO1227" s="146"/>
      <c r="DP1227" s="146"/>
      <c r="DQ1227" s="146"/>
      <c r="DR1227" s="146"/>
      <c r="DS1227" s="146"/>
      <c r="DT1227" s="146"/>
      <c r="DU1227" s="146"/>
      <c r="DV1227" s="146"/>
      <c r="DW1227" s="146"/>
      <c r="DX1227" s="146"/>
      <c r="DY1227" s="146"/>
      <c r="DZ1227" s="146"/>
      <c r="EA1227" s="146"/>
      <c r="EB1227" s="146"/>
      <c r="EC1227" s="146"/>
      <c r="ED1227" s="146"/>
      <c r="EE1227" s="146"/>
      <c r="EF1227" s="146"/>
      <c r="EG1227" s="146"/>
      <c r="EH1227" s="146"/>
      <c r="EI1227" s="146"/>
      <c r="EJ1227" s="146"/>
      <c r="EK1227" s="146"/>
      <c r="EL1227" s="146"/>
      <c r="EM1227" s="146"/>
      <c r="EN1227" s="146"/>
      <c r="EO1227" s="146"/>
      <c r="EP1227" s="146"/>
      <c r="EQ1227" s="146"/>
      <c r="ER1227" s="146"/>
      <c r="ES1227" s="146"/>
      <c r="ET1227" s="146"/>
      <c r="EU1227" s="146"/>
      <c r="EV1227" s="146"/>
      <c r="EW1227" s="146"/>
      <c r="EX1227" s="146"/>
      <c r="EY1227" s="146"/>
      <c r="EZ1227" s="146"/>
      <c r="FA1227" s="146"/>
      <c r="FB1227" s="146"/>
      <c r="FC1227" s="146"/>
      <c r="FD1227" s="146"/>
      <c r="FE1227" s="146"/>
      <c r="FF1227" s="146"/>
      <c r="FG1227" s="146"/>
      <c r="FH1227" s="146"/>
      <c r="FI1227" s="146"/>
      <c r="FJ1227" s="146"/>
      <c r="FK1227" s="146"/>
      <c r="FL1227" s="146"/>
      <c r="FM1227" s="146"/>
      <c r="FN1227" s="146"/>
      <c r="FO1227" s="146"/>
      <c r="FP1227" s="146"/>
      <c r="FQ1227" s="146"/>
      <c r="FR1227" s="146"/>
      <c r="FS1227" s="146"/>
      <c r="FT1227" s="146"/>
      <c r="FU1227" s="146"/>
      <c r="FV1227" s="146"/>
      <c r="FW1227" s="146"/>
      <c r="FX1227" s="146"/>
      <c r="FY1227" s="146"/>
      <c r="FZ1227" s="146"/>
      <c r="GA1227" s="146"/>
      <c r="GB1227" s="146"/>
      <c r="GC1227" s="146"/>
      <c r="GD1227" s="146"/>
      <c r="GE1227" s="146"/>
      <c r="GF1227" s="146"/>
      <c r="GG1227" s="146"/>
      <c r="GH1227" s="146"/>
      <c r="GI1227" s="146"/>
      <c r="GJ1227" s="146"/>
      <c r="GK1227" s="146"/>
      <c r="GL1227" s="146"/>
      <c r="GM1227" s="146"/>
      <c r="GN1227" s="146"/>
      <c r="GO1227" s="146"/>
      <c r="GP1227" s="146"/>
      <c r="GQ1227" s="146"/>
      <c r="GR1227" s="146"/>
      <c r="GS1227" s="146"/>
      <c r="GT1227" s="146"/>
      <c r="GU1227" s="146"/>
      <c r="GV1227" s="146"/>
      <c r="GW1227" s="146"/>
      <c r="GX1227" s="146"/>
      <c r="GY1227" s="146"/>
      <c r="GZ1227" s="146"/>
      <c r="HA1227" s="146"/>
      <c r="HB1227" s="146"/>
      <c r="HC1227" s="146"/>
      <c r="HD1227" s="146"/>
      <c r="HE1227" s="146"/>
      <c r="HF1227" s="146"/>
      <c r="HG1227" s="146"/>
      <c r="HH1227" s="146"/>
      <c r="HI1227" s="146"/>
      <c r="HJ1227" s="146"/>
      <c r="HK1227" s="146"/>
      <c r="HL1227" s="146"/>
      <c r="HM1227" s="146"/>
      <c r="HN1227" s="146"/>
      <c r="HO1227" s="146"/>
      <c r="HP1227" s="146"/>
      <c r="HQ1227" s="146"/>
      <c r="HR1227" s="146"/>
      <c r="HS1227" s="146"/>
      <c r="HT1227" s="146"/>
      <c r="HU1227" s="146"/>
      <c r="HV1227" s="146"/>
      <c r="HW1227" s="146"/>
      <c r="HX1227" s="146"/>
      <c r="HY1227" s="146"/>
      <c r="HZ1227" s="146"/>
      <c r="IA1227" s="146"/>
      <c r="IB1227" s="146"/>
      <c r="IC1227" s="146"/>
      <c r="ID1227" s="146"/>
      <c r="IE1227" s="146"/>
      <c r="IF1227" s="146"/>
      <c r="IG1227" s="146"/>
      <c r="IH1227" s="146"/>
      <c r="II1227" s="146"/>
      <c r="IJ1227" s="146"/>
      <c r="IK1227" s="146"/>
      <c r="IL1227" s="146"/>
      <c r="IM1227" s="146"/>
      <c r="IN1227" s="146"/>
      <c r="IO1227" s="146"/>
      <c r="IP1227" s="146"/>
      <c r="IQ1227" s="146"/>
      <c r="IR1227" s="146"/>
      <c r="IS1227" s="146"/>
      <c r="IT1227" s="146"/>
      <c r="IU1227" s="146"/>
      <c r="IV1227" s="146"/>
    </row>
    <row r="1228" s="11" customFormat="true" ht="36" hidden="false" customHeight="true" outlineLevel="0" collapsed="false">
      <c r="A1228" s="639"/>
      <c r="B1228" s="840"/>
      <c r="C1228" s="840"/>
      <c r="D1228" s="840"/>
      <c r="E1228" s="1537" t="s">
        <v>1764</v>
      </c>
      <c r="F1228" s="1538" t="s">
        <v>1765</v>
      </c>
      <c r="G1228" s="1539" t="s">
        <v>1766</v>
      </c>
      <c r="I1228" s="12"/>
      <c r="K1228" s="1395"/>
      <c r="L1228" s="1540"/>
    </row>
    <row r="1229" s="11" customFormat="true" ht="14" hidden="false" customHeight="true" outlineLevel="0" collapsed="false">
      <c r="A1229" s="639"/>
      <c r="B1229" s="840"/>
      <c r="C1229" s="840"/>
      <c r="D1229" s="840"/>
      <c r="E1229" s="1541" t="s">
        <v>888</v>
      </c>
      <c r="F1229" s="579" t="s">
        <v>1110</v>
      </c>
      <c r="G1229" s="582" t="s">
        <v>888</v>
      </c>
      <c r="I1229" s="12"/>
      <c r="K1229" s="1395"/>
      <c r="L1229" s="1540"/>
    </row>
    <row r="1230" customFormat="false" ht="15" hidden="false" customHeight="true" outlineLevel="0" collapsed="false">
      <c r="A1230" s="1542" t="s">
        <v>1767</v>
      </c>
      <c r="B1230" s="1543"/>
      <c r="C1230" s="1543"/>
      <c r="D1230" s="1543"/>
      <c r="E1230" s="1544" t="n">
        <f aca="false">SUM(E1231:E1234)</f>
        <v>0</v>
      </c>
      <c r="F1230" s="1545"/>
      <c r="G1230" s="1546"/>
      <c r="I1230" s="1323"/>
      <c r="K1230" s="1547"/>
      <c r="L1230" s="1540"/>
    </row>
    <row r="1231" customFormat="false" ht="15" hidden="false" customHeight="true" outlineLevel="0" collapsed="false">
      <c r="A1231" s="1548" t="s">
        <v>890</v>
      </c>
      <c r="B1231" s="1549"/>
      <c r="C1231" s="1549"/>
      <c r="D1231" s="1549"/>
      <c r="E1231" s="1437"/>
      <c r="F1231" s="1550" t="n">
        <f aca="false">E1231/$E$1289</f>
        <v>0</v>
      </c>
      <c r="G1231" s="1551"/>
    </row>
    <row r="1232" customFormat="false" ht="15" hidden="false" customHeight="true" outlineLevel="0" collapsed="false">
      <c r="A1232" s="1548" t="s">
        <v>1768</v>
      </c>
      <c r="B1232" s="1549"/>
      <c r="C1232" s="1549"/>
      <c r="D1232" s="1549"/>
      <c r="E1232" s="1437"/>
      <c r="F1232" s="1550" t="n">
        <f aca="false">E1232/$E$1289</f>
        <v>0</v>
      </c>
      <c r="G1232" s="1552"/>
      <c r="J1232" s="1323"/>
      <c r="K1232" s="1553"/>
      <c r="L1232" s="1554"/>
    </row>
    <row r="1233" customFormat="false" ht="15" hidden="false" customHeight="true" outlineLevel="0" collapsed="false">
      <c r="A1233" s="1548" t="s">
        <v>892</v>
      </c>
      <c r="B1233" s="1549"/>
      <c r="C1233" s="1549"/>
      <c r="D1233" s="1549"/>
      <c r="E1233" s="1437"/>
      <c r="F1233" s="1550" t="n">
        <f aca="false">E1233/$E$1289</f>
        <v>0</v>
      </c>
      <c r="G1233" s="1552"/>
      <c r="J1233" s="1323"/>
      <c r="K1233" s="1553"/>
      <c r="L1233" s="1554"/>
    </row>
    <row r="1234" customFormat="false" ht="15" hidden="false" customHeight="true" outlineLevel="0" collapsed="false">
      <c r="A1234" s="1555" t="s">
        <v>893</v>
      </c>
      <c r="B1234" s="1549"/>
      <c r="C1234" s="1549"/>
      <c r="D1234" s="1549"/>
      <c r="E1234" s="1437"/>
      <c r="F1234" s="1550" t="n">
        <f aca="false">E1234/$E$1289</f>
        <v>0</v>
      </c>
      <c r="G1234" s="1552"/>
      <c r="J1234" s="1323"/>
      <c r="K1234" s="1553"/>
      <c r="L1234" s="1554"/>
    </row>
    <row r="1235" customFormat="false" ht="30" hidden="false" customHeight="true" outlineLevel="0" collapsed="false">
      <c r="A1235" s="1556" t="s">
        <v>1769</v>
      </c>
      <c r="B1235" s="1556"/>
      <c r="C1235" s="1556"/>
      <c r="D1235" s="1556"/>
      <c r="E1235" s="1557" t="n">
        <f aca="false">SUM(E1236:E1240)</f>
        <v>0</v>
      </c>
      <c r="F1235" s="1545"/>
      <c r="G1235" s="1546"/>
      <c r="I1235" s="1558" t="s">
        <v>1770</v>
      </c>
      <c r="J1235" s="1559" t="n">
        <f aca="false">MAX(G1230:G1287)/G1289</f>
        <v>0.758061786474342</v>
      </c>
      <c r="K1235" s="1393"/>
      <c r="L1235" s="1554"/>
      <c r="M1235" s="1007"/>
    </row>
    <row r="1236" customFormat="false" ht="15.75" hidden="false" customHeight="true" outlineLevel="0" collapsed="false">
      <c r="A1236" s="1548" t="s">
        <v>895</v>
      </c>
      <c r="B1236" s="1549"/>
      <c r="C1236" s="1549"/>
      <c r="D1236" s="1549"/>
      <c r="E1236" s="1437"/>
      <c r="F1236" s="1560" t="n">
        <f aca="false">E1236/$E$1289</f>
        <v>0</v>
      </c>
      <c r="G1236" s="1561"/>
      <c r="I1236" s="1558"/>
      <c r="J1236" s="1559"/>
      <c r="K1236" s="1562"/>
      <c r="L1236" s="1554"/>
    </row>
    <row r="1237" customFormat="false" ht="15.75" hidden="false" customHeight="true" outlineLevel="0" collapsed="false">
      <c r="A1237" s="1548" t="s">
        <v>896</v>
      </c>
      <c r="B1237" s="1549"/>
      <c r="C1237" s="1549"/>
      <c r="D1237" s="1549"/>
      <c r="E1237" s="1437"/>
      <c r="F1237" s="1560" t="n">
        <f aca="false">E1237/$E$1289</f>
        <v>0</v>
      </c>
      <c r="G1237" s="1561"/>
      <c r="I1237" s="1558"/>
      <c r="J1237" s="1559"/>
      <c r="K1237" s="1562"/>
      <c r="L1237" s="1554"/>
    </row>
    <row r="1238" customFormat="false" ht="15.75" hidden="false" customHeight="true" outlineLevel="0" collapsed="false">
      <c r="A1238" s="1548" t="s">
        <v>1771</v>
      </c>
      <c r="B1238" s="1549"/>
      <c r="C1238" s="1549"/>
      <c r="D1238" s="1549"/>
      <c r="E1238" s="1437"/>
      <c r="F1238" s="1560" t="n">
        <f aca="false">E1238/$E$1289</f>
        <v>0</v>
      </c>
      <c r="G1238" s="1561"/>
      <c r="I1238" s="1558"/>
      <c r="J1238" s="1559"/>
      <c r="K1238" s="1562"/>
      <c r="L1238" s="1554"/>
    </row>
    <row r="1239" customFormat="false" ht="15.75" hidden="false" customHeight="true" outlineLevel="0" collapsed="false">
      <c r="A1239" s="1548" t="s">
        <v>1771</v>
      </c>
      <c r="B1239" s="1549"/>
      <c r="C1239" s="1549"/>
      <c r="D1239" s="1549"/>
      <c r="E1239" s="1437"/>
      <c r="F1239" s="1560" t="n">
        <f aca="false">E1239/$E$1289</f>
        <v>0</v>
      </c>
      <c r="G1239" s="1561"/>
      <c r="I1239" s="1558"/>
      <c r="J1239" s="1559"/>
      <c r="K1239" s="1562"/>
      <c r="L1239" s="1554"/>
    </row>
    <row r="1240" customFormat="false" ht="15.75" hidden="false" customHeight="true" outlineLevel="0" collapsed="false">
      <c r="A1240" s="1548" t="s">
        <v>1771</v>
      </c>
      <c r="B1240" s="1563"/>
      <c r="C1240" s="1563"/>
      <c r="D1240" s="1563"/>
      <c r="E1240" s="1564"/>
      <c r="F1240" s="1565" t="n">
        <f aca="false">E1240/$E$1289</f>
        <v>0</v>
      </c>
      <c r="G1240" s="1561"/>
      <c r="I1240" s="1558"/>
      <c r="J1240" s="1559"/>
      <c r="K1240" s="1562"/>
      <c r="L1240" s="1554"/>
    </row>
    <row r="1241" customFormat="false" ht="15.75" hidden="false" customHeight="true" outlineLevel="0" collapsed="false">
      <c r="A1241" s="1542" t="s">
        <v>898</v>
      </c>
      <c r="B1241" s="1543"/>
      <c r="C1241" s="1543"/>
      <c r="D1241" s="1543"/>
      <c r="E1241" s="1544" t="n">
        <f aca="false">SUM(E1242:E1245)</f>
        <v>0</v>
      </c>
      <c r="F1241" s="1545"/>
      <c r="G1241" s="1546"/>
      <c r="I1241" s="1558"/>
      <c r="J1241" s="1559"/>
      <c r="K1241" s="1547"/>
      <c r="L1241" s="1540"/>
    </row>
    <row r="1242" customFormat="false" ht="15" hidden="false" customHeight="true" outlineLevel="0" collapsed="false">
      <c r="A1242" s="1548" t="s">
        <v>899</v>
      </c>
      <c r="B1242" s="1549"/>
      <c r="C1242" s="1549"/>
      <c r="D1242" s="1549"/>
      <c r="E1242" s="1437"/>
      <c r="F1242" s="1550" t="n">
        <f aca="false">E1242/$E$1289</f>
        <v>0</v>
      </c>
      <c r="G1242" s="1561"/>
      <c r="I1242" s="1323"/>
      <c r="K1242" s="1547"/>
      <c r="L1242" s="1540"/>
    </row>
    <row r="1243" customFormat="false" ht="15" hidden="false" customHeight="true" outlineLevel="0" collapsed="false">
      <c r="A1243" s="1548" t="s">
        <v>900</v>
      </c>
      <c r="B1243" s="1549"/>
      <c r="C1243" s="1549"/>
      <c r="D1243" s="1549"/>
      <c r="E1243" s="1437"/>
      <c r="F1243" s="1550" t="n">
        <f aca="false">E1243/$E$1289</f>
        <v>0</v>
      </c>
      <c r="G1243" s="1561"/>
      <c r="I1243" s="1323"/>
      <c r="K1243" s="1547"/>
      <c r="L1243" s="1540"/>
    </row>
    <row r="1244" customFormat="false" ht="15" hidden="false" customHeight="true" outlineLevel="0" collapsed="false">
      <c r="A1244" s="1548" t="s">
        <v>901</v>
      </c>
      <c r="B1244" s="1549"/>
      <c r="C1244" s="1549"/>
      <c r="D1244" s="1549"/>
      <c r="E1244" s="1437"/>
      <c r="F1244" s="1550" t="n">
        <f aca="false">E1244/$E$1289</f>
        <v>0</v>
      </c>
      <c r="G1244" s="1561"/>
      <c r="I1244" s="1323"/>
      <c r="K1244" s="1547"/>
      <c r="L1244" s="1540"/>
    </row>
    <row r="1245" customFormat="false" ht="15.75" hidden="false" customHeight="true" outlineLevel="0" collapsed="false">
      <c r="A1245" s="1566" t="s">
        <v>1772</v>
      </c>
      <c r="B1245" s="1563"/>
      <c r="C1245" s="1563"/>
      <c r="D1245" s="1563"/>
      <c r="E1245" s="1516"/>
      <c r="F1245" s="1565" t="n">
        <f aca="false">E1245/$E$1289</f>
        <v>0</v>
      </c>
      <c r="G1245" s="1561"/>
      <c r="I1245" s="1323"/>
      <c r="K1245" s="1547"/>
      <c r="L1245" s="1540"/>
    </row>
    <row r="1246" customFormat="false" ht="15.75" hidden="false" customHeight="true" outlineLevel="0" collapsed="false">
      <c r="A1246" s="1542" t="s">
        <v>902</v>
      </c>
      <c r="B1246" s="1543"/>
      <c r="C1246" s="1543"/>
      <c r="D1246" s="1543"/>
      <c r="E1246" s="1544" t="n">
        <f aca="false">SUM(E1247:E1250)</f>
        <v>0</v>
      </c>
      <c r="F1246" s="1545"/>
      <c r="G1246" s="1546"/>
      <c r="I1246" s="1567" t="s">
        <v>1773</v>
      </c>
      <c r="J1246" s="1568" t="n">
        <f aca="false">IF(E1289=0,"ABSENCE DE DONNEES",COUNTIF(F1231:F1288,"&gt;=20%"))</f>
        <v>1</v>
      </c>
      <c r="K1246" s="1547"/>
      <c r="L1246" s="1540"/>
    </row>
    <row r="1247" customFormat="false" ht="15" hidden="false" customHeight="true" outlineLevel="0" collapsed="false">
      <c r="A1247" s="1548" t="s">
        <v>903</v>
      </c>
      <c r="B1247" s="1549"/>
      <c r="C1247" s="1549"/>
      <c r="D1247" s="1549"/>
      <c r="E1247" s="1437"/>
      <c r="F1247" s="1550" t="n">
        <f aca="false">E1247/$E$1289</f>
        <v>0</v>
      </c>
      <c r="G1247" s="1551"/>
      <c r="I1247" s="1567"/>
      <c r="J1247" s="1568"/>
      <c r="K1247" s="1547"/>
      <c r="L1247" s="1540"/>
    </row>
    <row r="1248" customFormat="false" ht="15" hidden="false" customHeight="true" outlineLevel="0" collapsed="false">
      <c r="A1248" s="1548" t="s">
        <v>904</v>
      </c>
      <c r="B1248" s="1549"/>
      <c r="C1248" s="1549"/>
      <c r="D1248" s="1549"/>
      <c r="E1248" s="1437"/>
      <c r="F1248" s="1550" t="n">
        <f aca="false">E1248/$E$1289</f>
        <v>0</v>
      </c>
      <c r="G1248" s="1552"/>
      <c r="I1248" s="1567"/>
      <c r="J1248" s="1568"/>
      <c r="K1248" s="1547"/>
      <c r="L1248" s="1540"/>
      <c r="M1248" s="70"/>
    </row>
    <row r="1249" customFormat="false" ht="15" hidden="false" customHeight="true" outlineLevel="0" collapsed="false">
      <c r="A1249" s="1548" t="s">
        <v>905</v>
      </c>
      <c r="B1249" s="1549"/>
      <c r="C1249" s="1549"/>
      <c r="D1249" s="1549"/>
      <c r="E1249" s="1437"/>
      <c r="F1249" s="1550" t="n">
        <f aca="false">E1249/$E$1289</f>
        <v>0</v>
      </c>
      <c r="G1249" s="1552"/>
      <c r="I1249" s="1567"/>
      <c r="J1249" s="1568"/>
      <c r="K1249" s="1547"/>
      <c r="L1249" s="1540"/>
    </row>
    <row r="1250" customFormat="false" ht="15.75" hidden="false" customHeight="true" outlineLevel="0" collapsed="false">
      <c r="A1250" s="1566" t="s">
        <v>1774</v>
      </c>
      <c r="B1250" s="1563"/>
      <c r="C1250" s="1563"/>
      <c r="D1250" s="1563"/>
      <c r="E1250" s="1516"/>
      <c r="F1250" s="1565" t="n">
        <f aca="false">E1250/$E$1289</f>
        <v>0</v>
      </c>
      <c r="G1250" s="1569"/>
      <c r="I1250" s="1567"/>
      <c r="J1250" s="1568"/>
      <c r="K1250" s="1547"/>
      <c r="L1250" s="1540"/>
    </row>
    <row r="1251" customFormat="false" ht="15.75" hidden="false" customHeight="true" outlineLevel="0" collapsed="false">
      <c r="A1251" s="1542" t="s">
        <v>1775</v>
      </c>
      <c r="B1251" s="1543"/>
      <c r="C1251" s="1543"/>
      <c r="D1251" s="1543"/>
      <c r="E1251" s="1544" t="n">
        <f aca="false">SUM(E1252:E1259)</f>
        <v>0</v>
      </c>
      <c r="F1251" s="1545"/>
      <c r="G1251" s="1546"/>
      <c r="I1251" s="1570"/>
      <c r="J1251" s="1570"/>
      <c r="K1251" s="1547"/>
      <c r="L1251" s="1540"/>
    </row>
    <row r="1252" customFormat="false" ht="15.75" hidden="false" customHeight="true" outlineLevel="0" collapsed="false">
      <c r="A1252" s="1548" t="s">
        <v>907</v>
      </c>
      <c r="B1252" s="1549"/>
      <c r="C1252" s="1549"/>
      <c r="D1252" s="1549"/>
      <c r="E1252" s="1437"/>
      <c r="F1252" s="1550" t="n">
        <f aca="false">E1252/$E$1289</f>
        <v>0</v>
      </c>
      <c r="G1252" s="1552"/>
      <c r="I1252" s="1570"/>
      <c r="J1252" s="1570"/>
      <c r="K1252" s="1547"/>
      <c r="L1252" s="1540"/>
    </row>
    <row r="1253" customFormat="false" ht="15" hidden="false" customHeight="true" outlineLevel="0" collapsed="false">
      <c r="A1253" s="1548" t="s">
        <v>908</v>
      </c>
      <c r="B1253" s="1549"/>
      <c r="C1253" s="1549"/>
      <c r="D1253" s="1549"/>
      <c r="E1253" s="1437"/>
      <c r="F1253" s="1550" t="n">
        <f aca="false">E1253/$E$1289</f>
        <v>0</v>
      </c>
      <c r="G1253" s="1552"/>
      <c r="I1253" s="1001"/>
      <c r="K1253" s="1547"/>
      <c r="L1253" s="1540"/>
    </row>
    <row r="1254" customFormat="false" ht="15" hidden="false" customHeight="true" outlineLevel="0" collapsed="false">
      <c r="A1254" s="1548" t="s">
        <v>909</v>
      </c>
      <c r="B1254" s="1549"/>
      <c r="C1254" s="1549"/>
      <c r="D1254" s="1549"/>
      <c r="E1254" s="1437"/>
      <c r="F1254" s="1550" t="n">
        <f aca="false">E1254/$E$1289</f>
        <v>0</v>
      </c>
      <c r="G1254" s="1552"/>
      <c r="I1254" s="1001"/>
      <c r="K1254" s="1547"/>
      <c r="L1254" s="1540"/>
    </row>
    <row r="1255" customFormat="false" ht="15" hidden="false" customHeight="true" outlineLevel="0" collapsed="false">
      <c r="A1255" s="1548" t="s">
        <v>910</v>
      </c>
      <c r="B1255" s="1549"/>
      <c r="C1255" s="1549"/>
      <c r="D1255" s="1549"/>
      <c r="E1255" s="1437"/>
      <c r="F1255" s="1550" t="n">
        <f aca="false">E1255/$E$1289</f>
        <v>0</v>
      </c>
      <c r="G1255" s="1552"/>
      <c r="I1255" s="1001"/>
      <c r="K1255" s="1547"/>
      <c r="L1255" s="1540"/>
    </row>
    <row r="1256" customFormat="false" ht="15" hidden="false" customHeight="true" outlineLevel="0" collapsed="false">
      <c r="A1256" s="1548" t="s">
        <v>911</v>
      </c>
      <c r="B1256" s="1549"/>
      <c r="C1256" s="1549"/>
      <c r="D1256" s="1549"/>
      <c r="E1256" s="1437"/>
      <c r="F1256" s="1550" t="n">
        <f aca="false">E1256/$E$1289</f>
        <v>0</v>
      </c>
      <c r="G1256" s="1552"/>
      <c r="I1256" s="1001"/>
      <c r="K1256" s="1547"/>
      <c r="L1256" s="1540"/>
    </row>
    <row r="1257" customFormat="false" ht="15" hidden="false" customHeight="true" outlineLevel="0" collapsed="false">
      <c r="A1257" s="1548" t="s">
        <v>912</v>
      </c>
      <c r="B1257" s="1549"/>
      <c r="C1257" s="1549"/>
      <c r="D1257" s="1549"/>
      <c r="E1257" s="1571"/>
      <c r="F1257" s="1550" t="n">
        <f aca="false">E1257/$E$1289</f>
        <v>0</v>
      </c>
      <c r="G1257" s="1552"/>
      <c r="I1257" s="1001"/>
      <c r="K1257" s="1547"/>
      <c r="L1257" s="1540"/>
    </row>
    <row r="1258" customFormat="false" ht="15" hidden="false" customHeight="true" outlineLevel="0" collapsed="false">
      <c r="A1258" s="1548" t="s">
        <v>913</v>
      </c>
      <c r="B1258" s="1549"/>
      <c r="C1258" s="1549"/>
      <c r="D1258" s="1549"/>
      <c r="E1258" s="1571"/>
      <c r="F1258" s="1550" t="n">
        <f aca="false">E1258/$E$1289</f>
        <v>0</v>
      </c>
      <c r="G1258" s="1552"/>
      <c r="I1258" s="1001"/>
      <c r="K1258" s="1547"/>
      <c r="L1258" s="1540"/>
    </row>
    <row r="1259" customFormat="false" ht="15.75" hidden="false" customHeight="true" outlineLevel="0" collapsed="false">
      <c r="A1259" s="1548" t="s">
        <v>914</v>
      </c>
      <c r="B1259" s="1563"/>
      <c r="C1259" s="1563"/>
      <c r="D1259" s="1563"/>
      <c r="E1259" s="1516"/>
      <c r="F1259" s="1565" t="n">
        <f aca="false">E1259/$E$1289</f>
        <v>0</v>
      </c>
      <c r="G1259" s="1569"/>
      <c r="I1259" s="1323"/>
      <c r="K1259" s="1547"/>
      <c r="L1259" s="1540"/>
      <c r="R1259" s="70"/>
    </row>
    <row r="1260" customFormat="false" ht="15" hidden="false" customHeight="true" outlineLevel="0" collapsed="false">
      <c r="A1260" s="1542" t="s">
        <v>915</v>
      </c>
      <c r="B1260" s="1543"/>
      <c r="C1260" s="1543"/>
      <c r="D1260" s="1543"/>
      <c r="E1260" s="1544" t="n">
        <f aca="false">SUM(E1261:E1263)</f>
        <v>0</v>
      </c>
      <c r="F1260" s="1545"/>
      <c r="G1260" s="1546"/>
      <c r="I1260" s="1323"/>
      <c r="K1260" s="1547"/>
      <c r="L1260" s="1540"/>
    </row>
    <row r="1261" customFormat="false" ht="15" hidden="false" customHeight="true" outlineLevel="0" collapsed="false">
      <c r="A1261" s="1548" t="s">
        <v>916</v>
      </c>
      <c r="B1261" s="1549"/>
      <c r="C1261" s="1549"/>
      <c r="D1261" s="1549"/>
      <c r="E1261" s="1437"/>
      <c r="F1261" s="1550" t="n">
        <f aca="false">E1261/$E$1289</f>
        <v>0</v>
      </c>
      <c r="G1261" s="1551"/>
      <c r="I1261" s="1323"/>
      <c r="K1261" s="1547"/>
      <c r="L1261" s="1540"/>
    </row>
    <row r="1262" customFormat="false" ht="15" hidden="false" customHeight="true" outlineLevel="0" collapsed="false">
      <c r="A1262" s="1548" t="s">
        <v>917</v>
      </c>
      <c r="B1262" s="1549"/>
      <c r="C1262" s="1549"/>
      <c r="D1262" s="1549"/>
      <c r="E1262" s="1437"/>
      <c r="F1262" s="1550" t="n">
        <f aca="false">E1262/$E$1289</f>
        <v>0</v>
      </c>
      <c r="G1262" s="1552"/>
      <c r="I1262" s="1323"/>
      <c r="K1262" s="1547"/>
      <c r="L1262" s="1540"/>
    </row>
    <row r="1263" customFormat="false" ht="15" hidden="false" customHeight="true" outlineLevel="0" collapsed="false">
      <c r="A1263" s="1566" t="s">
        <v>918</v>
      </c>
      <c r="B1263" s="1563"/>
      <c r="C1263" s="1563"/>
      <c r="D1263" s="1563"/>
      <c r="E1263" s="1516"/>
      <c r="F1263" s="1565" t="n">
        <f aca="false">E1263/$E$1289</f>
        <v>0</v>
      </c>
      <c r="G1263" s="1569"/>
      <c r="I1263" s="1323"/>
      <c r="K1263" s="1547"/>
      <c r="L1263" s="1540"/>
    </row>
    <row r="1264" customFormat="false" ht="15" hidden="false" customHeight="true" outlineLevel="0" collapsed="false">
      <c r="A1264" s="1542" t="s">
        <v>919</v>
      </c>
      <c r="B1264" s="1543"/>
      <c r="C1264" s="1543"/>
      <c r="D1264" s="1543"/>
      <c r="E1264" s="1544" t="n">
        <f aca="false">SUM(E1265:E1266)</f>
        <v>12635</v>
      </c>
      <c r="F1264" s="1545"/>
      <c r="G1264" s="1546" t="n">
        <f aca="false">53747.47+12635</f>
        <v>66382.47</v>
      </c>
      <c r="I1264" s="1323"/>
      <c r="K1264" s="1547"/>
      <c r="L1264" s="1540"/>
    </row>
    <row r="1265" customFormat="false" ht="15" hidden="false" customHeight="true" outlineLevel="0" collapsed="false">
      <c r="A1265" s="1548" t="s">
        <v>916</v>
      </c>
      <c r="B1265" s="1549"/>
      <c r="C1265" s="1549"/>
      <c r="D1265" s="1549"/>
      <c r="E1265" s="1437" t="n">
        <f aca="false">1890+2870+7875</f>
        <v>12635</v>
      </c>
      <c r="F1265" s="1550" t="n">
        <f aca="false">E1265/$E$1289</f>
        <v>0.839479104378447</v>
      </c>
      <c r="G1265" s="1551"/>
      <c r="I1265" s="1323"/>
      <c r="K1265" s="1547"/>
      <c r="L1265" s="1540"/>
    </row>
    <row r="1266" customFormat="false" ht="15.75" hidden="false" customHeight="true" outlineLevel="0" collapsed="false">
      <c r="A1266" s="1566" t="s">
        <v>920</v>
      </c>
      <c r="B1266" s="1563"/>
      <c r="C1266" s="1563"/>
      <c r="D1266" s="1563"/>
      <c r="E1266" s="1516"/>
      <c r="F1266" s="1565" t="n">
        <f aca="false">E1266/$E$1289</f>
        <v>0</v>
      </c>
      <c r="G1266" s="1569"/>
      <c r="I1266" s="1323"/>
      <c r="K1266" s="1547"/>
      <c r="L1266" s="1540"/>
    </row>
    <row r="1267" customFormat="false" ht="15" hidden="false" customHeight="true" outlineLevel="0" collapsed="false">
      <c r="A1267" s="1542" t="s">
        <v>921</v>
      </c>
      <c r="B1267" s="1543"/>
      <c r="C1267" s="1543"/>
      <c r="D1267" s="1543"/>
      <c r="E1267" s="1544" t="n">
        <f aca="false">SUM(E1268:E1271)</f>
        <v>2416</v>
      </c>
      <c r="F1267" s="1545"/>
      <c r="G1267" s="1546" t="n">
        <f aca="false">18770.21+2416</f>
        <v>21186.21</v>
      </c>
      <c r="I1267" s="1323"/>
      <c r="K1267" s="1547"/>
      <c r="L1267" s="1540"/>
    </row>
    <row r="1268" customFormat="false" ht="15" hidden="false" customHeight="true" outlineLevel="0" collapsed="false">
      <c r="A1268" s="1548" t="s">
        <v>922</v>
      </c>
      <c r="B1268" s="1549"/>
      <c r="C1268" s="1549"/>
      <c r="D1268" s="1549"/>
      <c r="E1268" s="1437" t="n">
        <v>2416</v>
      </c>
      <c r="F1268" s="1550" t="n">
        <f aca="false">E1268/$E$1289</f>
        <v>0.160520895621553</v>
      </c>
      <c r="G1268" s="1561"/>
      <c r="I1268" s="1323"/>
      <c r="K1268" s="1547"/>
      <c r="L1268" s="1540"/>
    </row>
    <row r="1269" s="70" customFormat="true" ht="15" hidden="false" customHeight="true" outlineLevel="0" collapsed="false">
      <c r="A1269" s="1548" t="s">
        <v>917</v>
      </c>
      <c r="B1269" s="1549"/>
      <c r="C1269" s="1549"/>
      <c r="D1269" s="1549"/>
      <c r="E1269" s="1437"/>
      <c r="F1269" s="1550" t="n">
        <f aca="false">E1269/$E$1289</f>
        <v>0</v>
      </c>
      <c r="G1269" s="1561"/>
      <c r="H1269" s="11"/>
      <c r="I1269" s="1323"/>
      <c r="K1269" s="1547"/>
      <c r="L1269" s="1540"/>
      <c r="M1269" s="11"/>
      <c r="N1269" s="11"/>
      <c r="O1269" s="11"/>
      <c r="P1269" s="11"/>
      <c r="Q1269" s="11"/>
      <c r="R1269" s="11"/>
    </row>
    <row r="1270" customFormat="false" ht="15" hidden="false" customHeight="true" outlineLevel="0" collapsed="false">
      <c r="A1270" s="1548" t="s">
        <v>918</v>
      </c>
      <c r="B1270" s="1549"/>
      <c r="C1270" s="1549"/>
      <c r="D1270" s="1549"/>
      <c r="E1270" s="1437"/>
      <c r="F1270" s="1550" t="n">
        <f aca="false">E1270/$E$1289</f>
        <v>0</v>
      </c>
      <c r="G1270" s="1561"/>
      <c r="I1270" s="1323"/>
      <c r="K1270" s="1547"/>
      <c r="L1270" s="1540"/>
    </row>
    <row r="1271" customFormat="false" ht="15.75" hidden="false" customHeight="true" outlineLevel="0" collapsed="false">
      <c r="A1271" s="1566" t="s">
        <v>920</v>
      </c>
      <c r="B1271" s="1563"/>
      <c r="C1271" s="1563"/>
      <c r="D1271" s="1563"/>
      <c r="E1271" s="1516"/>
      <c r="F1271" s="1565" t="n">
        <f aca="false">E1271/$E$1289</f>
        <v>0</v>
      </c>
      <c r="G1271" s="1561"/>
      <c r="I1271" s="1323"/>
      <c r="K1271" s="1547"/>
      <c r="L1271" s="1540"/>
    </row>
    <row r="1272" customFormat="false" ht="15" hidden="false" customHeight="true" outlineLevel="0" collapsed="false">
      <c r="A1272" s="1542" t="s">
        <v>1776</v>
      </c>
      <c r="B1272" s="1543"/>
      <c r="C1272" s="1543"/>
      <c r="D1272" s="1543"/>
      <c r="E1272" s="1544" t="n">
        <f aca="false">SUM(E1273:E1276)</f>
        <v>0</v>
      </c>
      <c r="F1272" s="1545"/>
      <c r="G1272" s="1546"/>
      <c r="I1272" s="1323"/>
      <c r="K1272" s="1547"/>
      <c r="L1272" s="1540"/>
    </row>
    <row r="1273" customFormat="false" ht="15" hidden="false" customHeight="true" outlineLevel="0" collapsed="false">
      <c r="A1273" s="1548" t="s">
        <v>922</v>
      </c>
      <c r="B1273" s="1549"/>
      <c r="C1273" s="1549"/>
      <c r="D1273" s="1549"/>
      <c r="E1273" s="1437"/>
      <c r="F1273" s="1550" t="n">
        <f aca="false">E1273/$E$1289</f>
        <v>0</v>
      </c>
      <c r="G1273" s="1561"/>
      <c r="I1273" s="1323"/>
      <c r="K1273" s="1547"/>
      <c r="L1273" s="1540"/>
    </row>
    <row r="1274" customFormat="false" ht="15.75" hidden="false" customHeight="true" outlineLevel="0" collapsed="false">
      <c r="A1274" s="1548" t="s">
        <v>917</v>
      </c>
      <c r="B1274" s="1549"/>
      <c r="C1274" s="1549"/>
      <c r="D1274" s="1549"/>
      <c r="E1274" s="1437"/>
      <c r="F1274" s="1550" t="n">
        <f aca="false">E1274/$E$1289</f>
        <v>0</v>
      </c>
      <c r="G1274" s="1561"/>
      <c r="H1274" s="19"/>
      <c r="I1274" s="1323"/>
      <c r="K1274" s="1547"/>
      <c r="L1274" s="1540"/>
    </row>
    <row r="1275" customFormat="false" ht="15" hidden="false" customHeight="true" outlineLevel="0" collapsed="false">
      <c r="A1275" s="1548" t="s">
        <v>918</v>
      </c>
      <c r="B1275" s="1549"/>
      <c r="C1275" s="1549"/>
      <c r="D1275" s="1549"/>
      <c r="E1275" s="1437"/>
      <c r="F1275" s="1550" t="n">
        <f aca="false">E1275/$E$1289</f>
        <v>0</v>
      </c>
      <c r="G1275" s="1561"/>
      <c r="H1275" s="19"/>
      <c r="I1275" s="1323"/>
      <c r="K1275" s="1547"/>
      <c r="L1275" s="1540"/>
    </row>
    <row r="1276" customFormat="false" ht="15" hidden="false" customHeight="true" outlineLevel="0" collapsed="false">
      <c r="A1276" s="1566" t="s">
        <v>920</v>
      </c>
      <c r="B1276" s="1563"/>
      <c r="C1276" s="1563"/>
      <c r="D1276" s="1563"/>
      <c r="E1276" s="1516"/>
      <c r="F1276" s="1565" t="n">
        <f aca="false">E1276/$E$1289</f>
        <v>0</v>
      </c>
      <c r="G1276" s="1561"/>
      <c r="H1276" s="19"/>
      <c r="I1276" s="1323"/>
      <c r="K1276" s="1547"/>
      <c r="L1276" s="1540"/>
    </row>
    <row r="1277" customFormat="false" ht="15" hidden="false" customHeight="true" outlineLevel="0" collapsed="false">
      <c r="A1277" s="1542" t="s">
        <v>924</v>
      </c>
      <c r="B1277" s="1543"/>
      <c r="C1277" s="1543"/>
      <c r="D1277" s="1543"/>
      <c r="E1277" s="1544" t="n">
        <f aca="false">SUM(E1278:E1279)</f>
        <v>0</v>
      </c>
      <c r="F1277" s="1545"/>
      <c r="G1277" s="1546"/>
      <c r="I1277" s="1323"/>
      <c r="K1277" s="1547"/>
      <c r="L1277" s="1540"/>
    </row>
    <row r="1278" customFormat="false" ht="15.75" hidden="false" customHeight="true" outlineLevel="0" collapsed="false">
      <c r="A1278" s="1548" t="s">
        <v>916</v>
      </c>
      <c r="B1278" s="1549"/>
      <c r="C1278" s="1549"/>
      <c r="D1278" s="1549"/>
      <c r="E1278" s="1437"/>
      <c r="F1278" s="1550" t="n">
        <f aca="false">E1278/$E$1289</f>
        <v>0</v>
      </c>
      <c r="G1278" s="1561"/>
      <c r="I1278" s="1323"/>
      <c r="K1278" s="1547"/>
      <c r="L1278" s="1540"/>
    </row>
    <row r="1279" customFormat="false" ht="15" hidden="false" customHeight="true" outlineLevel="0" collapsed="false">
      <c r="A1279" s="1566" t="s">
        <v>920</v>
      </c>
      <c r="B1279" s="1563"/>
      <c r="C1279" s="1563"/>
      <c r="D1279" s="1563"/>
      <c r="E1279" s="1516"/>
      <c r="F1279" s="1565" t="n">
        <f aca="false">E1279/$E$1289</f>
        <v>0</v>
      </c>
      <c r="G1279" s="1561"/>
      <c r="I1279" s="1323"/>
      <c r="K1279" s="1547"/>
      <c r="L1279" s="1540"/>
    </row>
    <row r="1280" customFormat="false" ht="15" hidden="false" customHeight="true" outlineLevel="0" collapsed="false">
      <c r="A1280" s="1542" t="s">
        <v>925</v>
      </c>
      <c r="B1280" s="1543"/>
      <c r="C1280" s="1543"/>
      <c r="D1280" s="1543"/>
      <c r="E1280" s="1544" t="n">
        <f aca="false">SUM(E1281:E1283)</f>
        <v>0</v>
      </c>
      <c r="F1280" s="1545"/>
      <c r="G1280" s="1546"/>
      <c r="H1280" s="19"/>
      <c r="I1280" s="1323"/>
      <c r="J1280" s="1540"/>
      <c r="K1280" s="1547"/>
      <c r="L1280" s="1526"/>
    </row>
    <row r="1281" customFormat="false" ht="15" hidden="false" customHeight="true" outlineLevel="0" collapsed="false">
      <c r="A1281" s="1548" t="s">
        <v>916</v>
      </c>
      <c r="B1281" s="1549"/>
      <c r="C1281" s="1549"/>
      <c r="D1281" s="1549"/>
      <c r="E1281" s="1437"/>
      <c r="F1281" s="1550" t="n">
        <f aca="false">E1281/$E$1289</f>
        <v>0</v>
      </c>
      <c r="G1281" s="1561"/>
      <c r="H1281" s="19"/>
      <c r="I1281" s="1323"/>
      <c r="K1281" s="1547"/>
      <c r="L1281" s="1540"/>
    </row>
    <row r="1282" customFormat="false" ht="15" hidden="false" customHeight="true" outlineLevel="0" collapsed="false">
      <c r="A1282" s="1548" t="s">
        <v>926</v>
      </c>
      <c r="B1282" s="1549"/>
      <c r="C1282" s="1549"/>
      <c r="D1282" s="1549"/>
      <c r="E1282" s="1437"/>
      <c r="F1282" s="1550" t="n">
        <f aca="false">E1282/$E$1289</f>
        <v>0</v>
      </c>
      <c r="G1282" s="1561"/>
      <c r="H1282" s="70"/>
      <c r="I1282" s="472"/>
      <c r="J1282" s="1402"/>
      <c r="K1282" s="1395"/>
      <c r="L1282" s="1526"/>
    </row>
    <row r="1283" customFormat="false" ht="15.75" hidden="false" customHeight="true" outlineLevel="0" collapsed="false">
      <c r="A1283" s="1566" t="s">
        <v>920</v>
      </c>
      <c r="B1283" s="1563"/>
      <c r="C1283" s="1563"/>
      <c r="D1283" s="1563"/>
      <c r="E1283" s="1516"/>
      <c r="F1283" s="1565" t="n">
        <f aca="false">E1283/$E$1289</f>
        <v>0</v>
      </c>
      <c r="G1283" s="1561"/>
      <c r="H1283" s="469"/>
      <c r="I1283" s="70"/>
      <c r="J1283" s="472"/>
      <c r="K1283" s="1395"/>
      <c r="L1283" s="1526"/>
    </row>
    <row r="1284" customFormat="false" ht="15" hidden="false" customHeight="true" outlineLevel="0" collapsed="false">
      <c r="A1284" s="1542" t="s">
        <v>927</v>
      </c>
      <c r="B1284" s="1543"/>
      <c r="C1284" s="1543"/>
      <c r="D1284" s="1543"/>
      <c r="E1284" s="1544" t="n">
        <f aca="false">SUM(E1285:E1286)</f>
        <v>0</v>
      </c>
      <c r="F1284" s="1545"/>
      <c r="G1284" s="1546"/>
      <c r="H1284" s="1419"/>
      <c r="K1284" s="70"/>
    </row>
    <row r="1285" s="11" customFormat="true" ht="17.25" hidden="false" customHeight="true" outlineLevel="0" collapsed="false">
      <c r="A1285" s="1548" t="s">
        <v>928</v>
      </c>
      <c r="B1285" s="1549"/>
      <c r="C1285" s="1549"/>
      <c r="D1285" s="1549"/>
      <c r="E1285" s="1437"/>
      <c r="F1285" s="1550" t="n">
        <f aca="false">E1285/$E$1289</f>
        <v>0</v>
      </c>
      <c r="G1285" s="1551"/>
    </row>
    <row r="1286" s="11" customFormat="true" ht="17.25" hidden="false" customHeight="true" outlineLevel="0" collapsed="false">
      <c r="A1286" s="1566" t="s">
        <v>929</v>
      </c>
      <c r="B1286" s="1563"/>
      <c r="C1286" s="1563"/>
      <c r="D1286" s="1563"/>
      <c r="E1286" s="1516"/>
      <c r="F1286" s="1565" t="n">
        <f aca="false">E1286/$E$1289</f>
        <v>0</v>
      </c>
      <c r="G1286" s="1569"/>
    </row>
    <row r="1287" s="11" customFormat="true" ht="17.25" hidden="false" customHeight="true" outlineLevel="0" collapsed="false">
      <c r="A1287" s="1542" t="s">
        <v>1777</v>
      </c>
      <c r="B1287" s="1543"/>
      <c r="C1287" s="1543"/>
      <c r="D1287" s="1543"/>
      <c r="E1287" s="1544" t="n">
        <f aca="false">SUM(E1288)</f>
        <v>0</v>
      </c>
      <c r="F1287" s="1545"/>
      <c r="G1287" s="1546"/>
    </row>
    <row r="1288" s="382" customFormat="true" ht="17.25" hidden="false" customHeight="true" outlineLevel="0" collapsed="false">
      <c r="A1288" s="1566" t="s">
        <v>931</v>
      </c>
      <c r="B1288" s="1563"/>
      <c r="C1288" s="1563"/>
      <c r="D1288" s="1563"/>
      <c r="E1288" s="1516"/>
      <c r="F1288" s="1565" t="n">
        <f aca="false">E1288/$E$1289</f>
        <v>0</v>
      </c>
      <c r="G1288" s="1569"/>
      <c r="S1288" s="146"/>
      <c r="T1288" s="146"/>
      <c r="U1288" s="146"/>
      <c r="V1288" s="146"/>
      <c r="W1288" s="146"/>
      <c r="X1288" s="146"/>
      <c r="Y1288" s="146"/>
      <c r="Z1288" s="146"/>
      <c r="AA1288" s="146"/>
      <c r="AB1288" s="146"/>
      <c r="AC1288" s="146"/>
      <c r="AD1288" s="146"/>
      <c r="AE1288" s="146"/>
      <c r="AF1288" s="146"/>
      <c r="AG1288" s="146"/>
      <c r="AH1288" s="146"/>
      <c r="AI1288" s="146"/>
      <c r="AJ1288" s="146"/>
      <c r="AK1288" s="146"/>
      <c r="AL1288" s="146"/>
      <c r="AM1288" s="146"/>
      <c r="AN1288" s="146"/>
      <c r="AO1288" s="146"/>
      <c r="AP1288" s="146"/>
      <c r="AQ1288" s="146"/>
      <c r="AR1288" s="146"/>
      <c r="AS1288" s="146"/>
      <c r="AT1288" s="146"/>
      <c r="AU1288" s="146"/>
      <c r="AV1288" s="146"/>
      <c r="AW1288" s="146"/>
      <c r="AX1288" s="146"/>
      <c r="AY1288" s="146"/>
      <c r="AZ1288" s="146"/>
      <c r="BA1288" s="146"/>
      <c r="BB1288" s="146"/>
      <c r="BC1288" s="146"/>
      <c r="BD1288" s="146"/>
      <c r="BE1288" s="146"/>
      <c r="BF1288" s="146"/>
      <c r="BG1288" s="146"/>
      <c r="BH1288" s="146"/>
      <c r="BI1288" s="146"/>
      <c r="BJ1288" s="146"/>
      <c r="BK1288" s="146"/>
      <c r="BL1288" s="146"/>
      <c r="BM1288" s="146"/>
      <c r="BN1288" s="146"/>
      <c r="BO1288" s="146"/>
      <c r="BP1288" s="146"/>
      <c r="BQ1288" s="146"/>
      <c r="BR1288" s="146"/>
      <c r="BS1288" s="146"/>
      <c r="BT1288" s="146"/>
      <c r="BU1288" s="146"/>
      <c r="BV1288" s="146"/>
      <c r="BW1288" s="146"/>
      <c r="BX1288" s="146"/>
      <c r="BY1288" s="146"/>
      <c r="BZ1288" s="146"/>
      <c r="CA1288" s="146"/>
      <c r="CB1288" s="146"/>
      <c r="CC1288" s="146"/>
      <c r="CD1288" s="146"/>
      <c r="CE1288" s="146"/>
      <c r="CF1288" s="146"/>
      <c r="CG1288" s="146"/>
      <c r="CH1288" s="146"/>
      <c r="CI1288" s="146"/>
      <c r="CJ1288" s="146"/>
      <c r="CK1288" s="146"/>
      <c r="CL1288" s="146"/>
      <c r="CM1288" s="146"/>
      <c r="CN1288" s="146"/>
      <c r="CO1288" s="146"/>
      <c r="CP1288" s="146"/>
      <c r="CQ1288" s="146"/>
      <c r="CR1288" s="146"/>
      <c r="CS1288" s="146"/>
      <c r="CT1288" s="146"/>
      <c r="CU1288" s="146"/>
      <c r="CV1288" s="146"/>
      <c r="CW1288" s="146"/>
      <c r="CX1288" s="146"/>
      <c r="CY1288" s="146"/>
      <c r="CZ1288" s="146"/>
      <c r="DA1288" s="146"/>
      <c r="DB1288" s="146"/>
      <c r="DC1288" s="146"/>
      <c r="DD1288" s="146"/>
      <c r="DE1288" s="146"/>
      <c r="DF1288" s="146"/>
      <c r="DG1288" s="146"/>
      <c r="DH1288" s="146"/>
      <c r="DI1288" s="146"/>
      <c r="DJ1288" s="146"/>
      <c r="DK1288" s="146"/>
      <c r="DL1288" s="146"/>
      <c r="DM1288" s="146"/>
      <c r="DN1288" s="146"/>
      <c r="DO1288" s="146"/>
      <c r="DP1288" s="146"/>
      <c r="DQ1288" s="146"/>
      <c r="DR1288" s="146"/>
      <c r="DS1288" s="146"/>
      <c r="DT1288" s="146"/>
      <c r="DU1288" s="146"/>
      <c r="DV1288" s="146"/>
      <c r="DW1288" s="146"/>
      <c r="DX1288" s="146"/>
      <c r="DY1288" s="146"/>
      <c r="DZ1288" s="146"/>
      <c r="EA1288" s="146"/>
      <c r="EB1288" s="146"/>
      <c r="EC1288" s="146"/>
      <c r="ED1288" s="146"/>
      <c r="EE1288" s="146"/>
      <c r="EF1288" s="146"/>
      <c r="EG1288" s="146"/>
      <c r="EH1288" s="146"/>
      <c r="EI1288" s="146"/>
      <c r="EJ1288" s="146"/>
      <c r="EK1288" s="146"/>
      <c r="EL1288" s="146"/>
      <c r="EM1288" s="146"/>
      <c r="EN1288" s="146"/>
      <c r="EO1288" s="146"/>
      <c r="EP1288" s="146"/>
      <c r="EQ1288" s="146"/>
      <c r="ER1288" s="146"/>
      <c r="ES1288" s="146"/>
      <c r="ET1288" s="146"/>
      <c r="EU1288" s="146"/>
      <c r="EV1288" s="146"/>
      <c r="EW1288" s="146"/>
      <c r="EX1288" s="146"/>
      <c r="EY1288" s="146"/>
      <c r="EZ1288" s="146"/>
      <c r="FA1288" s="146"/>
      <c r="FB1288" s="146"/>
      <c r="FC1288" s="146"/>
      <c r="FD1288" s="146"/>
      <c r="FE1288" s="146"/>
      <c r="FF1288" s="146"/>
      <c r="FG1288" s="146"/>
      <c r="FH1288" s="146"/>
      <c r="FI1288" s="146"/>
      <c r="FJ1288" s="146"/>
      <c r="FK1288" s="146"/>
      <c r="FL1288" s="146"/>
      <c r="FM1288" s="146"/>
      <c r="FN1288" s="146"/>
      <c r="FO1288" s="146"/>
      <c r="FP1288" s="146"/>
      <c r="FQ1288" s="146"/>
      <c r="FR1288" s="146"/>
      <c r="FS1288" s="146"/>
      <c r="FT1288" s="146"/>
      <c r="FU1288" s="146"/>
      <c r="FV1288" s="146"/>
      <c r="FW1288" s="146"/>
      <c r="FX1288" s="146"/>
      <c r="FY1288" s="146"/>
      <c r="FZ1288" s="146"/>
      <c r="GA1288" s="146"/>
      <c r="GB1288" s="146"/>
      <c r="GC1288" s="146"/>
      <c r="GD1288" s="146"/>
      <c r="GE1288" s="146"/>
      <c r="GF1288" s="146"/>
      <c r="GG1288" s="146"/>
      <c r="GH1288" s="146"/>
      <c r="GI1288" s="146"/>
      <c r="GJ1288" s="146"/>
      <c r="GK1288" s="146"/>
      <c r="GL1288" s="146"/>
      <c r="GM1288" s="146"/>
      <c r="GN1288" s="146"/>
      <c r="GO1288" s="146"/>
      <c r="GP1288" s="146"/>
      <c r="GQ1288" s="146"/>
      <c r="GR1288" s="146"/>
      <c r="GS1288" s="146"/>
      <c r="GT1288" s="146"/>
      <c r="GU1288" s="146"/>
      <c r="GV1288" s="146"/>
      <c r="GW1288" s="146"/>
      <c r="GX1288" s="146"/>
      <c r="GY1288" s="146"/>
      <c r="GZ1288" s="146"/>
      <c r="HA1288" s="146"/>
      <c r="HB1288" s="146"/>
      <c r="HC1288" s="146"/>
      <c r="HD1288" s="146"/>
      <c r="HE1288" s="146"/>
      <c r="HF1288" s="146"/>
      <c r="HG1288" s="146"/>
      <c r="HH1288" s="146"/>
      <c r="HI1288" s="146"/>
      <c r="HJ1288" s="146"/>
      <c r="HK1288" s="146"/>
      <c r="HL1288" s="146"/>
      <c r="HM1288" s="146"/>
      <c r="HN1288" s="146"/>
      <c r="HO1288" s="146"/>
      <c r="HP1288" s="146"/>
      <c r="HQ1288" s="146"/>
      <c r="HR1288" s="146"/>
      <c r="HS1288" s="146"/>
      <c r="HT1288" s="146"/>
      <c r="HU1288" s="146"/>
      <c r="HV1288" s="146"/>
      <c r="HW1288" s="146"/>
      <c r="HX1288" s="146"/>
      <c r="HY1288" s="146"/>
      <c r="HZ1288" s="146"/>
      <c r="IA1288" s="146"/>
      <c r="IB1288" s="146"/>
      <c r="IC1288" s="146"/>
      <c r="ID1288" s="146"/>
      <c r="IE1288" s="146"/>
      <c r="IF1288" s="146"/>
      <c r="IG1288" s="146"/>
      <c r="IH1288" s="146"/>
      <c r="II1288" s="146"/>
      <c r="IJ1288" s="146"/>
      <c r="IK1288" s="146"/>
      <c r="IL1288" s="146"/>
      <c r="IM1288" s="146"/>
      <c r="IN1288" s="146"/>
      <c r="IO1288" s="146"/>
      <c r="IP1288" s="146"/>
      <c r="IQ1288" s="146"/>
      <c r="IR1288" s="146"/>
      <c r="IS1288" s="146"/>
      <c r="IT1288" s="146"/>
      <c r="IU1288" s="146"/>
      <c r="IV1288" s="146"/>
    </row>
    <row r="1289" s="11" customFormat="true" ht="15.75" hidden="false" customHeight="true" outlineLevel="0" collapsed="false">
      <c r="B1289" s="422"/>
      <c r="C1289" s="69"/>
      <c r="D1289" s="989" t="s">
        <v>1778</v>
      </c>
      <c r="E1289" s="1572" t="n">
        <f aca="false">SUM(E1230,E1235,E1241,E1246,E1251,E1260,E1264,E1267,E1272,E1277,E1280,E1284,E1287,)</f>
        <v>15051</v>
      </c>
      <c r="F1289" s="1063" t="s">
        <v>1779</v>
      </c>
      <c r="G1289" s="1572" t="n">
        <f aca="false">SUM(G1230,G1235,G1241,G1246,G1251,G1260,G1264,G1267,G1272,G1277,G1280,G1284,G1287)</f>
        <v>87568.68</v>
      </c>
    </row>
    <row r="1290" s="11" customFormat="true" ht="15" hidden="false" customHeight="true" outlineLevel="0" collapsed="false">
      <c r="B1290" s="422"/>
      <c r="C1290" s="469"/>
      <c r="D1290" s="469"/>
      <c r="E1290" s="989"/>
      <c r="F1290" s="418"/>
      <c r="G1290" s="469"/>
    </row>
    <row r="1291" s="11" customFormat="true" ht="15" hidden="false" customHeight="true" outlineLevel="0" collapsed="false">
      <c r="A1291" s="469"/>
      <c r="B1291" s="469"/>
      <c r="C1291" s="469"/>
      <c r="D1291" s="469"/>
      <c r="E1291" s="469"/>
      <c r="F1291" s="469"/>
      <c r="G1291" s="556"/>
    </row>
    <row r="1292" customFormat="false" ht="15.75" hidden="false" customHeight="true" outlineLevel="0" collapsed="false">
      <c r="A1292" s="896" t="s">
        <v>1780</v>
      </c>
      <c r="B1292" s="896"/>
      <c r="C1292" s="896"/>
      <c r="D1292" s="896"/>
      <c r="E1292" s="896"/>
      <c r="F1292" s="896"/>
      <c r="G1292" s="896"/>
      <c r="H1292" s="897"/>
      <c r="I1292" s="897"/>
      <c r="J1292" s="897"/>
      <c r="K1292" s="898"/>
      <c r="L1292" s="899" t="s">
        <v>1621</v>
      </c>
    </row>
    <row r="1293" customFormat="false" ht="14" hidden="false" customHeight="true" outlineLevel="0" collapsed="false">
      <c r="A1293" s="1126"/>
      <c r="B1293" s="1126"/>
      <c r="C1293" s="1126"/>
      <c r="D1293" s="1126"/>
      <c r="E1293" s="1126"/>
      <c r="F1293" s="1126"/>
      <c r="G1293" s="1126"/>
      <c r="H1293" s="146"/>
      <c r="I1293" s="146"/>
      <c r="J1293" s="146"/>
      <c r="K1293" s="458"/>
      <c r="L1293" s="459"/>
    </row>
    <row r="1294" customFormat="false" ht="15.75" hidden="false" customHeight="true" outlineLevel="0" collapsed="false">
      <c r="A1294" s="639" t="s">
        <v>934</v>
      </c>
      <c r="B1294" s="840"/>
      <c r="C1294" s="840"/>
      <c r="D1294" s="1573" t="n">
        <v>0.7</v>
      </c>
      <c r="E1294" s="840"/>
      <c r="K1294" s="1562"/>
      <c r="L1294" s="1574"/>
    </row>
    <row r="1295" customFormat="false" ht="15.75" hidden="false" customHeight="true" outlineLevel="0" collapsed="false">
      <c r="A1295" s="1029" t="s">
        <v>935</v>
      </c>
      <c r="B1295" s="1357" t="s">
        <v>1781</v>
      </c>
      <c r="C1295" s="1357"/>
      <c r="D1295" s="1357"/>
      <c r="E1295" s="1357"/>
      <c r="F1295" s="1575"/>
      <c r="H1295" s="73"/>
      <c r="I1295" s="1576"/>
      <c r="J1295" s="1577"/>
      <c r="M1295" s="1540"/>
    </row>
    <row r="1296" customFormat="false" ht="15" hidden="false" customHeight="true" outlineLevel="0" collapsed="false">
      <c r="B1296" s="840"/>
      <c r="C1296" s="1575"/>
      <c r="D1296" s="1575"/>
      <c r="E1296" s="1575"/>
      <c r="G1296" s="1575"/>
      <c r="H1296" s="73"/>
      <c r="I1296" s="1576"/>
      <c r="J1296" s="1577"/>
      <c r="K1296" s="1562"/>
      <c r="L1296" s="1574"/>
      <c r="M1296" s="1540"/>
    </row>
    <row r="1297" customFormat="false" ht="15" hidden="false" customHeight="true" outlineLevel="0" collapsed="false">
      <c r="A1297" s="639" t="s">
        <v>936</v>
      </c>
      <c r="B1297" s="639"/>
      <c r="C1297" s="639"/>
      <c r="D1297" s="1573" t="s">
        <v>937</v>
      </c>
      <c r="E1297" s="430"/>
      <c r="G1297" s="430"/>
      <c r="H1297" s="19"/>
      <c r="I1297" s="1211"/>
      <c r="J1297" s="694"/>
      <c r="K1297" s="1562"/>
      <c r="L1297" s="1574"/>
      <c r="M1297" s="1540"/>
    </row>
    <row r="1298" customFormat="false" ht="15.75" hidden="false" customHeight="true" outlineLevel="0" collapsed="false">
      <c r="A1298" s="15" t="s">
        <v>939</v>
      </c>
      <c r="B1298" s="1333"/>
      <c r="C1298" s="1333"/>
      <c r="D1298" s="1333"/>
      <c r="E1298" s="1333"/>
      <c r="G1298" s="1578"/>
      <c r="K1298" s="1562"/>
      <c r="L1298" s="1523"/>
      <c r="M1298" s="1540"/>
    </row>
    <row r="1299" customFormat="false" ht="15.75" hidden="false" customHeight="true" outlineLevel="0" collapsed="false">
      <c r="G1299" s="1578"/>
      <c r="K1299" s="1562"/>
      <c r="L1299" s="1574"/>
      <c r="M1299" s="1540"/>
    </row>
    <row r="1300" customFormat="false" ht="15.75" hidden="false" customHeight="true" outlineLevel="0" collapsed="false">
      <c r="A1300" s="1094" t="s">
        <v>1782</v>
      </c>
      <c r="B1300" s="1052"/>
      <c r="C1300" s="19"/>
      <c r="D1300" s="1573" t="s">
        <v>243</v>
      </c>
      <c r="E1300" s="19"/>
      <c r="F1300" s="1579"/>
      <c r="H1300" s="314"/>
      <c r="I1300" s="975"/>
      <c r="J1300" s="1580"/>
      <c r="K1300" s="1393"/>
      <c r="L1300" s="1523"/>
      <c r="M1300" s="1540"/>
    </row>
    <row r="1301" customFormat="false" ht="15.75" hidden="false" customHeight="true" outlineLevel="0" collapsed="false">
      <c r="A1301" s="469"/>
      <c r="B1301" s="469"/>
      <c r="C1301" s="469"/>
      <c r="D1301" s="469"/>
      <c r="E1301" s="469"/>
      <c r="F1301" s="469"/>
      <c r="G1301" s="556"/>
      <c r="H1301" s="1419"/>
      <c r="I1301" s="314"/>
      <c r="J1301" s="909"/>
      <c r="K1301" s="70"/>
      <c r="M1301" s="1540"/>
    </row>
    <row r="1302" customFormat="false" ht="15" hidden="false" customHeight="true" outlineLevel="0" collapsed="false">
      <c r="A1302" s="469"/>
      <c r="B1302" s="469"/>
      <c r="C1302" s="469"/>
      <c r="D1302" s="469"/>
      <c r="E1302" s="469"/>
      <c r="F1302" s="469"/>
      <c r="G1302" s="556"/>
      <c r="H1302" s="1419"/>
      <c r="K1302" s="70"/>
    </row>
    <row r="1303" customFormat="false" ht="15" hidden="false" customHeight="true" outlineLevel="0" collapsed="false">
      <c r="A1303" s="896" t="s">
        <v>1783</v>
      </c>
      <c r="B1303" s="896"/>
      <c r="C1303" s="896"/>
      <c r="D1303" s="896"/>
      <c r="E1303" s="896"/>
      <c r="F1303" s="896"/>
      <c r="G1303" s="896"/>
      <c r="H1303" s="897"/>
      <c r="I1303" s="897"/>
      <c r="J1303" s="897"/>
      <c r="K1303" s="898"/>
      <c r="L1303" s="899"/>
      <c r="M1303" s="1540"/>
    </row>
    <row r="1304" customFormat="false" ht="16.5" hidden="false" customHeight="true" outlineLevel="0" collapsed="false">
      <c r="A1304" s="1048"/>
      <c r="B1304" s="1048"/>
      <c r="C1304" s="1048"/>
      <c r="D1304" s="1048"/>
      <c r="E1304" s="1048"/>
      <c r="F1304" s="1048"/>
      <c r="G1304" s="1048"/>
      <c r="H1304" s="1419"/>
      <c r="K1304" s="1393"/>
      <c r="L1304" s="1523"/>
    </row>
    <row r="1305" customFormat="false" ht="15.75" hidden="false" customHeight="true" outlineLevel="0" collapsed="false">
      <c r="A1305" s="1524" t="s">
        <v>1784</v>
      </c>
      <c r="B1305" s="1581"/>
      <c r="C1305" s="1582" t="s">
        <v>1785</v>
      </c>
      <c r="D1305" s="1583" t="n">
        <f aca="false">I1170/I1172</f>
        <v>0.519848285860481</v>
      </c>
      <c r="E1305" s="1395"/>
      <c r="F1305" s="469"/>
      <c r="G1305" s="556"/>
      <c r="H1305" s="1419"/>
      <c r="K1305" s="70"/>
      <c r="M1305" s="1540"/>
    </row>
    <row r="1306" customFormat="false" ht="15" hidden="false" customHeight="true" outlineLevel="0" collapsed="false">
      <c r="A1306" s="640"/>
      <c r="B1306" s="443"/>
      <c r="C1306" s="640"/>
      <c r="D1306" s="443"/>
      <c r="E1306" s="1395"/>
      <c r="F1306" s="469"/>
      <c r="G1306" s="556"/>
      <c r="H1306" s="1419"/>
      <c r="K1306" s="70"/>
      <c r="M1306" s="19"/>
    </row>
    <row r="1307" customFormat="false" ht="15" hidden="false" customHeight="true" outlineLevel="0" collapsed="false">
      <c r="D1307" s="1526"/>
      <c r="F1307" s="469"/>
      <c r="G1307" s="556"/>
      <c r="H1307" s="1419"/>
      <c r="K1307" s="70"/>
    </row>
    <row r="1308" customFormat="false" ht="16.5" hidden="false" customHeight="true" outlineLevel="0" collapsed="false">
      <c r="A1308" s="896" t="s">
        <v>1786</v>
      </c>
      <c r="B1308" s="896"/>
      <c r="C1308" s="896"/>
      <c r="D1308" s="896"/>
      <c r="E1308" s="896"/>
      <c r="F1308" s="896"/>
      <c r="G1308" s="896"/>
      <c r="H1308" s="897"/>
      <c r="I1308" s="897"/>
      <c r="J1308" s="897"/>
      <c r="K1308" s="898"/>
      <c r="L1308" s="899" t="s">
        <v>1703</v>
      </c>
      <c r="M1308" s="19"/>
    </row>
    <row r="1309" s="11" customFormat="true" ht="16.5" hidden="false" customHeight="true" outlineLevel="0" collapsed="false">
      <c r="M1309" s="19"/>
    </row>
    <row r="1310" s="11" customFormat="true" ht="15" hidden="false" customHeight="true" outlineLevel="0" collapsed="false">
      <c r="A1310" s="639" t="s">
        <v>1787</v>
      </c>
      <c r="B1310" s="314"/>
      <c r="C1310" s="314"/>
      <c r="D1310" s="1584" t="s">
        <v>242</v>
      </c>
      <c r="E1310" s="1060" t="s">
        <v>1788</v>
      </c>
      <c r="F1310" s="1585" t="s">
        <v>1789</v>
      </c>
      <c r="G1310" s="452"/>
      <c r="K1310" s="70"/>
      <c r="L1310" s="70"/>
      <c r="M1310" s="19"/>
    </row>
    <row r="1311" customFormat="false" ht="15.75" hidden="false" customHeight="true" outlineLevel="0" collapsed="false">
      <c r="A1311" s="469" t="s">
        <v>1790</v>
      </c>
      <c r="B1311" s="469"/>
      <c r="C1311" s="469"/>
      <c r="D1311" s="469"/>
      <c r="E1311" s="469"/>
      <c r="F1311" s="469"/>
      <c r="G1311" s="556"/>
      <c r="H1311" s="1419"/>
      <c r="M1311" s="19"/>
    </row>
    <row r="1312" customFormat="false" ht="15.75" hidden="false" customHeight="true" outlineLevel="0" collapsed="false">
      <c r="A1312" s="469"/>
      <c r="B1312" s="469"/>
      <c r="C1312" s="469"/>
      <c r="D1312" s="469"/>
      <c r="E1312" s="469"/>
      <c r="F1312" s="469"/>
      <c r="G1312" s="556"/>
      <c r="H1312" s="1419"/>
      <c r="K1312" s="70"/>
      <c r="M1312" s="19"/>
    </row>
    <row r="1313" customFormat="false" ht="15" hidden="false" customHeight="true" outlineLevel="0" collapsed="false">
      <c r="A1313" s="896" t="s">
        <v>1791</v>
      </c>
      <c r="B1313" s="896"/>
      <c r="C1313" s="896"/>
      <c r="D1313" s="896"/>
      <c r="E1313" s="896"/>
      <c r="F1313" s="896"/>
      <c r="G1313" s="896"/>
      <c r="H1313" s="897"/>
      <c r="I1313" s="897"/>
      <c r="J1313" s="897"/>
      <c r="K1313" s="898"/>
      <c r="L1313" s="899"/>
    </row>
    <row r="1314" customFormat="false" ht="15" hidden="false" customHeight="true" outlineLevel="0" collapsed="false">
      <c r="A1314" s="1048"/>
      <c r="B1314" s="1048"/>
      <c r="C1314" s="1048"/>
      <c r="D1314" s="1048"/>
      <c r="E1314" s="1048"/>
      <c r="F1314" s="1048"/>
      <c r="G1314" s="1048"/>
      <c r="H1314" s="1419"/>
      <c r="K1314" s="1393"/>
      <c r="L1314" s="1574"/>
    </row>
    <row r="1315" customFormat="false" ht="15.75" hidden="false" customHeight="true" outlineLevel="0" collapsed="false">
      <c r="A1315" s="1586" t="s">
        <v>1792</v>
      </c>
      <c r="B1315" s="1586"/>
      <c r="C1315" s="1586"/>
      <c r="D1315" s="1587" t="n">
        <f aca="false">I1192/B27</f>
        <v>569018.5</v>
      </c>
      <c r="E1315" s="469"/>
      <c r="F1315" s="469"/>
      <c r="G1315" s="556"/>
      <c r="H1315" s="1419"/>
      <c r="K1315" s="70"/>
    </row>
    <row r="1316" s="382" customFormat="true" ht="15.75" hidden="false" customHeight="true" outlineLevel="0" collapsed="false">
      <c r="A1316" s="469"/>
      <c r="B1316" s="469"/>
      <c r="C1316" s="469"/>
      <c r="D1316" s="469"/>
      <c r="E1316" s="469"/>
      <c r="F1316" s="469"/>
      <c r="G1316" s="556"/>
      <c r="H1316" s="1419"/>
      <c r="J1316" s="12"/>
      <c r="K1316" s="70"/>
      <c r="S1316" s="146"/>
      <c r="T1316" s="146"/>
      <c r="U1316" s="146"/>
      <c r="V1316" s="146"/>
      <c r="W1316" s="146"/>
      <c r="X1316" s="146"/>
      <c r="Y1316" s="146"/>
      <c r="Z1316" s="146"/>
      <c r="AA1316" s="146"/>
      <c r="AB1316" s="146"/>
      <c r="AC1316" s="146"/>
      <c r="AD1316" s="146"/>
      <c r="AE1316" s="146"/>
      <c r="AF1316" s="146"/>
      <c r="AG1316" s="146"/>
      <c r="AH1316" s="146"/>
      <c r="AI1316" s="146"/>
      <c r="AJ1316" s="146"/>
      <c r="AK1316" s="146"/>
      <c r="AL1316" s="146"/>
      <c r="AM1316" s="146"/>
      <c r="AN1316" s="146"/>
      <c r="AO1316" s="146"/>
      <c r="AP1316" s="146"/>
      <c r="AQ1316" s="146"/>
      <c r="AR1316" s="146"/>
      <c r="AS1316" s="146"/>
      <c r="AT1316" s="146"/>
      <c r="AU1316" s="146"/>
      <c r="AV1316" s="146"/>
      <c r="AW1316" s="146"/>
      <c r="AX1316" s="146"/>
      <c r="AY1316" s="146"/>
      <c r="AZ1316" s="146"/>
      <c r="BA1316" s="146"/>
      <c r="BB1316" s="146"/>
      <c r="BC1316" s="146"/>
      <c r="BD1316" s="146"/>
      <c r="BE1316" s="146"/>
      <c r="BF1316" s="146"/>
      <c r="BG1316" s="146"/>
      <c r="BH1316" s="146"/>
      <c r="BI1316" s="146"/>
      <c r="BJ1316" s="146"/>
      <c r="BK1316" s="146"/>
      <c r="BL1316" s="146"/>
      <c r="BM1316" s="146"/>
      <c r="BN1316" s="146"/>
      <c r="BO1316" s="146"/>
      <c r="BP1316" s="146"/>
      <c r="BQ1316" s="146"/>
      <c r="BR1316" s="146"/>
      <c r="BS1316" s="146"/>
      <c r="BT1316" s="146"/>
      <c r="BU1316" s="146"/>
      <c r="BV1316" s="146"/>
      <c r="BW1316" s="146"/>
      <c r="BX1316" s="146"/>
      <c r="BY1316" s="146"/>
      <c r="BZ1316" s="146"/>
      <c r="CA1316" s="146"/>
      <c r="CB1316" s="146"/>
      <c r="CC1316" s="146"/>
      <c r="CD1316" s="146"/>
      <c r="CE1316" s="146"/>
      <c r="CF1316" s="146"/>
      <c r="CG1316" s="146"/>
      <c r="CH1316" s="146"/>
      <c r="CI1316" s="146"/>
      <c r="CJ1316" s="146"/>
      <c r="CK1316" s="146"/>
      <c r="CL1316" s="146"/>
      <c r="CM1316" s="146"/>
      <c r="CN1316" s="146"/>
      <c r="CO1316" s="146"/>
      <c r="CP1316" s="146"/>
      <c r="CQ1316" s="146"/>
      <c r="CR1316" s="146"/>
      <c r="CS1316" s="146"/>
      <c r="CT1316" s="146"/>
      <c r="CU1316" s="146"/>
      <c r="CV1316" s="146"/>
      <c r="CW1316" s="146"/>
      <c r="CX1316" s="146"/>
      <c r="CY1316" s="146"/>
      <c r="CZ1316" s="146"/>
      <c r="DA1316" s="146"/>
      <c r="DB1316" s="146"/>
      <c r="DC1316" s="146"/>
      <c r="DD1316" s="146"/>
      <c r="DE1316" s="146"/>
      <c r="DF1316" s="146"/>
      <c r="DG1316" s="146"/>
      <c r="DH1316" s="146"/>
      <c r="DI1316" s="146"/>
      <c r="DJ1316" s="146"/>
      <c r="DK1316" s="146"/>
      <c r="DL1316" s="146"/>
      <c r="DM1316" s="146"/>
      <c r="DN1316" s="146"/>
      <c r="DO1316" s="146"/>
      <c r="DP1316" s="146"/>
      <c r="DQ1316" s="146"/>
      <c r="DR1316" s="146"/>
      <c r="DS1316" s="146"/>
      <c r="DT1316" s="146"/>
      <c r="DU1316" s="146"/>
      <c r="DV1316" s="146"/>
      <c r="DW1316" s="146"/>
      <c r="DX1316" s="146"/>
      <c r="DY1316" s="146"/>
      <c r="DZ1316" s="146"/>
      <c r="EA1316" s="146"/>
      <c r="EB1316" s="146"/>
      <c r="EC1316" s="146"/>
      <c r="ED1316" s="146"/>
      <c r="EE1316" s="146"/>
      <c r="EF1316" s="146"/>
      <c r="EG1316" s="146"/>
      <c r="EH1316" s="146"/>
      <c r="EI1316" s="146"/>
      <c r="EJ1316" s="146"/>
      <c r="EK1316" s="146"/>
      <c r="EL1316" s="146"/>
      <c r="EM1316" s="146"/>
      <c r="EN1316" s="146"/>
      <c r="EO1316" s="146"/>
      <c r="EP1316" s="146"/>
      <c r="EQ1316" s="146"/>
      <c r="ER1316" s="146"/>
      <c r="ES1316" s="146"/>
      <c r="ET1316" s="146"/>
      <c r="EU1316" s="146"/>
      <c r="EV1316" s="146"/>
      <c r="EW1316" s="146"/>
      <c r="EX1316" s="146"/>
      <c r="EY1316" s="146"/>
      <c r="EZ1316" s="146"/>
      <c r="FA1316" s="146"/>
      <c r="FB1316" s="146"/>
      <c r="FC1316" s="146"/>
      <c r="FD1316" s="146"/>
      <c r="FE1316" s="146"/>
      <c r="FF1316" s="146"/>
      <c r="FG1316" s="146"/>
      <c r="FH1316" s="146"/>
      <c r="FI1316" s="146"/>
      <c r="FJ1316" s="146"/>
      <c r="FK1316" s="146"/>
      <c r="FL1316" s="146"/>
      <c r="FM1316" s="146"/>
      <c r="FN1316" s="146"/>
      <c r="FO1316" s="146"/>
      <c r="FP1316" s="146"/>
      <c r="FQ1316" s="146"/>
      <c r="FR1316" s="146"/>
      <c r="FS1316" s="146"/>
      <c r="FT1316" s="146"/>
      <c r="FU1316" s="146"/>
      <c r="FV1316" s="146"/>
      <c r="FW1316" s="146"/>
      <c r="FX1316" s="146"/>
      <c r="FY1316" s="146"/>
      <c r="FZ1316" s="146"/>
      <c r="GA1316" s="146"/>
      <c r="GB1316" s="146"/>
      <c r="GC1316" s="146"/>
      <c r="GD1316" s="146"/>
      <c r="GE1316" s="146"/>
      <c r="GF1316" s="146"/>
      <c r="GG1316" s="146"/>
      <c r="GH1316" s="146"/>
      <c r="GI1316" s="146"/>
      <c r="GJ1316" s="146"/>
      <c r="GK1316" s="146"/>
      <c r="GL1316" s="146"/>
      <c r="GM1316" s="146"/>
      <c r="GN1316" s="146"/>
      <c r="GO1316" s="146"/>
      <c r="GP1316" s="146"/>
      <c r="GQ1316" s="146"/>
      <c r="GR1316" s="146"/>
      <c r="GS1316" s="146"/>
      <c r="GT1316" s="146"/>
      <c r="GU1316" s="146"/>
      <c r="GV1316" s="146"/>
      <c r="GW1316" s="146"/>
      <c r="GX1316" s="146"/>
      <c r="GY1316" s="146"/>
      <c r="GZ1316" s="146"/>
      <c r="HA1316" s="146"/>
      <c r="HB1316" s="146"/>
      <c r="HC1316" s="146"/>
      <c r="HD1316" s="146"/>
      <c r="HE1316" s="146"/>
      <c r="HF1316" s="146"/>
      <c r="HG1316" s="146"/>
      <c r="HH1316" s="146"/>
      <c r="HI1316" s="146"/>
      <c r="HJ1316" s="146"/>
      <c r="HK1316" s="146"/>
      <c r="HL1316" s="146"/>
      <c r="HM1316" s="146"/>
      <c r="HN1316" s="146"/>
      <c r="HO1316" s="146"/>
      <c r="HP1316" s="146"/>
      <c r="HQ1316" s="146"/>
      <c r="HR1316" s="146"/>
      <c r="HS1316" s="146"/>
      <c r="HT1316" s="146"/>
      <c r="HU1316" s="146"/>
      <c r="HV1316" s="146"/>
      <c r="HW1316" s="146"/>
      <c r="HX1316" s="146"/>
      <c r="HY1316" s="146"/>
      <c r="HZ1316" s="146"/>
      <c r="IA1316" s="146"/>
      <c r="IB1316" s="146"/>
      <c r="IC1316" s="146"/>
      <c r="ID1316" s="146"/>
      <c r="IE1316" s="146"/>
      <c r="IF1316" s="146"/>
      <c r="IG1316" s="146"/>
      <c r="IH1316" s="146"/>
      <c r="II1316" s="146"/>
      <c r="IJ1316" s="146"/>
      <c r="IK1316" s="146"/>
      <c r="IL1316" s="146"/>
      <c r="IM1316" s="146"/>
      <c r="IN1316" s="146"/>
      <c r="IO1316" s="146"/>
      <c r="IP1316" s="146"/>
      <c r="IQ1316" s="146"/>
      <c r="IR1316" s="146"/>
      <c r="IS1316" s="146"/>
      <c r="IT1316" s="146"/>
      <c r="IU1316" s="146"/>
      <c r="IV1316" s="146"/>
    </row>
    <row r="1317" customFormat="false" ht="15.75" hidden="false" customHeight="true" outlineLevel="0" collapsed="false">
      <c r="A1317" s="1586" t="s">
        <v>1793</v>
      </c>
      <c r="B1317" s="1586"/>
      <c r="C1317" s="1586"/>
      <c r="D1317" s="1587" t="n">
        <f aca="false">I1172/B27</f>
        <v>58630</v>
      </c>
      <c r="E1317" s="469"/>
      <c r="F1317" s="469"/>
      <c r="G1317" s="556"/>
      <c r="H1317" s="1419"/>
      <c r="K1317" s="70"/>
    </row>
    <row r="1318" customFormat="false" ht="15.75" hidden="false" customHeight="true" outlineLevel="0" collapsed="false">
      <c r="A1318" s="12"/>
      <c r="C1318" s="1395"/>
      <c r="D1318" s="1588"/>
      <c r="E1318" s="469"/>
      <c r="F1318" s="469"/>
      <c r="G1318" s="556"/>
      <c r="H1318" s="1419"/>
      <c r="K1318" s="70"/>
    </row>
    <row r="1319" customFormat="false" ht="15.75" hidden="false" customHeight="true" outlineLevel="0" collapsed="false">
      <c r="A1319" s="12"/>
      <c r="C1319" s="1395"/>
      <c r="D1319" s="1588"/>
      <c r="E1319" s="469"/>
      <c r="F1319" s="469"/>
      <c r="G1319" s="556"/>
      <c r="H1319" s="1419"/>
      <c r="I1319" s="314"/>
      <c r="J1319" s="909"/>
      <c r="K1319" s="70"/>
    </row>
    <row r="1320" customFormat="false" ht="15.75" hidden="false" customHeight="true" outlineLevel="0" collapsed="false">
      <c r="A1320" s="896" t="s">
        <v>1794</v>
      </c>
      <c r="B1320" s="896"/>
      <c r="C1320" s="896"/>
      <c r="D1320" s="896"/>
      <c r="E1320" s="896"/>
      <c r="F1320" s="896"/>
      <c r="G1320" s="896"/>
      <c r="H1320" s="897"/>
      <c r="I1320" s="897"/>
      <c r="J1320" s="897"/>
      <c r="K1320" s="898"/>
      <c r="L1320" s="899" t="s">
        <v>1703</v>
      </c>
    </row>
    <row r="1321" customFormat="false" ht="15.75" hidden="false" customHeight="true" outlineLevel="0" collapsed="false">
      <c r="A1321" s="1126"/>
      <c r="B1321" s="1126"/>
      <c r="C1321" s="1126"/>
      <c r="D1321" s="1126"/>
      <c r="E1321" s="1126"/>
      <c r="F1321" s="1126"/>
      <c r="G1321" s="1126"/>
      <c r="H1321" s="146"/>
      <c r="I1321" s="146"/>
      <c r="J1321" s="146"/>
      <c r="K1321" s="458"/>
      <c r="L1321" s="459"/>
    </row>
    <row r="1322" customFormat="false" ht="15.75" hidden="false" customHeight="true" outlineLevel="0" collapsed="false">
      <c r="A1322" s="1094" t="s">
        <v>1795</v>
      </c>
      <c r="D1322" s="1589" t="s">
        <v>869</v>
      </c>
      <c r="H1322" s="1590"/>
      <c r="I1322" s="975"/>
      <c r="J1322" s="1580"/>
      <c r="K1322" s="1393"/>
      <c r="L1322" s="1523"/>
    </row>
    <row r="1323" customFormat="false" ht="15.75" hidden="false" customHeight="true" outlineLevel="0" collapsed="false">
      <c r="A1323" s="1094"/>
      <c r="H1323" s="1590"/>
      <c r="I1323" s="975"/>
      <c r="J1323" s="1580"/>
      <c r="K1323" s="1393"/>
      <c r="L1323" s="1523"/>
    </row>
    <row r="1324" customFormat="false" ht="15" hidden="false" customHeight="true" outlineLevel="0" collapsed="false">
      <c r="A1324" s="1094"/>
      <c r="E1324" s="1211"/>
      <c r="H1324" s="1590"/>
      <c r="I1324" s="975"/>
      <c r="J1324" s="1580"/>
      <c r="K1324" s="1393"/>
      <c r="L1324" s="1523"/>
    </row>
    <row r="1325" customFormat="false" ht="15" hidden="false" customHeight="true" outlineLevel="0" collapsed="false">
      <c r="A1325" s="1008" t="s">
        <v>872</v>
      </c>
      <c r="B1325" s="1008"/>
      <c r="D1325" s="1589" t="s">
        <v>242</v>
      </c>
      <c r="E1325" s="19"/>
      <c r="G1325" s="314"/>
      <c r="H1325" s="19"/>
      <c r="I1325" s="314"/>
      <c r="J1325" s="909"/>
      <c r="K1325" s="1591"/>
      <c r="L1325" s="1592"/>
    </row>
    <row r="1326" s="11" customFormat="true" ht="15.75" hidden="false" customHeight="true" outlineLevel="0" collapsed="false">
      <c r="A1326" s="1593" t="s">
        <v>873</v>
      </c>
      <c r="B1326" s="694"/>
      <c r="C1326" s="840"/>
      <c r="D1326" s="1578"/>
      <c r="K1326" s="1591"/>
      <c r="L1326" s="1592"/>
    </row>
    <row r="1327" s="11" customFormat="true" ht="15.75" hidden="false" customHeight="true" outlineLevel="0" collapsed="false">
      <c r="A1327" s="14"/>
      <c r="B1327" s="1594"/>
      <c r="C1327" s="1339"/>
      <c r="D1327" s="314"/>
      <c r="K1327" s="1393"/>
      <c r="L1327" s="1523"/>
    </row>
    <row r="1328" s="11" customFormat="true" ht="15" hidden="false" customHeight="true" outlineLevel="0" collapsed="false">
      <c r="A1328" s="639" t="s">
        <v>1796</v>
      </c>
      <c r="B1328" s="639"/>
      <c r="C1328" s="1339"/>
      <c r="D1328" s="1589" t="s">
        <v>242</v>
      </c>
      <c r="K1328" s="1393"/>
      <c r="L1328" s="1523"/>
    </row>
    <row r="1329" customFormat="false" ht="15" hidden="false" customHeight="true" outlineLevel="0" collapsed="false">
      <c r="A1329" s="1060" t="s">
        <v>1797</v>
      </c>
      <c r="B1329" s="1396" t="s">
        <v>1798</v>
      </c>
      <c r="C1329" s="1333"/>
      <c r="D1329" s="1333"/>
      <c r="E1329" s="1333"/>
      <c r="F1329" s="1333"/>
      <c r="G1329" s="1333"/>
      <c r="H1329" s="1333"/>
      <c r="I1329" s="1339"/>
      <c r="J1329" s="1595"/>
      <c r="K1329" s="1393"/>
      <c r="L1329" s="1523"/>
    </row>
    <row r="1330" customFormat="false" ht="15.75" hidden="false" customHeight="true" outlineLevel="0" collapsed="false">
      <c r="H1330" s="1339"/>
      <c r="J1330" s="1077"/>
      <c r="K1330" s="1393"/>
      <c r="L1330" s="1523"/>
    </row>
    <row r="1331" customFormat="false" ht="15.75" hidden="false" customHeight="true" outlineLevel="0" collapsed="false">
      <c r="A1331" s="1008" t="s">
        <v>1799</v>
      </c>
      <c r="B1331" s="1008"/>
      <c r="D1331" s="1589" t="s">
        <v>879</v>
      </c>
      <c r="G1331" s="69"/>
      <c r="H1331" s="69"/>
      <c r="I1331" s="69"/>
      <c r="J1331" s="1596"/>
      <c r="K1331" s="1393"/>
      <c r="L1331" s="1523"/>
    </row>
    <row r="1332" customFormat="false" ht="16.5" hidden="false" customHeight="true" outlineLevel="0" collapsed="false">
      <c r="A1332" s="1593" t="s">
        <v>878</v>
      </c>
      <c r="B1332" s="1597"/>
      <c r="C1332" s="1339"/>
      <c r="D1332" s="1598"/>
      <c r="G1332" s="1598"/>
      <c r="H1332" s="1008"/>
      <c r="I1332" s="1008"/>
      <c r="J1332" s="1391"/>
      <c r="K1332" s="1393"/>
      <c r="L1332" s="1523"/>
    </row>
    <row r="1333" customFormat="false" ht="16.5" hidden="false" customHeight="true" outlineLevel="0" collapsed="false">
      <c r="A1333" s="1593" t="s">
        <v>880</v>
      </c>
      <c r="B1333" s="1597"/>
      <c r="C1333" s="1339"/>
      <c r="D1333" s="1598"/>
      <c r="G1333" s="1598"/>
      <c r="H1333" s="1339"/>
      <c r="I1333" s="1339"/>
      <c r="J1333" s="1595"/>
      <c r="K1333" s="1393"/>
      <c r="L1333" s="1523"/>
    </row>
    <row r="1334" customFormat="false" ht="15" hidden="false" customHeight="true" outlineLevel="0" collapsed="false">
      <c r="A1334" s="1593" t="s">
        <v>882</v>
      </c>
      <c r="B1334" s="1599"/>
      <c r="C1334" s="1339"/>
      <c r="D1334" s="1598"/>
      <c r="F1334" s="69"/>
      <c r="G1334" s="69"/>
      <c r="H1334" s="69"/>
      <c r="I1334" s="69"/>
      <c r="J1334" s="1600"/>
      <c r="K1334" s="1395"/>
      <c r="L1334" s="1526"/>
    </row>
    <row r="1335" customFormat="false" ht="15" hidden="false" customHeight="true" outlineLevel="0" collapsed="false">
      <c r="A1335" s="639"/>
      <c r="B1335" s="639"/>
      <c r="C1335" s="1339"/>
      <c r="D1335" s="314"/>
      <c r="E1335" s="34"/>
      <c r="F1335" s="314"/>
      <c r="G1335" s="1598"/>
      <c r="H1335" s="1339"/>
      <c r="I1335" s="1339"/>
      <c r="J1335" s="909"/>
      <c r="K1335" s="1395"/>
      <c r="L1335" s="1526"/>
    </row>
    <row r="1336" customFormat="false" ht="15" hidden="false" customHeight="true" outlineLevel="0" collapsed="false">
      <c r="A1336" s="639"/>
      <c r="B1336" s="639"/>
      <c r="C1336" s="1339"/>
      <c r="D1336" s="314"/>
      <c r="E1336" s="34"/>
      <c r="F1336" s="314"/>
      <c r="G1336" s="1598"/>
      <c r="H1336" s="1339"/>
      <c r="I1336" s="1339"/>
      <c r="J1336" s="909"/>
      <c r="K1336" s="1395"/>
      <c r="L1336" s="1526"/>
    </row>
    <row r="1337" customFormat="false" ht="16.5" hidden="false" customHeight="true" outlineLevel="0" collapsed="false">
      <c r="A1337" s="896" t="s">
        <v>1800</v>
      </c>
      <c r="B1337" s="896"/>
      <c r="C1337" s="896"/>
      <c r="D1337" s="896"/>
      <c r="E1337" s="896"/>
      <c r="F1337" s="896"/>
      <c r="G1337" s="896"/>
      <c r="H1337" s="897"/>
      <c r="I1337" s="897"/>
      <c r="J1337" s="897"/>
      <c r="K1337" s="898"/>
      <c r="L1337" s="899"/>
    </row>
    <row r="1338" customFormat="false" ht="16.5" hidden="false" customHeight="true" outlineLevel="0" collapsed="false">
      <c r="A1338" s="1048"/>
      <c r="B1338" s="1048"/>
      <c r="C1338" s="1048"/>
      <c r="D1338" s="1048"/>
      <c r="E1338" s="1048"/>
      <c r="F1338" s="1048"/>
      <c r="G1338" s="1048"/>
      <c r="H1338" s="69"/>
      <c r="I1338" s="69"/>
      <c r="J1338" s="1600"/>
      <c r="K1338" s="1393"/>
      <c r="L1338" s="1523"/>
    </row>
    <row r="1339" customFormat="false" ht="15.75" hidden="false" customHeight="true" outlineLevel="0" collapsed="false">
      <c r="A1339" s="1531" t="s">
        <v>1801</v>
      </c>
      <c r="B1339" s="1531"/>
      <c r="C1339" s="463" t="s">
        <v>1802</v>
      </c>
      <c r="D1339" s="1587" t="n">
        <f aca="false">(I1168-I1149)/I1168</f>
        <v>0.182117400172127</v>
      </c>
      <c r="F1339" s="314"/>
      <c r="G1339" s="69"/>
      <c r="H1339" s="69"/>
      <c r="I1339" s="69"/>
      <c r="J1339" s="1600"/>
      <c r="K1339" s="1395"/>
      <c r="L1339" s="1526"/>
    </row>
    <row r="1340" customFormat="false" ht="15" hidden="false" customHeight="true" outlineLevel="0" collapsed="false">
      <c r="A1340" s="1535"/>
      <c r="C1340" s="1393"/>
      <c r="D1340" s="1588"/>
      <c r="E1340" s="1601"/>
    </row>
    <row r="1341" customFormat="false" ht="25.5" hidden="false" customHeight="true" outlineLevel="0" collapsed="false"/>
    <row r="1342" customFormat="false" ht="15" hidden="false" customHeight="true" outlineLevel="0" collapsed="false">
      <c r="A1342" s="896" t="s">
        <v>1803</v>
      </c>
      <c r="B1342" s="896"/>
      <c r="C1342" s="896"/>
      <c r="D1342" s="896"/>
      <c r="E1342" s="896"/>
      <c r="F1342" s="896"/>
      <c r="G1342" s="896"/>
      <c r="H1342" s="897"/>
      <c r="I1342" s="897"/>
      <c r="J1342" s="897"/>
      <c r="K1342" s="898"/>
      <c r="L1342" s="899"/>
    </row>
    <row r="1343" customFormat="false" ht="15" hidden="false" customHeight="true" outlineLevel="0" collapsed="false">
      <c r="A1343" s="1048"/>
      <c r="B1343" s="1048"/>
      <c r="C1343" s="1048"/>
      <c r="D1343" s="1048"/>
      <c r="E1343" s="1048"/>
      <c r="F1343" s="1048"/>
      <c r="G1343" s="1048"/>
    </row>
    <row r="1344" customFormat="false" ht="15" hidden="false" customHeight="true" outlineLevel="0" collapsed="false">
      <c r="A1344" s="1531" t="s">
        <v>1804</v>
      </c>
      <c r="B1344" s="1531"/>
      <c r="C1344" s="463" t="s">
        <v>1805</v>
      </c>
      <c r="D1344" s="1602" t="n">
        <f aca="false">I1151/B13</f>
        <v>531.096861851333</v>
      </c>
    </row>
    <row r="1345" customFormat="false" ht="24.75" hidden="false" customHeight="true" outlineLevel="0" collapsed="false"/>
    <row r="1347" customFormat="false" ht="15.75" hidden="false" customHeight="true" outlineLevel="0" collapsed="false"/>
  </sheetData>
  <mergeCells count="820">
    <mergeCell ref="A1:L1"/>
    <mergeCell ref="H6:J17"/>
    <mergeCell ref="B9:D9"/>
    <mergeCell ref="G27:I27"/>
    <mergeCell ref="A34:A35"/>
    <mergeCell ref="B34:C35"/>
    <mergeCell ref="D34:D35"/>
    <mergeCell ref="E34:F34"/>
    <mergeCell ref="G34:G35"/>
    <mergeCell ref="H34:H35"/>
    <mergeCell ref="I34:I35"/>
    <mergeCell ref="J34:J35"/>
    <mergeCell ref="B37:C37"/>
    <mergeCell ref="A38:A40"/>
    <mergeCell ref="B38:C38"/>
    <mergeCell ref="B39:C39"/>
    <mergeCell ref="B40:C40"/>
    <mergeCell ref="B41:C41"/>
    <mergeCell ref="A42:A46"/>
    <mergeCell ref="B42:C42"/>
    <mergeCell ref="B43:C43"/>
    <mergeCell ref="B44:C44"/>
    <mergeCell ref="B45:C45"/>
    <mergeCell ref="B46:C46"/>
    <mergeCell ref="B47:C47"/>
    <mergeCell ref="A48:A52"/>
    <mergeCell ref="B48:C48"/>
    <mergeCell ref="B49:C49"/>
    <mergeCell ref="B50:C50"/>
    <mergeCell ref="B51:C51"/>
    <mergeCell ref="B52:C52"/>
    <mergeCell ref="B53:C53"/>
    <mergeCell ref="A54:A58"/>
    <mergeCell ref="B54:C54"/>
    <mergeCell ref="B55:C55"/>
    <mergeCell ref="B56:C56"/>
    <mergeCell ref="B57:C57"/>
    <mergeCell ref="B58:C58"/>
    <mergeCell ref="B59:C59"/>
    <mergeCell ref="A60:A73"/>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80:C80"/>
    <mergeCell ref="B81:C81"/>
    <mergeCell ref="A91:A94"/>
    <mergeCell ref="K96:L96"/>
    <mergeCell ref="K97:L97"/>
    <mergeCell ref="K98:L98"/>
    <mergeCell ref="K99:L99"/>
    <mergeCell ref="K100:L100"/>
    <mergeCell ref="K101:L101"/>
    <mergeCell ref="K102:L102"/>
    <mergeCell ref="K103:L103"/>
    <mergeCell ref="K104:L104"/>
    <mergeCell ref="K105:L105"/>
    <mergeCell ref="K106:L106"/>
    <mergeCell ref="K107:L107"/>
    <mergeCell ref="K108:L108"/>
    <mergeCell ref="K109:L109"/>
    <mergeCell ref="K110:L110"/>
    <mergeCell ref="K111:L111"/>
    <mergeCell ref="K112:L112"/>
    <mergeCell ref="K113:L113"/>
    <mergeCell ref="K114:L114"/>
    <mergeCell ref="K115:L115"/>
    <mergeCell ref="K116:L116"/>
    <mergeCell ref="K117:L117"/>
    <mergeCell ref="K118:L118"/>
    <mergeCell ref="K119:L119"/>
    <mergeCell ref="K120:L120"/>
    <mergeCell ref="K121:L121"/>
    <mergeCell ref="K122:L122"/>
    <mergeCell ref="K123:L123"/>
    <mergeCell ref="K124:L124"/>
    <mergeCell ref="K125:L125"/>
    <mergeCell ref="K126:L126"/>
    <mergeCell ref="K127:L127"/>
    <mergeCell ref="K128:L128"/>
    <mergeCell ref="K129:L129"/>
    <mergeCell ref="K130:L130"/>
    <mergeCell ref="K131:L131"/>
    <mergeCell ref="K132:L132"/>
    <mergeCell ref="K133:L133"/>
    <mergeCell ref="K134:L134"/>
    <mergeCell ref="A142:B142"/>
    <mergeCell ref="A143:B143"/>
    <mergeCell ref="F164:H164"/>
    <mergeCell ref="G165:H165"/>
    <mergeCell ref="G166:H166"/>
    <mergeCell ref="B188:D188"/>
    <mergeCell ref="B189:D189"/>
    <mergeCell ref="C190:D190"/>
    <mergeCell ref="C191:D191"/>
    <mergeCell ref="B198:F198"/>
    <mergeCell ref="G198:I198"/>
    <mergeCell ref="J198:L198"/>
    <mergeCell ref="H199:I199"/>
    <mergeCell ref="K199:L199"/>
    <mergeCell ref="H200:I200"/>
    <mergeCell ref="K200:L200"/>
    <mergeCell ref="H201:I201"/>
    <mergeCell ref="K201:L201"/>
    <mergeCell ref="H202:I202"/>
    <mergeCell ref="K202:L202"/>
    <mergeCell ref="H203:I203"/>
    <mergeCell ref="K203:L203"/>
    <mergeCell ref="H204:I204"/>
    <mergeCell ref="K204:L204"/>
    <mergeCell ref="H205:I205"/>
    <mergeCell ref="K205:L205"/>
    <mergeCell ref="H206:I206"/>
    <mergeCell ref="K206:L206"/>
    <mergeCell ref="H207:I207"/>
    <mergeCell ref="K207:L207"/>
    <mergeCell ref="H208:I208"/>
    <mergeCell ref="K208:L208"/>
    <mergeCell ref="H209:I209"/>
    <mergeCell ref="K209:L209"/>
    <mergeCell ref="H210:I210"/>
    <mergeCell ref="K210:L210"/>
    <mergeCell ref="H211:I211"/>
    <mergeCell ref="K211:L211"/>
    <mergeCell ref="H212:I212"/>
    <mergeCell ref="K212:L212"/>
    <mergeCell ref="H213:I213"/>
    <mergeCell ref="K213:L213"/>
    <mergeCell ref="H214:I214"/>
    <mergeCell ref="K214:L214"/>
    <mergeCell ref="H215:I215"/>
    <mergeCell ref="K215:L215"/>
    <mergeCell ref="H216:I216"/>
    <mergeCell ref="K216:L216"/>
    <mergeCell ref="H217:I217"/>
    <mergeCell ref="K217:L217"/>
    <mergeCell ref="H218:I218"/>
    <mergeCell ref="K218:L218"/>
    <mergeCell ref="H219:I219"/>
    <mergeCell ref="K219:L219"/>
    <mergeCell ref="H220:I220"/>
    <mergeCell ref="K220:L220"/>
    <mergeCell ref="H221:I221"/>
    <mergeCell ref="K221:L221"/>
    <mergeCell ref="H222:I222"/>
    <mergeCell ref="K222:L222"/>
    <mergeCell ref="H223:I223"/>
    <mergeCell ref="K223:L223"/>
    <mergeCell ref="H224:I224"/>
    <mergeCell ref="K224:L224"/>
    <mergeCell ref="H225:I225"/>
    <mergeCell ref="K225:L225"/>
    <mergeCell ref="H226:I226"/>
    <mergeCell ref="K226:L226"/>
    <mergeCell ref="H227:I227"/>
    <mergeCell ref="K227:L227"/>
    <mergeCell ref="H228:I228"/>
    <mergeCell ref="K228:L228"/>
    <mergeCell ref="H229:I229"/>
    <mergeCell ref="K229:L229"/>
    <mergeCell ref="H230:I230"/>
    <mergeCell ref="K230:L230"/>
    <mergeCell ref="H231:I231"/>
    <mergeCell ref="K231:L231"/>
    <mergeCell ref="H232:I232"/>
    <mergeCell ref="K232:L232"/>
    <mergeCell ref="H233:I233"/>
    <mergeCell ref="K233:L233"/>
    <mergeCell ref="H234:I234"/>
    <mergeCell ref="K234:L234"/>
    <mergeCell ref="H235:I235"/>
    <mergeCell ref="K235:L235"/>
    <mergeCell ref="H236:I236"/>
    <mergeCell ref="K236:L236"/>
    <mergeCell ref="H237:I237"/>
    <mergeCell ref="K237:L237"/>
    <mergeCell ref="H238:I238"/>
    <mergeCell ref="K238:L238"/>
    <mergeCell ref="E240:F240"/>
    <mergeCell ref="E241:F241"/>
    <mergeCell ref="E242:F242"/>
    <mergeCell ref="E243:F243"/>
    <mergeCell ref="B247:F247"/>
    <mergeCell ref="G247:I247"/>
    <mergeCell ref="J247:L247"/>
    <mergeCell ref="H248:I248"/>
    <mergeCell ref="K248:L248"/>
    <mergeCell ref="H249:I249"/>
    <mergeCell ref="K249:L249"/>
    <mergeCell ref="H250:I250"/>
    <mergeCell ref="K250:L250"/>
    <mergeCell ref="H251:I251"/>
    <mergeCell ref="K251:L251"/>
    <mergeCell ref="H252:I252"/>
    <mergeCell ref="K252:L252"/>
    <mergeCell ref="H253:I253"/>
    <mergeCell ref="K253:L253"/>
    <mergeCell ref="H254:I254"/>
    <mergeCell ref="K254:L254"/>
    <mergeCell ref="H255:I255"/>
    <mergeCell ref="K255:L255"/>
    <mergeCell ref="H256:I256"/>
    <mergeCell ref="K256:L256"/>
    <mergeCell ref="H257:I257"/>
    <mergeCell ref="K257:L257"/>
    <mergeCell ref="H258:I258"/>
    <mergeCell ref="K258:L258"/>
    <mergeCell ref="H259:I259"/>
    <mergeCell ref="K259:L259"/>
    <mergeCell ref="H260:I260"/>
    <mergeCell ref="K260:L260"/>
    <mergeCell ref="H261:I261"/>
    <mergeCell ref="K261:L261"/>
    <mergeCell ref="H262:I262"/>
    <mergeCell ref="K262:L262"/>
    <mergeCell ref="H263:I263"/>
    <mergeCell ref="K263:L263"/>
    <mergeCell ref="H264:I264"/>
    <mergeCell ref="K264:L264"/>
    <mergeCell ref="H265:I265"/>
    <mergeCell ref="K265:L265"/>
    <mergeCell ref="H266:I266"/>
    <mergeCell ref="K266:L266"/>
    <mergeCell ref="H267:I267"/>
    <mergeCell ref="K267:L267"/>
    <mergeCell ref="H268:I268"/>
    <mergeCell ref="K268:L268"/>
    <mergeCell ref="H269:I269"/>
    <mergeCell ref="K269:L269"/>
    <mergeCell ref="H270:I270"/>
    <mergeCell ref="K270:L270"/>
    <mergeCell ref="H271:I271"/>
    <mergeCell ref="K271:L271"/>
    <mergeCell ref="H272:I272"/>
    <mergeCell ref="K272:L272"/>
    <mergeCell ref="H273:I273"/>
    <mergeCell ref="K273:L273"/>
    <mergeCell ref="H275:I275"/>
    <mergeCell ref="K275:L275"/>
    <mergeCell ref="H277:I277"/>
    <mergeCell ref="K277:L277"/>
    <mergeCell ref="H278:I278"/>
    <mergeCell ref="K278:L278"/>
    <mergeCell ref="H279:I279"/>
    <mergeCell ref="K279:L279"/>
    <mergeCell ref="H280:I280"/>
    <mergeCell ref="K280:L280"/>
    <mergeCell ref="H281:I281"/>
    <mergeCell ref="K281:L281"/>
    <mergeCell ref="H283:I283"/>
    <mergeCell ref="K283:L283"/>
    <mergeCell ref="H284:I284"/>
    <mergeCell ref="K284:L284"/>
    <mergeCell ref="H285:I285"/>
    <mergeCell ref="K285:L285"/>
    <mergeCell ref="H286:I286"/>
    <mergeCell ref="K286:L286"/>
    <mergeCell ref="H287:I287"/>
    <mergeCell ref="K287:L287"/>
    <mergeCell ref="H288:I288"/>
    <mergeCell ref="K288:L288"/>
    <mergeCell ref="H289:I289"/>
    <mergeCell ref="K289:L289"/>
    <mergeCell ref="H291:I291"/>
    <mergeCell ref="K291:L291"/>
    <mergeCell ref="H292:I292"/>
    <mergeCell ref="K292:L292"/>
    <mergeCell ref="H293:I293"/>
    <mergeCell ref="K293:L293"/>
    <mergeCell ref="H294:I294"/>
    <mergeCell ref="K294:L294"/>
    <mergeCell ref="H295:I295"/>
    <mergeCell ref="K295:L295"/>
    <mergeCell ref="B306:E306"/>
    <mergeCell ref="B307:C307"/>
    <mergeCell ref="D307:E307"/>
    <mergeCell ref="G307:J307"/>
    <mergeCell ref="B308:C308"/>
    <mergeCell ref="D308:E308"/>
    <mergeCell ref="G308:J308"/>
    <mergeCell ref="B309:C309"/>
    <mergeCell ref="D309:E309"/>
    <mergeCell ref="G309:J309"/>
    <mergeCell ref="B310:C310"/>
    <mergeCell ref="D310:E310"/>
    <mergeCell ref="G310:J310"/>
    <mergeCell ref="B311:C311"/>
    <mergeCell ref="D311:E311"/>
    <mergeCell ref="G311:J311"/>
    <mergeCell ref="B312:C312"/>
    <mergeCell ref="D312:E312"/>
    <mergeCell ref="G312:J312"/>
    <mergeCell ref="B313:C313"/>
    <mergeCell ref="D313:E313"/>
    <mergeCell ref="G313:J313"/>
    <mergeCell ref="A357:D357"/>
    <mergeCell ref="A358:D358"/>
    <mergeCell ref="A362:J362"/>
    <mergeCell ref="A365:G365"/>
    <mergeCell ref="B367:C367"/>
    <mergeCell ref="F371:H371"/>
    <mergeCell ref="D373:D376"/>
    <mergeCell ref="F373:F376"/>
    <mergeCell ref="A376:B376"/>
    <mergeCell ref="B379:C379"/>
    <mergeCell ref="D379:G379"/>
    <mergeCell ref="D381:G381"/>
    <mergeCell ref="D383:G383"/>
    <mergeCell ref="E384:G384"/>
    <mergeCell ref="A387:C387"/>
    <mergeCell ref="A390:G390"/>
    <mergeCell ref="A392:I392"/>
    <mergeCell ref="B396:C396"/>
    <mergeCell ref="A397:E397"/>
    <mergeCell ref="B398:D398"/>
    <mergeCell ref="D400:E401"/>
    <mergeCell ref="B402:C402"/>
    <mergeCell ref="B403:C403"/>
    <mergeCell ref="B404:C404"/>
    <mergeCell ref="B405:C405"/>
    <mergeCell ref="B406:C406"/>
    <mergeCell ref="B407:C407"/>
    <mergeCell ref="B408:C408"/>
    <mergeCell ref="B409:C409"/>
    <mergeCell ref="C412:D412"/>
    <mergeCell ref="B413:D413"/>
    <mergeCell ref="A415:D415"/>
    <mergeCell ref="C417:F417"/>
    <mergeCell ref="B418:B421"/>
    <mergeCell ref="D418:E418"/>
    <mergeCell ref="D419:E419"/>
    <mergeCell ref="D420:E420"/>
    <mergeCell ref="D421:E421"/>
    <mergeCell ref="B422:F422"/>
    <mergeCell ref="G422:H422"/>
    <mergeCell ref="D425:E426"/>
    <mergeCell ref="F428:G428"/>
    <mergeCell ref="F429:H429"/>
    <mergeCell ref="C432:F432"/>
    <mergeCell ref="B433:B436"/>
    <mergeCell ref="D433:E433"/>
    <mergeCell ref="D434:E434"/>
    <mergeCell ref="D435:E435"/>
    <mergeCell ref="D436:E436"/>
    <mergeCell ref="B437:F437"/>
    <mergeCell ref="G437:H437"/>
    <mergeCell ref="D440:E441"/>
    <mergeCell ref="D442:E442"/>
    <mergeCell ref="A444:E444"/>
    <mergeCell ref="A446:E446"/>
    <mergeCell ref="G446:H446"/>
    <mergeCell ref="D449:E450"/>
    <mergeCell ref="C451:E451"/>
    <mergeCell ref="A453:E453"/>
    <mergeCell ref="G453:H453"/>
    <mergeCell ref="B456:C456"/>
    <mergeCell ref="C457:E457"/>
    <mergeCell ref="F461:I461"/>
    <mergeCell ref="A464:G464"/>
    <mergeCell ref="D466:E469"/>
    <mergeCell ref="F466:H466"/>
    <mergeCell ref="I466:J466"/>
    <mergeCell ref="F468:I468"/>
    <mergeCell ref="D472:E476"/>
    <mergeCell ref="F472:I472"/>
    <mergeCell ref="F474:I474"/>
    <mergeCell ref="F476:I476"/>
    <mergeCell ref="D479:E483"/>
    <mergeCell ref="F479:I479"/>
    <mergeCell ref="F481:I481"/>
    <mergeCell ref="F483:I483"/>
    <mergeCell ref="A486:G486"/>
    <mergeCell ref="D488:E488"/>
    <mergeCell ref="F488:I488"/>
    <mergeCell ref="D491:E491"/>
    <mergeCell ref="F491:I491"/>
    <mergeCell ref="D493:E493"/>
    <mergeCell ref="F493:I493"/>
    <mergeCell ref="D496:E498"/>
    <mergeCell ref="F496:I496"/>
    <mergeCell ref="F498:I498"/>
    <mergeCell ref="A500:I500"/>
    <mergeCell ref="B504:C504"/>
    <mergeCell ref="B505:C505"/>
    <mergeCell ref="B506:C506"/>
    <mergeCell ref="H506:I507"/>
    <mergeCell ref="J506:J507"/>
    <mergeCell ref="B507:C507"/>
    <mergeCell ref="B508:C508"/>
    <mergeCell ref="B509:C509"/>
    <mergeCell ref="B511:C511"/>
    <mergeCell ref="B512:C512"/>
    <mergeCell ref="B513:C513"/>
    <mergeCell ref="B514:C514"/>
    <mergeCell ref="B515:C515"/>
    <mergeCell ref="B516:C516"/>
    <mergeCell ref="A520:G520"/>
    <mergeCell ref="G522:I522"/>
    <mergeCell ref="E525:G525"/>
    <mergeCell ref="E527:G527"/>
    <mergeCell ref="E530:I530"/>
    <mergeCell ref="A533:G533"/>
    <mergeCell ref="C535:G535"/>
    <mergeCell ref="H535:J535"/>
    <mergeCell ref="D538:G538"/>
    <mergeCell ref="D539:G539"/>
    <mergeCell ref="D540:G540"/>
    <mergeCell ref="D544:I544"/>
    <mergeCell ref="A547:G547"/>
    <mergeCell ref="B549:C549"/>
    <mergeCell ref="E550:F550"/>
    <mergeCell ref="D552:E552"/>
    <mergeCell ref="H552:I552"/>
    <mergeCell ref="D555:E555"/>
    <mergeCell ref="H555:I555"/>
    <mergeCell ref="M555:N557"/>
    <mergeCell ref="O555:P557"/>
    <mergeCell ref="A560:G560"/>
    <mergeCell ref="I562:I564"/>
    <mergeCell ref="J562:J564"/>
    <mergeCell ref="A567:D567"/>
    <mergeCell ref="H567:I567"/>
    <mergeCell ref="A568:D568"/>
    <mergeCell ref="A569:D569"/>
    <mergeCell ref="A573:G573"/>
    <mergeCell ref="C578:F578"/>
    <mergeCell ref="D579:E579"/>
    <mergeCell ref="A580:A581"/>
    <mergeCell ref="C580:C581"/>
    <mergeCell ref="D580:E580"/>
    <mergeCell ref="F580:F581"/>
    <mergeCell ref="D581:E581"/>
    <mergeCell ref="C585:F585"/>
    <mergeCell ref="D586:E586"/>
    <mergeCell ref="A587:A590"/>
    <mergeCell ref="D587:E587"/>
    <mergeCell ref="D588:E588"/>
    <mergeCell ref="G588:G590"/>
    <mergeCell ref="H588:H590"/>
    <mergeCell ref="D589:E589"/>
    <mergeCell ref="D590:E590"/>
    <mergeCell ref="A593:G593"/>
    <mergeCell ref="D595:E595"/>
    <mergeCell ref="K595:L595"/>
    <mergeCell ref="A598:G598"/>
    <mergeCell ref="A600:F600"/>
    <mergeCell ref="A601:B601"/>
    <mergeCell ref="A602:B602"/>
    <mergeCell ref="A603:B603"/>
    <mergeCell ref="G603:G606"/>
    <mergeCell ref="A604:B604"/>
    <mergeCell ref="A605:B605"/>
    <mergeCell ref="A606:B606"/>
    <mergeCell ref="A607:B607"/>
    <mergeCell ref="A608:B608"/>
    <mergeCell ref="A609:B609"/>
    <mergeCell ref="A610:B610"/>
    <mergeCell ref="A611:B611"/>
    <mergeCell ref="A612:B612"/>
    <mergeCell ref="C613:E613"/>
    <mergeCell ref="A614:F614"/>
    <mergeCell ref="A615:B615"/>
    <mergeCell ref="I615:I616"/>
    <mergeCell ref="J615:J616"/>
    <mergeCell ref="A617:B617"/>
    <mergeCell ref="A618:B618"/>
    <mergeCell ref="A619:B619"/>
    <mergeCell ref="A620:B620"/>
    <mergeCell ref="H620:I620"/>
    <mergeCell ref="A621:B621"/>
    <mergeCell ref="A622:B622"/>
    <mergeCell ref="A623:B623"/>
    <mergeCell ref="A624:B624"/>
    <mergeCell ref="A625:B625"/>
    <mergeCell ref="K625:L625"/>
    <mergeCell ref="A629:G629"/>
    <mergeCell ref="A631:C631"/>
    <mergeCell ref="D633:E633"/>
    <mergeCell ref="A638:C638"/>
    <mergeCell ref="A639:E639"/>
    <mergeCell ref="A647:C647"/>
    <mergeCell ref="A658:G658"/>
    <mergeCell ref="A661:C661"/>
    <mergeCell ref="A664:C664"/>
    <mergeCell ref="A666:C666"/>
    <mergeCell ref="A669:C669"/>
    <mergeCell ref="A670:C670"/>
    <mergeCell ref="A671:C671"/>
    <mergeCell ref="A673:C673"/>
    <mergeCell ref="G676:J678"/>
    <mergeCell ref="A677:E678"/>
    <mergeCell ref="A681:G681"/>
    <mergeCell ref="A683:C683"/>
    <mergeCell ref="D683:E683"/>
    <mergeCell ref="A684:C684"/>
    <mergeCell ref="A685:C685"/>
    <mergeCell ref="A687:C687"/>
    <mergeCell ref="A689:B689"/>
    <mergeCell ref="D689:E689"/>
    <mergeCell ref="D690:E690"/>
    <mergeCell ref="B691:C691"/>
    <mergeCell ref="G691:G693"/>
    <mergeCell ref="H691:H693"/>
    <mergeCell ref="B692:C692"/>
    <mergeCell ref="D692:D693"/>
    <mergeCell ref="B693:C693"/>
    <mergeCell ref="A696:G696"/>
    <mergeCell ref="A698:E698"/>
    <mergeCell ref="A699:D699"/>
    <mergeCell ref="G699:L699"/>
    <mergeCell ref="B700:C701"/>
    <mergeCell ref="G700:L700"/>
    <mergeCell ref="G701:L701"/>
    <mergeCell ref="G702:L702"/>
    <mergeCell ref="A705:E705"/>
    <mergeCell ref="A706:D706"/>
    <mergeCell ref="G706:L706"/>
    <mergeCell ref="G707:L707"/>
    <mergeCell ref="G708:L708"/>
    <mergeCell ref="G709:L709"/>
    <mergeCell ref="I713:I715"/>
    <mergeCell ref="J713:J715"/>
    <mergeCell ref="A718:G718"/>
    <mergeCell ref="A720:C720"/>
    <mergeCell ref="A722:C722"/>
    <mergeCell ref="A723:C723"/>
    <mergeCell ref="A726:C726"/>
    <mergeCell ref="A728:C728"/>
    <mergeCell ref="H732:I732"/>
    <mergeCell ref="A734:E734"/>
    <mergeCell ref="A735:E735"/>
    <mergeCell ref="A736:E736"/>
    <mergeCell ref="A737:E737"/>
    <mergeCell ref="A738:E738"/>
    <mergeCell ref="A739:E739"/>
    <mergeCell ref="A742:G742"/>
    <mergeCell ref="A744:D744"/>
    <mergeCell ref="A745:E745"/>
    <mergeCell ref="A746:E746"/>
    <mergeCell ref="A748:D748"/>
    <mergeCell ref="A749:E749"/>
    <mergeCell ref="A750:E750"/>
    <mergeCell ref="A751:B751"/>
    <mergeCell ref="D752:E752"/>
    <mergeCell ref="E753:G753"/>
    <mergeCell ref="C755:C756"/>
    <mergeCell ref="I755:I757"/>
    <mergeCell ref="J755:J757"/>
    <mergeCell ref="C757:D757"/>
    <mergeCell ref="E757:G757"/>
    <mergeCell ref="A760:G760"/>
    <mergeCell ref="A763:A767"/>
    <mergeCell ref="A768:A770"/>
    <mergeCell ref="C769:C770"/>
    <mergeCell ref="D769:D770"/>
    <mergeCell ref="A771:A773"/>
    <mergeCell ref="C771:C772"/>
    <mergeCell ref="D771:D772"/>
    <mergeCell ref="A774:G774"/>
    <mergeCell ref="A775:A778"/>
    <mergeCell ref="A779:G779"/>
    <mergeCell ref="K780:L780"/>
    <mergeCell ref="A784:G784"/>
    <mergeCell ref="A786:G786"/>
    <mergeCell ref="A805:C805"/>
    <mergeCell ref="B808:D808"/>
    <mergeCell ref="B809:D809"/>
    <mergeCell ref="B810:D810"/>
    <mergeCell ref="B811:D811"/>
    <mergeCell ref="A814:G814"/>
    <mergeCell ref="A815:C815"/>
    <mergeCell ref="A816:B816"/>
    <mergeCell ref="E816:F816"/>
    <mergeCell ref="A818:E818"/>
    <mergeCell ref="A819:E819"/>
    <mergeCell ref="A821:E821"/>
    <mergeCell ref="A822:E822"/>
    <mergeCell ref="A825:J825"/>
    <mergeCell ref="K825:L825"/>
    <mergeCell ref="A828:G828"/>
    <mergeCell ref="A830:C830"/>
    <mergeCell ref="E832:I832"/>
    <mergeCell ref="G834:I834"/>
    <mergeCell ref="A837:G837"/>
    <mergeCell ref="A841:C841"/>
    <mergeCell ref="H841:I841"/>
    <mergeCell ref="A845:C845"/>
    <mergeCell ref="G845:I845"/>
    <mergeCell ref="A849:G849"/>
    <mergeCell ref="A852:C852"/>
    <mergeCell ref="F852:H852"/>
    <mergeCell ref="A854:C854"/>
    <mergeCell ref="F854:H854"/>
    <mergeCell ref="A855:C855"/>
    <mergeCell ref="F855:H855"/>
    <mergeCell ref="A856:C856"/>
    <mergeCell ref="A859:G859"/>
    <mergeCell ref="A867:E867"/>
    <mergeCell ref="A873:G873"/>
    <mergeCell ref="A875:D875"/>
    <mergeCell ref="A876:F876"/>
    <mergeCell ref="A878:D878"/>
    <mergeCell ref="A879:F879"/>
    <mergeCell ref="H879:J879"/>
    <mergeCell ref="A881:D882"/>
    <mergeCell ref="A884:G884"/>
    <mergeCell ref="A887:F887"/>
    <mergeCell ref="A890:D890"/>
    <mergeCell ref="H890:I890"/>
    <mergeCell ref="A891:F891"/>
    <mergeCell ref="A894:G894"/>
    <mergeCell ref="A897:B897"/>
    <mergeCell ref="E897:F897"/>
    <mergeCell ref="A898:B898"/>
    <mergeCell ref="A899:B899"/>
    <mergeCell ref="A900:B900"/>
    <mergeCell ref="A902:G902"/>
    <mergeCell ref="G904:I904"/>
    <mergeCell ref="F907:G908"/>
    <mergeCell ref="A910:D910"/>
    <mergeCell ref="G910:H910"/>
    <mergeCell ref="A913:G913"/>
    <mergeCell ref="B923:G923"/>
    <mergeCell ref="A941:G941"/>
    <mergeCell ref="A943:C943"/>
    <mergeCell ref="A944:C944"/>
    <mergeCell ref="F944:I944"/>
    <mergeCell ref="A945:C945"/>
    <mergeCell ref="F945:I945"/>
    <mergeCell ref="F946:I946"/>
    <mergeCell ref="G949:H949"/>
    <mergeCell ref="F952:H952"/>
    <mergeCell ref="I952:J952"/>
    <mergeCell ref="F953:H953"/>
    <mergeCell ref="I953:J953"/>
    <mergeCell ref="A956:G956"/>
    <mergeCell ref="A961:G961"/>
    <mergeCell ref="F963:F964"/>
    <mergeCell ref="G963:G964"/>
    <mergeCell ref="B964:E964"/>
    <mergeCell ref="B965:B970"/>
    <mergeCell ref="C965:E965"/>
    <mergeCell ref="C966:E968"/>
    <mergeCell ref="F966:F968"/>
    <mergeCell ref="G966:G968"/>
    <mergeCell ref="H966:H968"/>
    <mergeCell ref="I966:I968"/>
    <mergeCell ref="J967:J969"/>
    <mergeCell ref="K967:K969"/>
    <mergeCell ref="C969:E970"/>
    <mergeCell ref="F969:F970"/>
    <mergeCell ref="G969:G970"/>
    <mergeCell ref="H969:H970"/>
    <mergeCell ref="I969:I970"/>
    <mergeCell ref="C971:E971"/>
    <mergeCell ref="A978:G978"/>
    <mergeCell ref="A981:G981"/>
    <mergeCell ref="B982:F982"/>
    <mergeCell ref="A987:G987"/>
    <mergeCell ref="A989:B989"/>
    <mergeCell ref="A992:D992"/>
    <mergeCell ref="A1004:G1004"/>
    <mergeCell ref="F1012:J1012"/>
    <mergeCell ref="A1013:E1013"/>
    <mergeCell ref="A1016:G1016"/>
    <mergeCell ref="A1019:D1019"/>
    <mergeCell ref="A1021:B1021"/>
    <mergeCell ref="A1023:D1023"/>
    <mergeCell ref="A1026:G1026"/>
    <mergeCell ref="A1028:D1028"/>
    <mergeCell ref="A1030:D1030"/>
    <mergeCell ref="A1031:E1031"/>
    <mergeCell ref="A1039:G1039"/>
    <mergeCell ref="A1041:C1041"/>
    <mergeCell ref="A1043:C1043"/>
    <mergeCell ref="A1045:C1045"/>
    <mergeCell ref="A1048:G1048"/>
    <mergeCell ref="F1058:H1058"/>
    <mergeCell ref="D1060:F1060"/>
    <mergeCell ref="G1060:J1060"/>
    <mergeCell ref="A1065:G1065"/>
    <mergeCell ref="A1067:B1067"/>
    <mergeCell ref="E1067:F1067"/>
    <mergeCell ref="A1070:B1070"/>
    <mergeCell ref="E1070:F1070"/>
    <mergeCell ref="A1074:G1074"/>
    <mergeCell ref="A1079:G1079"/>
    <mergeCell ref="A1081:D1081"/>
    <mergeCell ref="A1082:D1082"/>
    <mergeCell ref="A1086:G1086"/>
    <mergeCell ref="A1090:I1090"/>
    <mergeCell ref="A1094:C1094"/>
    <mergeCell ref="A1095:C1096"/>
    <mergeCell ref="D1095:D1096"/>
    <mergeCell ref="E1095:E1096"/>
    <mergeCell ref="A1109:I1109"/>
    <mergeCell ref="F1112:H1113"/>
    <mergeCell ref="I1112:I1113"/>
    <mergeCell ref="J1112:J1113"/>
    <mergeCell ref="A1113:C1114"/>
    <mergeCell ref="D1113:D1114"/>
    <mergeCell ref="E1113:E1114"/>
    <mergeCell ref="F1114:H1115"/>
    <mergeCell ref="I1114:I1115"/>
    <mergeCell ref="J1114:J1115"/>
    <mergeCell ref="A1115:C1115"/>
    <mergeCell ref="A1117:C1118"/>
    <mergeCell ref="D1117:D1118"/>
    <mergeCell ref="E1117:E1118"/>
    <mergeCell ref="F1118:H1119"/>
    <mergeCell ref="I1118:I1119"/>
    <mergeCell ref="J1118:J1119"/>
    <mergeCell ref="A1125:L1125"/>
    <mergeCell ref="A1128:G1128"/>
    <mergeCell ref="A1130:E1131"/>
    <mergeCell ref="F1130:H1130"/>
    <mergeCell ref="I1130:I1131"/>
    <mergeCell ref="A1132:E1132"/>
    <mergeCell ref="A1133:E1133"/>
    <mergeCell ref="A1134:E1134"/>
    <mergeCell ref="A1135:E1135"/>
    <mergeCell ref="A1137:E1137"/>
    <mergeCell ref="A1138:E1138"/>
    <mergeCell ref="A1139:E1139"/>
    <mergeCell ref="A1140:E1140"/>
    <mergeCell ref="A1141:E1141"/>
    <mergeCell ref="A1142:E1142"/>
    <mergeCell ref="A1144:E1144"/>
    <mergeCell ref="A1145:E1145"/>
    <mergeCell ref="A1146:E1146"/>
    <mergeCell ref="A1147:E1147"/>
    <mergeCell ref="A1149:E1149"/>
    <mergeCell ref="A1150:E1150"/>
    <mergeCell ref="A1151:E1151"/>
    <mergeCell ref="A1152:E1152"/>
    <mergeCell ref="A1154:E1154"/>
    <mergeCell ref="A1155:E1155"/>
    <mergeCell ref="A1158:G1158"/>
    <mergeCell ref="A1160:E1161"/>
    <mergeCell ref="F1160:H1160"/>
    <mergeCell ref="I1160:I1161"/>
    <mergeCell ref="A1162:E1162"/>
    <mergeCell ref="A1163:E1163"/>
    <mergeCell ref="A1164:E1164"/>
    <mergeCell ref="A1165:E1165"/>
    <mergeCell ref="A1166:E1166"/>
    <mergeCell ref="A1167:E1167"/>
    <mergeCell ref="A1168:E1168"/>
    <mergeCell ref="A1170:E1170"/>
    <mergeCell ref="A1171:E1171"/>
    <mergeCell ref="A1172:E1172"/>
    <mergeCell ref="A1173:E1173"/>
    <mergeCell ref="A1176:G1176"/>
    <mergeCell ref="A1178:E1179"/>
    <mergeCell ref="F1178:H1178"/>
    <mergeCell ref="I1178:I1179"/>
    <mergeCell ref="A1180:E1180"/>
    <mergeCell ref="A1181:E1181"/>
    <mergeCell ref="A1182:E1182"/>
    <mergeCell ref="A1183:E1183"/>
    <mergeCell ref="A1184:E1184"/>
    <mergeCell ref="A1185:E1185"/>
    <mergeCell ref="A1188:G1188"/>
    <mergeCell ref="A1190:E1191"/>
    <mergeCell ref="F1190:H1190"/>
    <mergeCell ref="I1190:I1191"/>
    <mergeCell ref="A1192:E1192"/>
    <mergeCell ref="A1193:E1193"/>
    <mergeCell ref="A1195:E1195"/>
    <mergeCell ref="A1196:E1196"/>
    <mergeCell ref="A1197:E1197"/>
    <mergeCell ref="A1198:E1198"/>
    <mergeCell ref="A1201:G1201"/>
    <mergeCell ref="A1205:B1205"/>
    <mergeCell ref="A1207:B1207"/>
    <mergeCell ref="F1207:G1207"/>
    <mergeCell ref="C1209:C1210"/>
    <mergeCell ref="D1209:D1210"/>
    <mergeCell ref="A1213:C1213"/>
    <mergeCell ref="A1216:G1216"/>
    <mergeCell ref="A1218:B1218"/>
    <mergeCell ref="A1221:G1221"/>
    <mergeCell ref="A1223:B1223"/>
    <mergeCell ref="A1226:G1226"/>
    <mergeCell ref="A1235:D1235"/>
    <mergeCell ref="I1235:I1241"/>
    <mergeCell ref="J1235:J1241"/>
    <mergeCell ref="G1236:G1240"/>
    <mergeCell ref="G1242:G1245"/>
    <mergeCell ref="I1246:I1250"/>
    <mergeCell ref="J1246:J1250"/>
    <mergeCell ref="G1268:G1271"/>
    <mergeCell ref="G1273:G1276"/>
    <mergeCell ref="G1278:G1279"/>
    <mergeCell ref="G1281:G1283"/>
    <mergeCell ref="A1292:G1292"/>
    <mergeCell ref="B1295:E1295"/>
    <mergeCell ref="B1298:E1298"/>
    <mergeCell ref="A1303:G1303"/>
    <mergeCell ref="A1308:G1308"/>
    <mergeCell ref="A1313:G1313"/>
    <mergeCell ref="A1315:C1315"/>
    <mergeCell ref="A1317:C1317"/>
    <mergeCell ref="A1320:G1320"/>
    <mergeCell ref="A1337:G1337"/>
    <mergeCell ref="A1339:B1339"/>
    <mergeCell ref="A1342:G1342"/>
    <mergeCell ref="A1344:B1344"/>
  </mergeCells>
  <dataValidations count="51">
    <dataValidation allowBlank="true" operator="equal" showDropDown="false" showErrorMessage="true" showInputMessage="false" sqref="B11" type="list">
      <formula1>"Individuel,EARL,GAEC,SCEA,GFA,Autre"</formula1>
      <formula2>0</formula2>
    </dataValidation>
    <dataValidation allowBlank="true" operator="equal" showDropDown="false" showErrorMessage="true" showInputMessage="false" sqref="H381 H383 E412:E413 D428 F444 F446 F453 J468 J481 J483 J498 I503:I505 I508:I511 J530 D636 D638 D642 D645 D647 D649 D651 H655 D666 E676 D723 D728 F804 E808:E811 F818:F819 F821:F822 J832 J834 D856 F869 E890 C897 C899:C900 D907:D908 E910 D936:D938 D949 J958 F965:F971 B974 D980 D984 E991:E992 D1007:D1010 D1012 C1021 E1021 E1030 E1034 E1036 D1043 G1056 D1058 C1060 C1062 C1070 D1300 D1310 D1325 D1328 F1335:F1336" type="list">
      <formula1>"oui,non"</formula1>
      <formula2>0</formula2>
    </dataValidation>
    <dataValidation allowBlank="true" operator="equal" showDropDown="false" showErrorMessage="true" showInputMessage="false" sqref="E99:E106 E108:E111 E113:E117 E119:E128 E130:E134 J144:J158 D145:D148 D150:D157 D159:D173 D175:D183" type="list">
      <formula1>"Locale,non-locale"</formula1>
      <formula2>0</formula2>
    </dataValidation>
    <dataValidation allowBlank="true" operator="equal" showDropDown="false" showErrorMessage="true" showInputMessage="false" sqref="F357 J392 F397 D664 J693 D852:D855 F862:F868 B958 E958 E995 E1001 D1093:D1095 I1093:I1098 D1097 I1099:I1101 B1105 D1105 F1105 H1105 D1112:D1113 I1112 I1114 D1115:D1117 I1116:I1118 D1119:D1120 I1122" type="list">
      <formula1>"oui,non,NC"</formula1>
      <formula2>0</formula2>
    </dataValidation>
    <dataValidation allowBlank="true" operator="equal" showDropDown="false" showErrorMessage="true" showInputMessage="false" sqref="J461" type="list">
      <formula1>"oui, critère principal, non, critère secondaire ou absent"</formula1>
      <formula2>0</formula2>
    </dataValidation>
    <dataValidation allowBlank="true" operator="equal" showDropDown="false" showErrorMessage="true" showInputMessage="false" sqref="B412" type="list">
      <formula1>"Critères principaux,Critères secondaires,Pas pris en compte,NC"</formula1>
      <formula2>0</formula2>
    </dataValidation>
    <dataValidation allowBlank="true" operator="equal" showDropDown="false" showErrorMessage="true" showInputMessage="false" sqref="E1018" type="list">
      <formula1>"0,1,2,3,4"</formula1>
      <formula2>0</formula2>
    </dataValidation>
    <dataValidation allowBlank="true" operator="equal" showDropDown="false" showErrorMessage="true" showInputMessage="false" sqref="F442 I446 F451 I453 H542 B1088" type="none">
      <formula1>0</formula1>
      <formula2>0</formula2>
    </dataValidation>
    <dataValidation allowBlank="true" operator="equal" showDropDown="false" showErrorMessage="true" showInputMessage="false" sqref="J522" type="list">
      <formula1>"sans phyto entretien écologique,sans phyto entretien intensif,présence phyto,aucune zone non productive"</formula1>
      <formula2>0</formula2>
    </dataValidation>
    <dataValidation allowBlank="true" operator="equal" showDropDown="false" showErrorMessage="true" showInputMessage="false" sqref="H538:H540" type="list">
      <formula1>"Oui,Non"</formula1>
      <formula2>0</formula2>
    </dataValidation>
    <dataValidation allowBlank="true" operator="equal" showDropDown="false" showErrorMessage="true" showInputMessage="false" sqref="B549:C549" type="list">
      <formula1>"pas d'élevage,herbivore,monogastrique"</formula1>
      <formula2>0</formula2>
    </dataValidation>
    <dataValidation allowBlank="true" operator="equal" showDropDown="false" showErrorMessage="true" showInputMessage="false" sqref="D575" type="list">
      <formula1>"Oui,Non"</formula1>
      <formula2>0</formula2>
    </dataValidation>
    <dataValidation allowBlank="true" operator="equal" showDropDown="false" showErrorMessage="true" showInputMessage="false" sqref="D685" type="list">
      <formula1>"Totale et systématique,Partielle ou occasionnelle,Aucune alternance"</formula1>
      <formula2>0</formula2>
    </dataValidation>
    <dataValidation allowBlank="true" operator="equal" showDropDown="false" showErrorMessage="true" showInputMessage="false" sqref="C689" type="list">
      <formula1>"Alternance,Pas d'alternance"</formula1>
      <formula2>0</formula2>
    </dataValidation>
    <dataValidation allowBlank="true" operator="equal" showDropDown="false" showErrorMessage="true" showInputMessage="false" sqref="F689" type="list">
      <formula1>"Application systématique,Traitement au cas par cas"</formula1>
      <formula2>0</formula2>
    </dataValidation>
    <dataValidation allowBlank="true" operator="equal" showDropDown="false" showErrorMessage="true" showInputMessage="false" sqref="H691:H693" type="list">
      <formula1>"0,2,4"</formula1>
      <formula2>0</formula2>
    </dataValidation>
    <dataValidation allowBlank="true" operator="equal" showDropDown="false" showErrorMessage="true" showInputMessage="false" sqref="D712" type="list">
      <formula1>"Concerné par cet item,Non concerné"</formula1>
      <formula2>0</formula2>
    </dataValidation>
    <dataValidation allowBlank="true" operator="equal" showDropDown="false" showErrorMessage="true" showInputMessage="false" sqref="H588:H590" type="list">
      <formula1>"0,2,4,6,8"</formula1>
      <formula2>0</formula2>
    </dataValidation>
    <dataValidation allowBlank="true" operator="equal" showDropDown="false" showErrorMessage="true" showInputMessage="false" sqref="J755:J757" type="list">
      <formula1>"0,1,2,3"</formula1>
      <formula2>0</formula2>
    </dataValidation>
    <dataValidation allowBlank="true" operator="equal" showDropDown="false" showErrorMessage="true" showInputMessage="false" sqref="E875 E878 E882" type="list">
      <formula1>"oui ,non"</formula1>
      <formula2>0</formula2>
    </dataValidation>
    <dataValidation allowBlank="true" operator="equal" showDropDown="false" showErrorMessage="true" showInputMessage="false" sqref="D944:D945 J944:J947 D952" type="list">
      <formula1>"oui,non "</formula1>
      <formula2>0</formula2>
    </dataValidation>
    <dataValidation allowBlank="true" operator="equal" showDropDown="false" showErrorMessage="true" showInputMessage="false" sqref="G965:G966 G971" type="list">
      <formula1>"tri ou recyclage,autre (pas de tri, brulage),pas concerné,"</formula1>
      <formula2>0</formula2>
    </dataValidation>
    <dataValidation allowBlank="true" operator="equal" showDropDown="false" showErrorMessage="true" showInputMessage="false" sqref="G967:G968 G970" type="list">
      <formula1>"tri ou recyclage,autre"</formula1>
      <formula2>0</formula2>
    </dataValidation>
    <dataValidation allowBlank="true" operator="equal" showDropDown="false" showErrorMessage="true" showInputMessage="false" sqref="G969" type="list">
      <formula1>"tri ou recyclage,autre (pas de tri, brulage),pas concerné"</formula1>
      <formula2>0</formula2>
    </dataValidation>
    <dataValidation allowBlank="true" operator="equal" showDropDown="false" showErrorMessage="true" showInputMessage="false" sqref="E1000" type="list">
      <formula1>"variées,répétitives,NC"</formula1>
      <formula2>0</formula2>
    </dataValidation>
    <dataValidation allowBlank="true" operator="equal" showDropDown="false" showErrorMessage="true" showInputMessage="false" sqref="E1023" type="list">
      <formula1>"0,-1,-2,-3,-4"</formula1>
      <formula2>0</formula2>
    </dataValidation>
    <dataValidation allowBlank="true" operator="equal" showDropDown="false" showErrorMessage="true" showInputMessage="false" sqref="E1028" type="list">
      <formula1>"0,1,2"</formula1>
      <formula2>0</formula2>
    </dataValidation>
    <dataValidation allowBlank="true" operator="equal" showDropDown="false" showErrorMessage="true" showInputMessage="false" sqref="C1067" type="list">
      <formula1>"oui démarche certifiée,oui démarche non certifiée,non"</formula1>
      <formula2>0</formula2>
    </dataValidation>
    <dataValidation allowBlank="true" operator="equal" showDropDown="false" showErrorMessage="true" showInputMessage="false" sqref="C1076" type="list">
      <formula1>"0,1,2,3,4,5,6"</formula1>
      <formula2>0</formula2>
    </dataValidation>
    <dataValidation allowBlank="true" operator="equal" showDropDown="false" showErrorMessage="true" showInputMessage="false" sqref="D1213" type="list">
      <formula1>"0,1,2,3,4,5"</formula1>
      <formula2>0</formula2>
    </dataValidation>
    <dataValidation allowBlank="true" operator="equal" showDropDown="false" showErrorMessage="true" showInputMessage="false" sqref="D1297" type="list">
      <formula1>"absence de contrat,adhésion coop,contrat longue durée,contrat solidaire"</formula1>
      <formula2>0</formula2>
    </dataValidation>
    <dataValidation allowBlank="true" operator="equal" showDropDown="false" showErrorMessage="true" showInputMessage="false" sqref="D1322" type="list">
      <formula1>"Existence quasi-certaine,Existence probable,Existence souhaitée si possible,Disparition probable "</formula1>
      <formula2>0</formula2>
    </dataValidation>
    <dataValidation allowBlank="true" operator="equal" showDropDown="false" showErrorMessage="true" showInputMessage="false" sqref="D1331" type="list">
      <formula1>"Difficile,Normale,Bonne"</formula1>
      <formula2>0</formula2>
    </dataValidation>
    <dataValidation allowBlank="true" operator="equal" showDropDown="false" showErrorMessage="true" showInputMessage="false" sqref="I422 I437 E1081:E1082" type="list">
      <formula1>"0,1,2,3"</formula1>
      <formula2>0</formula2>
    </dataValidation>
    <dataValidation allowBlank="true" operator="equal" showDropDown="false" showErrorMessage="true" showInputMessage="false" sqref="J472" type="list">
      <formula1>"0 à 2 ans,3 à 5 ans,6 à 7 ans,plus de 7 ans,NC"</formula1>
      <formula2>0</formula2>
    </dataValidation>
    <dataValidation allowBlank="true" operator="equal" showDropDown="false" showErrorMessage="true" showInputMessage="false" sqref="J474" type="list">
      <formula1>"0 à 1 an,1 à 2 ans,2 à 3 ans,3 ans et +,NC"</formula1>
      <formula2>0</formula2>
    </dataValidation>
    <dataValidation allowBlank="true" operator="equal" showDropDown="false" showErrorMessage="true" showInputMessage="false" sqref="J476" type="list">
      <formula1>"Sol nu ou jachère,Couvert à vocation agronomique,NC"</formula1>
      <formula2>0</formula2>
    </dataValidation>
    <dataValidation allowBlank="true" operator="equal" showDropDown="false" showErrorMessage="true" showInputMessage="false" sqref="H535:J535" type="list">
      <formula1>"Oui de manière significative,Oui de manière non significative,Non"</formula1>
      <formula2>0</formula2>
    </dataValidation>
    <dataValidation allowBlank="false" operator="between" showDropDown="false" showErrorMessage="true" showInputMessage="true" sqref="D633" type="list">
      <formula1>"Maraichage sous serres - Cultures florales sous serres - Arboriculture, Systèmes en grandes cultures avec cultures irriguées dominantes de maïs, soja, pomme de terre ou légumes plein champ, Autres cultures irriguées, Pas de culture irriguée - Non concerné"</formula1>
      <formula2>0</formula2>
    </dataValidation>
    <dataValidation allowBlank="true" operator="equal" showDropDown="false" showErrorMessage="true" showInputMessage="false" sqref="E886" type="list">
      <formula1>"Oui sur plus de 50% de la SAU,Oui sur moins de 50% de la SAU,Non"</formula1>
      <formula2>0</formula2>
    </dataValidation>
    <dataValidation allowBlank="true" operator="equal" showDropDown="false" showErrorMessage="true" showInputMessage="false" sqref="H379" type="list">
      <formula1>"1 famille,2 ou 3 familles,4 ou 5 familles,6 familles et +"</formula1>
      <formula2>0</formula2>
    </dataValidation>
    <dataValidation allowBlank="true" operator="between" showDropDown="false" showErrorMessage="true" showInputMessage="true" sqref="F705" type="list">
      <formula1>$F$706:$F$709</formula1>
      <formula2>0</formula2>
    </dataValidation>
    <dataValidation allowBlank="true" operator="between" showDropDown="false" showErrorMessage="true" showInputMessage="true" sqref="F698" type="list">
      <formula1>$F$699:$F$702</formula1>
      <formula2>0</formula2>
    </dataValidation>
    <dataValidation allowBlank="true" operator="equal" showDropDown="false" showErrorMessage="true" showInputMessage="false" sqref="B789:B800" type="list">
      <formula1>"Fongicide (F),Herbicide (H),Insecticide (I)"</formula1>
      <formula2>0</formula2>
    </dataValidation>
    <dataValidation allowBlank="true" operator="equal" showDropDown="false" showErrorMessage="true" showInputMessage="false" sqref="B308:C313" type="list">
      <formula1>"rotation courte (=&lt;3 ans),rotation longues,NC"</formula1>
      <formula2>0</formula2>
    </dataValidation>
    <dataValidation allowBlank="true" operator="equal" showDropDown="false" showErrorMessage="true" showInputMessage="false" sqref="D308:E313 B755 E999 E1033" type="list">
      <formula1>"oui,non,NC"</formula1>
      <formula2>0</formula2>
    </dataValidation>
    <dataValidation allowBlank="true" operator="equal" showDropDown="false" showErrorMessage="true" showInputMessage="false" sqref="B23 F457 D673 D919 D922 E929:E930 E932:E933" type="list">
      <formula1>"oui,non"</formula1>
      <formula2>0</formula2>
    </dataValidation>
    <dataValidation allowBlank="true" operator="equal" showDropDown="false" showErrorMessage="true" showInputMessage="false" sqref="G1050 G1053" type="list">
      <formula1>"Non, Oui, en tant que simple adhérent, Oui, en tant que responsable"</formula1>
      <formula2>0</formula2>
    </dataValidation>
    <dataValidation allowBlank="true" operator="between" showDropDown="false" showErrorMessage="true" showInputMessage="true" sqref="J376" type="list">
      <formula1>"0,1,2,3,4,5"</formula1>
      <formula2>0</formula2>
    </dataValidation>
    <dataValidation allowBlank="true" operator="equal" showDropDown="false" showErrorMessage="true" showInputMessage="false" sqref="J479" type="list">
      <formula1>"1 famille,2 familles,3 familles,4 familles et +"</formula1>
      <formula2>0</formula2>
    </dataValidation>
    <dataValidation allowBlank="true" operator="equal" showDropDown="false" showErrorMessage="true" showInputMessage="false" sqref="D683" type="list">
      <formula1>"Oui les 2,Oui seulement des produits phyto,Oui seulement des produits véto,Non"</formula1>
      <formula2>0</formula2>
    </dataValidation>
  </dataValidations>
  <hyperlinks>
    <hyperlink ref="I36" location="'Tables de conversion'!A5" display="Réfèrence UGB"/>
    <hyperlink ref="E216" location="'Tables de conversion'!A47" display="reference"/>
    <hyperlink ref="G321" location="'Tables de conversion'!A69" display="référence"/>
    <hyperlink ref="G380" location="'Tables de conversion'!A870" display="Référence"/>
    <hyperlink ref="G382" location="'Tables de conversion'!A870" display="Référence"/>
    <hyperlink ref="G385" location="'Tables de conversion'!A870" display="Référence"/>
    <hyperlink ref="E452" location="'Tables de conversion'!A870" display="Référence"/>
    <hyperlink ref="I480" location="'Tables de conversion'!A870" display="Référence"/>
    <hyperlink ref="I482" location="'Tables de conversion'!A870" display="Référence"/>
    <hyperlink ref="C501" location="'Tables de conversion'!A104" display="Référence"/>
    <hyperlink ref="A808" location="'Tables de conversion'!A1100" display="Référenc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333333"/>
    <pageSetUpPr fitToPage="true"/>
  </sheetPr>
  <dimension ref="A1:U483"/>
  <sheetViews>
    <sheetView showFormulas="false" showGridLines="true" showRowColHeaders="true" showZeros="true" rightToLeft="false" tabSelected="false" showOutlineSymbols="true" defaultGridColor="true" view="normal" topLeftCell="A101" colorId="64" zoomScale="100" zoomScaleNormal="100" zoomScalePageLayoutView="100" workbookViewId="0">
      <selection pane="topLeft" activeCell="A442" activeCellId="0" sqref="A442"/>
    </sheetView>
  </sheetViews>
  <sheetFormatPr defaultRowHeight="12.75" zeroHeight="false" outlineLevelRow="0" outlineLevelCol="0"/>
  <cols>
    <col collapsed="false" customWidth="true" hidden="false" outlineLevel="0" max="1" min="1" style="0" width="24.49"/>
    <col collapsed="false" customWidth="true" hidden="false" outlineLevel="0" max="2" min="2" style="0" width="28.84"/>
    <col collapsed="false" customWidth="true" hidden="false" outlineLevel="0" max="3" min="3" style="0" width="12.83"/>
    <col collapsed="false" customWidth="true" hidden="false" outlineLevel="0" max="4" min="4" style="0" width="12.5"/>
    <col collapsed="false" customWidth="true" hidden="false" outlineLevel="0" max="5" min="5" style="0" width="10.99"/>
    <col collapsed="false" customWidth="true" hidden="false" outlineLevel="0" max="10" min="6" style="0" width="10.66"/>
    <col collapsed="false" customWidth="true" hidden="false" outlineLevel="0" max="11" min="11" style="0" width="7.83"/>
    <col collapsed="false" customWidth="true" hidden="false" outlineLevel="0" max="12" min="12" style="0" width="10.66"/>
    <col collapsed="false" customWidth="true" hidden="false" outlineLevel="0" max="13" min="13" style="0" width="10.33"/>
    <col collapsed="false" customWidth="true" hidden="false" outlineLevel="0" max="14" min="14" style="0" width="10.66"/>
    <col collapsed="false" customWidth="true" hidden="false" outlineLevel="0" max="15" min="15" style="0" width="83"/>
    <col collapsed="false" customWidth="true" hidden="false" outlineLevel="0" max="1025" min="16" style="0" width="10.66"/>
  </cols>
  <sheetData>
    <row r="1" customFormat="false" ht="18" hidden="false" customHeight="true" outlineLevel="0" collapsed="false">
      <c r="A1" s="1603" t="s">
        <v>1806</v>
      </c>
      <c r="B1" s="1604"/>
      <c r="C1" s="1605"/>
      <c r="D1" s="1604"/>
      <c r="E1" s="1606"/>
      <c r="F1" s="1606"/>
      <c r="G1" s="1606"/>
      <c r="H1" s="1604"/>
      <c r="I1" s="1604"/>
      <c r="J1" s="1604"/>
      <c r="K1" s="1604"/>
      <c r="L1" s="1604"/>
      <c r="M1" s="1607"/>
      <c r="N1" s="1607"/>
      <c r="O1" s="1607"/>
    </row>
    <row r="2" customFormat="false" ht="12.75" hidden="false" customHeight="true" outlineLevel="0" collapsed="false">
      <c r="A2" s="1604" t="s">
        <v>1807</v>
      </c>
      <c r="B2" s="1604"/>
      <c r="C2" s="1604"/>
      <c r="D2" s="1604"/>
      <c r="E2" s="1608"/>
      <c r="F2" s="1606"/>
      <c r="G2" s="1606"/>
      <c r="H2" s="1604"/>
      <c r="I2" s="1604"/>
      <c r="J2" s="1604"/>
      <c r="K2" s="1604"/>
      <c r="L2" s="1604"/>
      <c r="M2" s="1607"/>
      <c r="N2" s="1609" t="s">
        <v>1808</v>
      </c>
      <c r="O2" s="1609"/>
    </row>
    <row r="3" customFormat="false" ht="12.75" hidden="false" customHeight="true" outlineLevel="0" collapsed="false">
      <c r="A3" s="1604"/>
      <c r="B3" s="1604"/>
      <c r="C3" s="1604"/>
      <c r="D3" s="1604"/>
      <c r="E3" s="1608"/>
      <c r="F3" s="1606"/>
      <c r="G3" s="1606"/>
      <c r="H3" s="1604"/>
      <c r="I3" s="1604"/>
      <c r="J3" s="1604"/>
      <c r="K3" s="1604"/>
      <c r="L3" s="1604"/>
      <c r="M3" s="1607"/>
      <c r="N3" s="1607"/>
      <c r="O3" s="1607"/>
    </row>
    <row r="4" customFormat="false" ht="12.75" hidden="false" customHeight="true" outlineLevel="0" collapsed="false">
      <c r="A4" s="1604" t="s">
        <v>1809</v>
      </c>
      <c r="B4" s="1610" t="s">
        <v>23</v>
      </c>
      <c r="C4" s="1610"/>
      <c r="D4" s="1610"/>
      <c r="E4" s="1608"/>
      <c r="F4" s="1606"/>
      <c r="G4" s="1606"/>
      <c r="H4" s="1604"/>
      <c r="I4" s="1604"/>
      <c r="J4" s="1604"/>
      <c r="K4" s="1604"/>
      <c r="L4" s="1604"/>
      <c r="M4" s="1607"/>
      <c r="N4" s="1607" t="s">
        <v>1810</v>
      </c>
      <c r="O4" s="1607" t="s">
        <v>1236</v>
      </c>
    </row>
    <row r="5" customFormat="false" ht="12.75" hidden="false" customHeight="true" outlineLevel="0" collapsed="false">
      <c r="A5" s="1604"/>
      <c r="B5" s="31" t="s">
        <v>27</v>
      </c>
      <c r="C5" s="31"/>
      <c r="D5" s="31"/>
      <c r="E5" s="1606"/>
      <c r="F5" s="1606"/>
      <c r="G5" s="1606"/>
      <c r="H5" s="1604"/>
      <c r="I5" s="1604"/>
      <c r="J5" s="1604"/>
      <c r="K5" s="1604"/>
      <c r="L5" s="1604"/>
      <c r="M5" s="1607"/>
      <c r="N5" s="1607" t="n">
        <v>0</v>
      </c>
      <c r="O5" s="1607" t="s">
        <v>1811</v>
      </c>
    </row>
    <row r="6" customFormat="false" ht="12.75" hidden="false" customHeight="true" outlineLevel="0" collapsed="false">
      <c r="A6" s="1604"/>
      <c r="B6" s="1611" t="s">
        <v>30</v>
      </c>
      <c r="C6" s="1611"/>
      <c r="D6" s="1611"/>
      <c r="E6" s="1606"/>
      <c r="F6" s="1606"/>
      <c r="G6" s="1606"/>
      <c r="H6" s="1604"/>
      <c r="I6" s="1604"/>
      <c r="J6" s="1604"/>
      <c r="K6" s="1604"/>
      <c r="L6" s="1604"/>
      <c r="M6" s="1607"/>
      <c r="N6" s="1607" t="n">
        <v>1</v>
      </c>
      <c r="O6" s="1607" t="s">
        <v>1812</v>
      </c>
    </row>
    <row r="7" customFormat="false" ht="12.75" hidden="false" customHeight="true" outlineLevel="0" collapsed="false">
      <c r="A7" s="1604"/>
      <c r="B7" s="1612" t="s">
        <v>34</v>
      </c>
      <c r="C7" s="1612"/>
      <c r="D7" s="1612"/>
      <c r="E7" s="1604"/>
      <c r="F7" s="1604"/>
      <c r="G7" s="1604"/>
      <c r="H7" s="1604"/>
      <c r="I7" s="1604"/>
      <c r="J7" s="1604"/>
      <c r="K7" s="1604"/>
      <c r="L7" s="1604"/>
      <c r="M7" s="1607"/>
      <c r="N7" s="1607" t="n">
        <v>2</v>
      </c>
      <c r="O7" s="1607" t="s">
        <v>1813</v>
      </c>
    </row>
    <row r="8" customFormat="false" ht="12.75" hidden="false" customHeight="true" outlineLevel="0" collapsed="false">
      <c r="A8" s="1604"/>
      <c r="B8" s="595" t="s">
        <v>1814</v>
      </c>
      <c r="C8" s="595"/>
      <c r="D8" s="595"/>
      <c r="E8" s="1604"/>
      <c r="F8" s="1604"/>
      <c r="G8" s="1604"/>
      <c r="H8" s="1604"/>
      <c r="I8" s="1604"/>
      <c r="J8" s="1604"/>
      <c r="K8" s="1604"/>
      <c r="L8" s="1604"/>
      <c r="M8" s="1607"/>
      <c r="N8" s="1607" t="n">
        <v>3</v>
      </c>
      <c r="O8" s="1607" t="s">
        <v>1815</v>
      </c>
    </row>
    <row r="9" customFormat="false" ht="12.75" hidden="false" customHeight="true" outlineLevel="0" collapsed="false">
      <c r="A9" s="1604"/>
      <c r="B9" s="1604"/>
      <c r="C9" s="1604"/>
      <c r="D9" s="1604"/>
      <c r="E9" s="1604"/>
      <c r="F9" s="1604"/>
      <c r="G9" s="1604"/>
      <c r="H9" s="1604"/>
      <c r="I9" s="1604"/>
      <c r="J9" s="1604"/>
      <c r="K9" s="1604"/>
      <c r="L9" s="1604"/>
      <c r="M9" s="1607"/>
      <c r="N9" s="1607" t="n">
        <v>4</v>
      </c>
      <c r="O9" s="1607" t="s">
        <v>1816</v>
      </c>
    </row>
    <row r="10" customFormat="false" ht="20.25" hidden="false" customHeight="true" outlineLevel="0" collapsed="false">
      <c r="A10" s="1613" t="s">
        <v>1817</v>
      </c>
      <c r="B10" s="1613"/>
      <c r="C10" s="1613"/>
      <c r="D10" s="1613"/>
      <c r="E10" s="1613"/>
      <c r="F10" s="1613"/>
      <c r="G10" s="1613"/>
      <c r="H10" s="1613"/>
      <c r="I10" s="1613"/>
      <c r="J10" s="1614"/>
      <c r="K10" s="1614"/>
      <c r="L10" s="1614"/>
      <c r="M10" s="1607"/>
      <c r="N10" s="1607" t="n">
        <v>5</v>
      </c>
      <c r="O10" s="1607" t="s">
        <v>1818</v>
      </c>
    </row>
    <row r="11" customFormat="false" ht="12.75" hidden="false" customHeight="true" outlineLevel="0" collapsed="false">
      <c r="A11" s="1615"/>
      <c r="B11" s="1604"/>
      <c r="C11" s="1604"/>
      <c r="D11" s="1604"/>
      <c r="E11" s="1604"/>
      <c r="F11" s="1604"/>
      <c r="G11" s="1604"/>
      <c r="H11" s="1604"/>
      <c r="I11" s="1604"/>
      <c r="J11" s="1604"/>
      <c r="K11" s="1604"/>
      <c r="L11" s="1604"/>
      <c r="M11" s="1607"/>
      <c r="N11" s="1607" t="n">
        <v>6</v>
      </c>
      <c r="O11" s="1607" t="s">
        <v>1819</v>
      </c>
    </row>
    <row r="12" customFormat="false" ht="12.75" hidden="false" customHeight="true" outlineLevel="0" collapsed="false">
      <c r="A12" s="1605" t="s">
        <v>1820</v>
      </c>
      <c r="B12" s="1604"/>
      <c r="C12" s="1604"/>
      <c r="D12" s="1604"/>
      <c r="E12" s="1604"/>
      <c r="F12" s="1604"/>
      <c r="G12" s="1604"/>
      <c r="H12" s="1604"/>
      <c r="I12" s="1604"/>
      <c r="J12" s="1604"/>
      <c r="K12" s="1604"/>
      <c r="L12" s="1604" t="s">
        <v>1173</v>
      </c>
      <c r="M12" s="1607"/>
      <c r="N12" s="1607" t="n">
        <v>7</v>
      </c>
      <c r="O12" s="1607" t="s">
        <v>1821</v>
      </c>
    </row>
    <row r="13" customFormat="false" ht="26.25" hidden="false" customHeight="true" outlineLevel="0" collapsed="false">
      <c r="A13" s="1616" t="s">
        <v>405</v>
      </c>
      <c r="B13" s="479" t="s">
        <v>371</v>
      </c>
      <c r="C13" s="1617" t="s">
        <v>395</v>
      </c>
      <c r="D13" s="1500" t="s">
        <v>396</v>
      </c>
      <c r="E13" s="1500" t="s">
        <v>397</v>
      </c>
      <c r="F13" s="479" t="s">
        <v>395</v>
      </c>
      <c r="G13" s="479" t="s">
        <v>396</v>
      </c>
      <c r="H13" s="479" t="s">
        <v>397</v>
      </c>
      <c r="I13" s="1618" t="s">
        <v>1822</v>
      </c>
      <c r="J13" s="1604"/>
      <c r="K13" s="1607"/>
      <c r="N13" s="1607" t="s">
        <v>686</v>
      </c>
      <c r="O13" s="1607" t="s">
        <v>686</v>
      </c>
    </row>
    <row r="14" customFormat="false" ht="25.5" hidden="false" customHeight="true" outlineLevel="0" collapsed="false">
      <c r="A14" s="1619"/>
      <c r="B14" s="1620" t="s">
        <v>372</v>
      </c>
      <c r="C14" s="1621" t="s">
        <v>399</v>
      </c>
      <c r="D14" s="1621" t="s">
        <v>399</v>
      </c>
      <c r="E14" s="1621" t="s">
        <v>399</v>
      </c>
      <c r="F14" s="1622" t="s">
        <v>1202</v>
      </c>
      <c r="G14" s="1621" t="s">
        <v>1202</v>
      </c>
      <c r="H14" s="1621" t="s">
        <v>1202</v>
      </c>
      <c r="I14" s="1623"/>
      <c r="J14" s="1604"/>
      <c r="K14" s="1607"/>
      <c r="L14" s="1607"/>
      <c r="M14" s="1607"/>
      <c r="N14" s="1607" t="s">
        <v>1823</v>
      </c>
      <c r="O14" s="1607" t="s">
        <v>1824</v>
      </c>
    </row>
    <row r="15" customFormat="false" ht="12.75" hidden="false" customHeight="true" outlineLevel="0" collapsed="false">
      <c r="A15" s="1624" t="s">
        <v>373</v>
      </c>
      <c r="B15" s="1625"/>
      <c r="C15" s="1626" t="n">
        <v>0</v>
      </c>
      <c r="D15" s="1626" t="n">
        <v>0</v>
      </c>
      <c r="E15" s="1626" t="n">
        <v>600</v>
      </c>
      <c r="F15" s="770" t="n">
        <f aca="false">($B15)*C15</f>
        <v>0</v>
      </c>
      <c r="G15" s="770" t="n">
        <f aca="false">($B15)*D15</f>
        <v>0</v>
      </c>
      <c r="H15" s="770" t="n">
        <f aca="false">($B15)*E15</f>
        <v>0</v>
      </c>
      <c r="I15" s="1627" t="s">
        <v>1823</v>
      </c>
      <c r="J15" s="1628"/>
      <c r="K15" s="1607"/>
      <c r="L15" s="1607"/>
      <c r="M15" s="1607"/>
      <c r="N15" s="1607"/>
      <c r="O15" s="1607"/>
    </row>
    <row r="16" customFormat="false" ht="12.75" hidden="false" customHeight="true" outlineLevel="0" collapsed="false">
      <c r="A16" s="1624" t="s">
        <v>374</v>
      </c>
      <c r="B16" s="1629"/>
      <c r="C16" s="1626" t="n">
        <v>0</v>
      </c>
      <c r="D16" s="1626" t="n">
        <v>0</v>
      </c>
      <c r="E16" s="1626" t="n">
        <v>300</v>
      </c>
      <c r="F16" s="770" t="n">
        <f aca="false">($B16)*C16</f>
        <v>0</v>
      </c>
      <c r="G16" s="770" t="n">
        <f aca="false">($B16)*D16</f>
        <v>0</v>
      </c>
      <c r="H16" s="770" t="n">
        <f aca="false">($B16)*E16</f>
        <v>0</v>
      </c>
      <c r="I16" s="1627" t="n">
        <v>0</v>
      </c>
      <c r="J16" s="1628"/>
      <c r="K16" s="1607"/>
      <c r="L16" s="1607"/>
      <c r="M16" s="1607"/>
      <c r="N16" s="1607"/>
      <c r="O16" s="1607"/>
    </row>
    <row r="17" customFormat="false" ht="12.75" hidden="false" customHeight="true" outlineLevel="0" collapsed="false">
      <c r="A17" s="1624" t="s">
        <v>375</v>
      </c>
      <c r="B17" s="1629"/>
      <c r="C17" s="1626" t="n">
        <v>0</v>
      </c>
      <c r="D17" s="1626" t="n">
        <v>0</v>
      </c>
      <c r="E17" s="1626" t="n">
        <v>500</v>
      </c>
      <c r="F17" s="770" t="n">
        <f aca="false">($B17)*C17</f>
        <v>0</v>
      </c>
      <c r="G17" s="770" t="n">
        <f aca="false">($B17)*D17</f>
        <v>0</v>
      </c>
      <c r="H17" s="770" t="n">
        <f aca="false">($B17)*E17</f>
        <v>0</v>
      </c>
      <c r="I17" s="1627" t="s">
        <v>1823</v>
      </c>
      <c r="J17" s="1628"/>
      <c r="K17" s="1607"/>
      <c r="L17" s="1607"/>
      <c r="M17" s="1607"/>
      <c r="N17" s="1607"/>
      <c r="O17" s="1607"/>
    </row>
    <row r="18" customFormat="false" ht="12.75" hidden="false" customHeight="true" outlineLevel="0" collapsed="false">
      <c r="A18" s="1624" t="s">
        <v>376</v>
      </c>
      <c r="B18" s="1629" t="n">
        <v>12</v>
      </c>
      <c r="C18" s="1626" t="n">
        <v>335</v>
      </c>
      <c r="D18" s="1626" t="n">
        <v>0</v>
      </c>
      <c r="E18" s="1626" t="n">
        <v>0</v>
      </c>
      <c r="F18" s="770" t="n">
        <f aca="false">($B18)*C18</f>
        <v>4020</v>
      </c>
      <c r="G18" s="770" t="n">
        <f aca="false">($B18)*D18</f>
        <v>0</v>
      </c>
      <c r="H18" s="770" t="n">
        <f aca="false">($B18)*E18</f>
        <v>0</v>
      </c>
      <c r="I18" s="1627" t="s">
        <v>1823</v>
      </c>
      <c r="J18" s="1628"/>
      <c r="K18" s="1607"/>
      <c r="L18" s="1607"/>
      <c r="M18" s="1607"/>
      <c r="N18" s="1607"/>
      <c r="O18" s="1607"/>
    </row>
    <row r="19" customFormat="false" ht="12.75" hidden="false" customHeight="true" outlineLevel="0" collapsed="false">
      <c r="A19" s="1624" t="s">
        <v>377</v>
      </c>
      <c r="B19" s="1629"/>
      <c r="C19" s="1626" t="n">
        <v>200</v>
      </c>
      <c r="D19" s="1626" t="n">
        <v>0</v>
      </c>
      <c r="E19" s="1626" t="n">
        <v>0</v>
      </c>
      <c r="F19" s="770" t="n">
        <f aca="false">($B19)*C19</f>
        <v>0</v>
      </c>
      <c r="G19" s="770" t="n">
        <f aca="false">($B19)*D19</f>
        <v>0</v>
      </c>
      <c r="H19" s="770" t="n">
        <f aca="false">($B19)*E19</f>
        <v>0</v>
      </c>
      <c r="I19" s="1627" t="n">
        <v>1</v>
      </c>
      <c r="J19" s="1628"/>
      <c r="K19" s="1607"/>
      <c r="L19" s="1607"/>
      <c r="M19" s="1607"/>
      <c r="N19" s="1607"/>
      <c r="O19" s="1607"/>
    </row>
    <row r="20" customFormat="false" ht="12.75" hidden="false" customHeight="true" outlineLevel="0" collapsed="false">
      <c r="A20" s="1624" t="s">
        <v>378</v>
      </c>
      <c r="B20" s="1629"/>
      <c r="C20" s="1626" t="n">
        <v>155</v>
      </c>
      <c r="D20" s="1626" t="n">
        <v>0</v>
      </c>
      <c r="E20" s="1626" t="n">
        <v>0</v>
      </c>
      <c r="F20" s="770" t="n">
        <f aca="false">($B20)*C20</f>
        <v>0</v>
      </c>
      <c r="G20" s="770" t="n">
        <f aca="false">($B20)*D20</f>
        <v>0</v>
      </c>
      <c r="H20" s="770" t="n">
        <f aca="false">($B20)*E20</f>
        <v>0</v>
      </c>
      <c r="I20" s="1627" t="n">
        <v>1</v>
      </c>
      <c r="J20" s="1628"/>
      <c r="K20" s="1607"/>
      <c r="L20" s="1607"/>
      <c r="M20" s="1607"/>
      <c r="N20" s="1607"/>
      <c r="O20" s="1607"/>
    </row>
    <row r="21" customFormat="false" ht="25.5" hidden="false" customHeight="true" outlineLevel="0" collapsed="false">
      <c r="A21" s="1624" t="s">
        <v>379</v>
      </c>
      <c r="B21" s="1629"/>
      <c r="C21" s="1626" t="n">
        <v>150</v>
      </c>
      <c r="D21" s="1626" t="n">
        <v>0</v>
      </c>
      <c r="E21" s="1626" t="n">
        <v>0</v>
      </c>
      <c r="F21" s="770" t="n">
        <f aca="false">($B21)*C21</f>
        <v>0</v>
      </c>
      <c r="G21" s="770" t="n">
        <f aca="false">($B21)*D21</f>
        <v>0</v>
      </c>
      <c r="H21" s="770" t="n">
        <f aca="false">($B21)*E21</f>
        <v>0</v>
      </c>
      <c r="I21" s="1627" t="n">
        <v>0</v>
      </c>
      <c r="J21" s="1628"/>
      <c r="K21" s="1607"/>
      <c r="L21" s="1607"/>
      <c r="M21" s="1607"/>
      <c r="N21" s="1607"/>
      <c r="O21" s="1607"/>
    </row>
    <row r="22" customFormat="false" ht="12.75" hidden="false" customHeight="true" outlineLevel="0" collapsed="false">
      <c r="A22" s="1624" t="s">
        <v>380</v>
      </c>
      <c r="B22" s="1629"/>
      <c r="C22" s="1626" t="n">
        <v>160</v>
      </c>
      <c r="D22" s="1626" t="n">
        <v>0</v>
      </c>
      <c r="E22" s="1626" t="n">
        <v>0</v>
      </c>
      <c r="F22" s="770" t="n">
        <f aca="false">($B22)*C22</f>
        <v>0</v>
      </c>
      <c r="G22" s="770" t="n">
        <f aca="false">($B22)*D22</f>
        <v>0</v>
      </c>
      <c r="H22" s="770" t="n">
        <f aca="false">($B22)*E22</f>
        <v>0</v>
      </c>
      <c r="I22" s="1627" t="n">
        <v>0</v>
      </c>
      <c r="J22" s="1628"/>
      <c r="K22" s="1607"/>
      <c r="L22" s="1607"/>
      <c r="M22" s="1607"/>
      <c r="N22" s="1607"/>
      <c r="O22" s="1607"/>
    </row>
    <row r="23" customFormat="false" ht="12.75" hidden="false" customHeight="true" outlineLevel="0" collapsed="false">
      <c r="A23" s="1624" t="s">
        <v>381</v>
      </c>
      <c r="B23" s="1629"/>
      <c r="C23" s="1626" t="n">
        <v>100</v>
      </c>
      <c r="D23" s="1626" t="n">
        <v>0</v>
      </c>
      <c r="E23" s="1626" t="n">
        <v>0</v>
      </c>
      <c r="F23" s="770" t="n">
        <f aca="false">($B23)*C23</f>
        <v>0</v>
      </c>
      <c r="G23" s="770" t="n">
        <f aca="false">($B23)*D23</f>
        <v>0</v>
      </c>
      <c r="H23" s="770" t="n">
        <f aca="false">($B23)*E23</f>
        <v>0</v>
      </c>
      <c r="I23" s="1627" t="n">
        <v>0</v>
      </c>
      <c r="J23" s="1628"/>
      <c r="K23" s="1607"/>
      <c r="L23" s="1607"/>
      <c r="M23" s="1607"/>
      <c r="N23" s="1607"/>
      <c r="O23" s="1607"/>
    </row>
    <row r="24" customFormat="false" ht="12.75" hidden="false" customHeight="true" outlineLevel="0" collapsed="false">
      <c r="A24" s="1624" t="s">
        <v>382</v>
      </c>
      <c r="B24" s="1629"/>
      <c r="C24" s="1626" t="n">
        <v>210</v>
      </c>
      <c r="D24" s="1626" t="n">
        <v>0</v>
      </c>
      <c r="E24" s="1626" t="n">
        <v>0</v>
      </c>
      <c r="F24" s="770" t="n">
        <f aca="false">($B24)*C24</f>
        <v>0</v>
      </c>
      <c r="G24" s="770" t="n">
        <f aca="false">($B24)*D24</f>
        <v>0</v>
      </c>
      <c r="H24" s="770" t="n">
        <f aca="false">($B24)*E24</f>
        <v>0</v>
      </c>
      <c r="I24" s="1627" t="n">
        <v>1</v>
      </c>
      <c r="J24" s="1628"/>
      <c r="K24" s="1607"/>
      <c r="L24" s="1607"/>
      <c r="M24" s="1607"/>
      <c r="N24" s="1607"/>
      <c r="O24" s="1607"/>
    </row>
    <row r="25" customFormat="false" ht="12.75" hidden="false" customHeight="true" outlineLevel="0" collapsed="false">
      <c r="A25" s="1624" t="s">
        <v>383</v>
      </c>
      <c r="B25" s="1629"/>
      <c r="C25" s="1626" t="n">
        <v>260</v>
      </c>
      <c r="D25" s="1626" t="n">
        <v>0</v>
      </c>
      <c r="E25" s="1626" t="n">
        <v>0</v>
      </c>
      <c r="F25" s="770" t="n">
        <f aca="false">($B25)*C25</f>
        <v>0</v>
      </c>
      <c r="G25" s="770" t="n">
        <f aca="false">($B25)*D25</f>
        <v>0</v>
      </c>
      <c r="H25" s="770" t="n">
        <f aca="false">($B25)*E25</f>
        <v>0</v>
      </c>
      <c r="I25" s="1627" t="n">
        <v>0</v>
      </c>
      <c r="J25" s="1628"/>
      <c r="K25" s="1607"/>
      <c r="L25" s="1607"/>
      <c r="M25" s="1607"/>
      <c r="N25" s="1607"/>
      <c r="O25" s="1607"/>
    </row>
    <row r="26" customFormat="false" ht="12.75" hidden="false" customHeight="true" outlineLevel="0" collapsed="false">
      <c r="A26" s="1624" t="s">
        <v>384</v>
      </c>
      <c r="B26" s="1629"/>
      <c r="C26" s="1626" t="n">
        <v>460</v>
      </c>
      <c r="D26" s="1626" t="n">
        <v>0</v>
      </c>
      <c r="E26" s="1626" t="n">
        <v>0</v>
      </c>
      <c r="F26" s="770" t="n">
        <f aca="false">($B26)*C26</f>
        <v>0</v>
      </c>
      <c r="G26" s="770" t="n">
        <f aca="false">($B26)*D26</f>
        <v>0</v>
      </c>
      <c r="H26" s="770" t="n">
        <f aca="false">($B26)*E26</f>
        <v>0</v>
      </c>
      <c r="I26" s="1627" t="n">
        <v>1</v>
      </c>
      <c r="J26" s="1628"/>
      <c r="K26" s="1607"/>
      <c r="L26" s="1607"/>
      <c r="M26" s="1607"/>
      <c r="N26" s="1607"/>
      <c r="O26" s="1607"/>
    </row>
    <row r="27" customFormat="false" ht="12.75" hidden="false" customHeight="true" outlineLevel="0" collapsed="false">
      <c r="A27" s="1624" t="s">
        <v>385</v>
      </c>
      <c r="B27" s="1629"/>
      <c r="C27" s="1626" t="n">
        <v>130</v>
      </c>
      <c r="D27" s="1626" t="n">
        <v>0</v>
      </c>
      <c r="E27" s="1626" t="n">
        <v>440</v>
      </c>
      <c r="F27" s="770" t="n">
        <f aca="false">($B27)*C27</f>
        <v>0</v>
      </c>
      <c r="G27" s="770" t="n">
        <f aca="false">($B27)*D27</f>
        <v>0</v>
      </c>
      <c r="H27" s="770" t="n">
        <f aca="false">($B27)*E27</f>
        <v>0</v>
      </c>
      <c r="I27" s="1627" t="n">
        <v>1</v>
      </c>
      <c r="J27" s="1628"/>
      <c r="K27" s="1607"/>
      <c r="L27" s="1607"/>
      <c r="M27" s="1607"/>
      <c r="N27" s="1607"/>
      <c r="O27" s="1607"/>
    </row>
    <row r="28" customFormat="false" ht="25.5" hidden="false" customHeight="true" outlineLevel="0" collapsed="false">
      <c r="A28" s="1624" t="s">
        <v>386</v>
      </c>
      <c r="B28" s="1629"/>
      <c r="C28" s="1626" t="n">
        <v>180</v>
      </c>
      <c r="D28" s="1626" t="n">
        <v>460</v>
      </c>
      <c r="E28" s="1626" t="n">
        <v>0</v>
      </c>
      <c r="F28" s="770" t="n">
        <f aca="false">($B28)*C28</f>
        <v>0</v>
      </c>
      <c r="G28" s="770" t="n">
        <f aca="false">($B28)*D28</f>
        <v>0</v>
      </c>
      <c r="H28" s="770" t="n">
        <f aca="false">($B28)*E28</f>
        <v>0</v>
      </c>
      <c r="I28" s="1627" t="s">
        <v>1823</v>
      </c>
      <c r="J28" s="1628"/>
      <c r="K28" s="1607"/>
      <c r="L28" s="1607"/>
      <c r="M28" s="1607"/>
      <c r="N28" s="1607"/>
      <c r="O28" s="1607"/>
    </row>
    <row r="29" customFormat="false" ht="12.75" hidden="false" customHeight="true" outlineLevel="0" collapsed="false">
      <c r="A29" s="1624" t="s">
        <v>387</v>
      </c>
      <c r="B29" s="1629"/>
      <c r="C29" s="1626" t="n">
        <v>110</v>
      </c>
      <c r="D29" s="1626" t="n">
        <v>60</v>
      </c>
      <c r="E29" s="1626" t="n">
        <v>20</v>
      </c>
      <c r="F29" s="770" t="n">
        <f aca="false">($B29)*C29</f>
        <v>0</v>
      </c>
      <c r="G29" s="770" t="n">
        <f aca="false">($B29)*D29</f>
        <v>0</v>
      </c>
      <c r="H29" s="770" t="n">
        <f aca="false">($B29)*E29</f>
        <v>0</v>
      </c>
      <c r="I29" s="1627" t="n">
        <v>0</v>
      </c>
      <c r="J29" s="1628"/>
      <c r="K29" s="1607"/>
      <c r="L29" s="1607"/>
      <c r="M29" s="1607"/>
      <c r="N29" s="1607"/>
      <c r="O29" s="1607"/>
    </row>
    <row r="30" customFormat="false" ht="12.75" hidden="false" customHeight="true" outlineLevel="0" collapsed="false">
      <c r="A30" s="1624" t="s">
        <v>388</v>
      </c>
      <c r="B30" s="1629"/>
      <c r="C30" s="1626" t="n">
        <v>100</v>
      </c>
      <c r="D30" s="1626" t="n">
        <v>10</v>
      </c>
      <c r="E30" s="1626" t="n">
        <v>50</v>
      </c>
      <c r="F30" s="770" t="n">
        <f aca="false">($B30)*C30</f>
        <v>0</v>
      </c>
      <c r="G30" s="770" t="n">
        <f aca="false">($B30)*D30</f>
        <v>0</v>
      </c>
      <c r="H30" s="770" t="n">
        <f aca="false">($B30)*E30</f>
        <v>0</v>
      </c>
      <c r="I30" s="1627" t="n">
        <v>0</v>
      </c>
      <c r="J30" s="1628"/>
      <c r="K30" s="1607"/>
      <c r="L30" s="1607"/>
      <c r="M30" s="1607"/>
      <c r="N30" s="1607"/>
      <c r="O30" s="1607"/>
    </row>
    <row r="31" customFormat="false" ht="12.75" hidden="false" customHeight="true" outlineLevel="0" collapsed="false">
      <c r="A31" s="1624" t="s">
        <v>389</v>
      </c>
      <c r="B31" s="1629"/>
      <c r="C31" s="1626" t="n">
        <v>5</v>
      </c>
      <c r="D31" s="1626" t="n">
        <v>4</v>
      </c>
      <c r="E31" s="1626" t="n">
        <v>4.5</v>
      </c>
      <c r="F31" s="770" t="n">
        <f aca="false">($B31)*C31</f>
        <v>0</v>
      </c>
      <c r="G31" s="770" t="n">
        <f aca="false">($B31)*D31</f>
        <v>0</v>
      </c>
      <c r="H31" s="770" t="n">
        <f aca="false">($B31)*E31</f>
        <v>0</v>
      </c>
      <c r="I31" s="1627" t="n">
        <v>1</v>
      </c>
      <c r="J31" s="1628"/>
      <c r="K31" s="1607"/>
      <c r="L31" s="1607"/>
      <c r="M31" s="1607"/>
      <c r="N31" s="1607"/>
      <c r="O31" s="1607"/>
    </row>
    <row r="32" customFormat="false" ht="25.5" hidden="false" customHeight="true" outlineLevel="0" collapsed="false">
      <c r="A32" s="1624" t="s">
        <v>390</v>
      </c>
      <c r="B32" s="1629" t="n">
        <v>10</v>
      </c>
      <c r="C32" s="1626" t="n">
        <v>140</v>
      </c>
      <c r="D32" s="1626" t="n">
        <v>80</v>
      </c>
      <c r="E32" s="1626" t="n">
        <v>200</v>
      </c>
      <c r="F32" s="770" t="n">
        <f aca="false">($B32)*C32</f>
        <v>1400</v>
      </c>
      <c r="G32" s="770" t="n">
        <f aca="false">($B32)*D32</f>
        <v>800</v>
      </c>
      <c r="H32" s="770" t="n">
        <f aca="false">($B32)*E32</f>
        <v>2000</v>
      </c>
      <c r="I32" s="1627" t="s">
        <v>1823</v>
      </c>
      <c r="J32" s="1628"/>
      <c r="K32" s="1607"/>
      <c r="L32" s="1607"/>
      <c r="M32" s="1607"/>
      <c r="N32" s="1607"/>
      <c r="O32" s="1607"/>
    </row>
    <row r="33" customFormat="false" ht="12.75" hidden="false" customHeight="true" outlineLevel="0" collapsed="false">
      <c r="A33" s="1624" t="s">
        <v>391</v>
      </c>
      <c r="B33" s="1629"/>
      <c r="C33" s="1626" t="n">
        <v>100</v>
      </c>
      <c r="D33" s="1626" t="n">
        <v>40</v>
      </c>
      <c r="E33" s="1626" t="n">
        <v>20</v>
      </c>
      <c r="F33" s="770" t="n">
        <f aca="false">($B33)*C33</f>
        <v>0</v>
      </c>
      <c r="G33" s="770" t="n">
        <f aca="false">($B33)*D33</f>
        <v>0</v>
      </c>
      <c r="H33" s="770" t="n">
        <f aca="false">($B33)*E33</f>
        <v>0</v>
      </c>
      <c r="I33" s="1627" t="n">
        <v>0</v>
      </c>
      <c r="J33" s="1628"/>
      <c r="K33" s="1607"/>
      <c r="L33" s="1607"/>
      <c r="M33" s="1607"/>
      <c r="N33" s="1607"/>
      <c r="O33" s="1607"/>
    </row>
    <row r="34" customFormat="false" ht="12.75" hidden="false" customHeight="true" outlineLevel="0" collapsed="false">
      <c r="A34" s="1624" t="s">
        <v>392</v>
      </c>
      <c r="B34" s="1629"/>
      <c r="C34" s="1626" t="n">
        <v>0</v>
      </c>
      <c r="D34" s="1626" t="n">
        <v>180</v>
      </c>
      <c r="E34" s="1626" t="n">
        <v>0</v>
      </c>
      <c r="F34" s="770" t="n">
        <f aca="false">($B34)*C34</f>
        <v>0</v>
      </c>
      <c r="G34" s="770" t="n">
        <f aca="false">($B34)*D34</f>
        <v>0</v>
      </c>
      <c r="H34" s="770" t="n">
        <f aca="false">($B34)*E34</f>
        <v>0</v>
      </c>
      <c r="I34" s="1627" t="n">
        <v>0</v>
      </c>
      <c r="J34" s="1628"/>
      <c r="K34" s="1607"/>
      <c r="L34" s="1607"/>
      <c r="M34" s="1607"/>
      <c r="N34" s="1607"/>
      <c r="O34" s="1607"/>
    </row>
    <row r="35" customFormat="false" ht="12.75" hidden="false" customHeight="true" outlineLevel="0" collapsed="false">
      <c r="A35" s="1624" t="s">
        <v>393</v>
      </c>
      <c r="B35" s="1629"/>
      <c r="C35" s="1626" t="n">
        <v>0</v>
      </c>
      <c r="D35" s="1626" t="n">
        <v>180</v>
      </c>
      <c r="E35" s="1626" t="n">
        <v>0</v>
      </c>
      <c r="F35" s="770" t="n">
        <f aca="false">($B35)*C35</f>
        <v>0</v>
      </c>
      <c r="G35" s="770" t="n">
        <f aca="false">($B35)*D35</f>
        <v>0</v>
      </c>
      <c r="H35" s="770" t="n">
        <f aca="false">($B35)*E35</f>
        <v>0</v>
      </c>
      <c r="I35" s="1627" t="s">
        <v>1823</v>
      </c>
      <c r="J35" s="1628"/>
      <c r="K35" s="1607"/>
      <c r="L35" s="1607"/>
      <c r="M35" s="1607"/>
      <c r="N35" s="1607"/>
      <c r="O35" s="1607"/>
    </row>
    <row r="36" customFormat="false" ht="12.75" hidden="false" customHeight="true" outlineLevel="0" collapsed="false">
      <c r="A36" s="1624" t="s">
        <v>394</v>
      </c>
      <c r="B36" s="1629"/>
      <c r="C36" s="1626" t="n">
        <v>0</v>
      </c>
      <c r="D36" s="1626" t="n">
        <v>450</v>
      </c>
      <c r="E36" s="1626" t="n">
        <v>0</v>
      </c>
      <c r="F36" s="770" t="n">
        <f aca="false">($B36)*C36</f>
        <v>0</v>
      </c>
      <c r="G36" s="770" t="n">
        <f aca="false">($B36)*D36</f>
        <v>0</v>
      </c>
      <c r="H36" s="770" t="n">
        <f aca="false">($B36)*E36</f>
        <v>0</v>
      </c>
      <c r="I36" s="1627" t="s">
        <v>1823</v>
      </c>
      <c r="J36" s="1628"/>
      <c r="K36" s="1607"/>
      <c r="L36" s="1607"/>
      <c r="M36" s="1607"/>
      <c r="N36" s="1607"/>
      <c r="O36" s="1607"/>
    </row>
    <row r="37" customFormat="false" ht="12.75" hidden="false" customHeight="true" outlineLevel="0" collapsed="false">
      <c r="A37" s="1624" t="s">
        <v>398</v>
      </c>
      <c r="B37" s="1629"/>
      <c r="C37" s="1626" t="n">
        <v>0</v>
      </c>
      <c r="D37" s="1626" t="n">
        <v>150</v>
      </c>
      <c r="E37" s="1626" t="n">
        <v>250</v>
      </c>
      <c r="F37" s="770" t="n">
        <f aca="false">($B37)*C37</f>
        <v>0</v>
      </c>
      <c r="G37" s="770" t="n">
        <f aca="false">($B37)*D37</f>
        <v>0</v>
      </c>
      <c r="H37" s="770" t="n">
        <f aca="false">($B37)*E37</f>
        <v>0</v>
      </c>
      <c r="I37" s="1627" t="s">
        <v>1823</v>
      </c>
      <c r="J37" s="1628"/>
      <c r="K37" s="1607"/>
      <c r="L37" s="1607"/>
      <c r="M37" s="1607"/>
      <c r="N37" s="1607"/>
      <c r="O37" s="1607"/>
    </row>
    <row r="38" customFormat="false" ht="12.75" hidden="false" customHeight="true" outlineLevel="0" collapsed="false">
      <c r="A38" s="1624" t="s">
        <v>400</v>
      </c>
      <c r="B38" s="1629"/>
      <c r="C38" s="1626" t="n">
        <v>9</v>
      </c>
      <c r="D38" s="1626" t="n">
        <v>0</v>
      </c>
      <c r="E38" s="1626" t="n">
        <v>0</v>
      </c>
      <c r="F38" s="770" t="n">
        <f aca="false">($B38)*C38</f>
        <v>0</v>
      </c>
      <c r="G38" s="770" t="n">
        <f aca="false">($B38)*D38</f>
        <v>0</v>
      </c>
      <c r="H38" s="770" t="n">
        <f aca="false">($B38)*E38</f>
        <v>0</v>
      </c>
      <c r="I38" s="1627" t="n">
        <v>0</v>
      </c>
      <c r="J38" s="1628"/>
      <c r="K38" s="1607"/>
      <c r="L38" s="1607"/>
      <c r="M38" s="1607"/>
      <c r="N38" s="1607"/>
      <c r="O38" s="1607"/>
    </row>
    <row r="39" customFormat="false" ht="12.75" hidden="false" customHeight="true" outlineLevel="0" collapsed="false">
      <c r="A39" s="1630" t="s">
        <v>1116</v>
      </c>
      <c r="B39" s="1629"/>
      <c r="C39" s="1629"/>
      <c r="D39" s="1629"/>
      <c r="E39" s="1629"/>
      <c r="F39" s="770" t="n">
        <f aca="false">($B39)*C39</f>
        <v>0</v>
      </c>
      <c r="G39" s="770" t="n">
        <f aca="false">($B39)*D39</f>
        <v>0</v>
      </c>
      <c r="H39" s="770" t="n">
        <f aca="false">($B39)*E39</f>
        <v>0</v>
      </c>
      <c r="I39" s="1627" t="s">
        <v>686</v>
      </c>
      <c r="J39" s="1628"/>
      <c r="K39" s="1607"/>
      <c r="L39" s="1607"/>
      <c r="M39" s="1607"/>
      <c r="N39" s="1607"/>
      <c r="O39" s="1607"/>
    </row>
    <row r="40" customFormat="false" ht="12.75" hidden="false" customHeight="true" outlineLevel="0" collapsed="false">
      <c r="A40" s="1630" t="s">
        <v>1116</v>
      </c>
      <c r="B40" s="1629"/>
      <c r="C40" s="1629"/>
      <c r="D40" s="1629"/>
      <c r="E40" s="1629"/>
      <c r="F40" s="770" t="n">
        <f aca="false">($B40)*C40</f>
        <v>0</v>
      </c>
      <c r="G40" s="770" t="n">
        <f aca="false">($B40)*D40</f>
        <v>0</v>
      </c>
      <c r="H40" s="770" t="n">
        <f aca="false">($B40)*E40</f>
        <v>0</v>
      </c>
      <c r="I40" s="1627" t="s">
        <v>686</v>
      </c>
      <c r="J40" s="1628"/>
      <c r="K40" s="1607"/>
      <c r="L40" s="1607"/>
      <c r="M40" s="1607"/>
      <c r="N40" s="1607"/>
      <c r="O40" s="1607"/>
    </row>
    <row r="41" customFormat="false" ht="12.75" hidden="false" customHeight="true" outlineLevel="0" collapsed="false">
      <c r="A41" s="1630" t="s">
        <v>1116</v>
      </c>
      <c r="B41" s="1629"/>
      <c r="C41" s="1629"/>
      <c r="D41" s="1629"/>
      <c r="E41" s="1629"/>
      <c r="F41" s="770" t="n">
        <f aca="false">($B41)*C41</f>
        <v>0</v>
      </c>
      <c r="G41" s="770" t="n">
        <f aca="false">($B41)*D41</f>
        <v>0</v>
      </c>
      <c r="H41" s="770" t="n">
        <f aca="false">($B41)*E41</f>
        <v>0</v>
      </c>
      <c r="I41" s="1627" t="s">
        <v>686</v>
      </c>
      <c r="J41" s="1628"/>
      <c r="K41" s="1607"/>
      <c r="L41" s="1607"/>
      <c r="M41" s="1607"/>
      <c r="N41" s="1607"/>
      <c r="O41" s="1607"/>
    </row>
    <row r="42" customFormat="false" ht="12.75" hidden="false" customHeight="true" outlineLevel="0" collapsed="false">
      <c r="A42" s="1631"/>
      <c r="B42" s="1632"/>
      <c r="C42" s="1633"/>
      <c r="D42" s="1633"/>
      <c r="E42" s="1633"/>
      <c r="F42" s="1634" t="s">
        <v>395</v>
      </c>
      <c r="G42" s="1634" t="s">
        <v>396</v>
      </c>
      <c r="H42" s="1634" t="s">
        <v>397</v>
      </c>
      <c r="I42" s="1604"/>
      <c r="J42" s="1604"/>
      <c r="K42" s="1607"/>
      <c r="L42" s="1607"/>
      <c r="M42" s="1607"/>
      <c r="N42" s="1607"/>
      <c r="O42" s="1607"/>
    </row>
    <row r="43" customFormat="false" ht="12.75" hidden="false" customHeight="true" outlineLevel="0" collapsed="false">
      <c r="A43" s="1631"/>
      <c r="B43" s="1632"/>
      <c r="C43" s="1607"/>
      <c r="D43" s="1635" t="s">
        <v>1825</v>
      </c>
      <c r="E43" s="1636" t="s">
        <v>540</v>
      </c>
      <c r="F43" s="770" t="n">
        <f aca="false">SUM(F15:F41)</f>
        <v>5420</v>
      </c>
      <c r="G43" s="770" t="n">
        <f aca="false">SUM(G15:G41)</f>
        <v>800</v>
      </c>
      <c r="H43" s="770" t="n">
        <f aca="false">SUM(H15:H41)</f>
        <v>2000</v>
      </c>
      <c r="I43" s="1604"/>
      <c r="J43" s="1604"/>
      <c r="K43" s="1607"/>
      <c r="L43" s="1607"/>
      <c r="M43" s="1607"/>
      <c r="N43" s="1607"/>
      <c r="O43" s="1607"/>
    </row>
    <row r="44" customFormat="false" ht="12.75" hidden="false" customHeight="true" outlineLevel="0" collapsed="false">
      <c r="A44" s="1631"/>
      <c r="B44" s="1632"/>
      <c r="C44" s="1607"/>
      <c r="D44" s="1637" t="s">
        <v>1826</v>
      </c>
      <c r="E44" s="1637"/>
      <c r="F44" s="1638" t="n">
        <v>1</v>
      </c>
      <c r="G44" s="1638" t="n">
        <v>0.437</v>
      </c>
      <c r="H44" s="1638" t="n">
        <v>0.83</v>
      </c>
      <c r="I44" s="1604"/>
      <c r="J44" s="1604"/>
      <c r="K44" s="1607"/>
      <c r="L44" s="1607"/>
      <c r="M44" s="1607"/>
      <c r="N44" s="1607"/>
      <c r="O44" s="1607"/>
    </row>
    <row r="45" customFormat="false" ht="12.75" hidden="false" customHeight="true" outlineLevel="0" collapsed="false">
      <c r="A45" s="1631"/>
      <c r="B45" s="1632"/>
      <c r="C45" s="1607"/>
      <c r="D45" s="1639"/>
      <c r="E45" s="1640"/>
      <c r="F45" s="1634" t="s">
        <v>395</v>
      </c>
      <c r="G45" s="1634" t="s">
        <v>1827</v>
      </c>
      <c r="H45" s="1634" t="s">
        <v>1828</v>
      </c>
      <c r="I45" s="1604"/>
      <c r="J45" s="1604"/>
      <c r="K45" s="1607"/>
      <c r="L45" s="1607"/>
      <c r="M45" s="1607"/>
      <c r="N45" s="1607"/>
      <c r="O45" s="1607"/>
    </row>
    <row r="46" customFormat="false" ht="27.5" hidden="false" customHeight="true" outlineLevel="0" collapsed="false">
      <c r="A46" s="1631"/>
      <c r="B46" s="1632"/>
      <c r="C46" s="479" t="s">
        <v>1829</v>
      </c>
      <c r="D46" s="479"/>
      <c r="E46" s="1636" t="s">
        <v>540</v>
      </c>
      <c r="F46" s="851" t="n">
        <f aca="false">(F43)*F44</f>
        <v>5420</v>
      </c>
      <c r="G46" s="1282" t="n">
        <f aca="false">(G43)*G44</f>
        <v>349.6</v>
      </c>
      <c r="H46" s="1282" t="n">
        <f aca="false">(H43)*H44</f>
        <v>1660</v>
      </c>
      <c r="I46" s="1604"/>
      <c r="J46" s="1604"/>
      <c r="K46" s="1607"/>
      <c r="L46" s="1607"/>
      <c r="M46" s="1607"/>
      <c r="N46" s="1607"/>
      <c r="O46" s="1607"/>
    </row>
    <row r="47" customFormat="false" ht="12.75" hidden="false" customHeight="true" outlineLevel="0" collapsed="false">
      <c r="A47" s="1631"/>
      <c r="B47" s="1632"/>
      <c r="C47" s="1633"/>
      <c r="D47" s="1641"/>
      <c r="E47" s="1641"/>
      <c r="F47" s="1641"/>
      <c r="G47" s="1641"/>
      <c r="H47" s="1641"/>
      <c r="I47" s="1604"/>
      <c r="J47" s="1604"/>
      <c r="K47" s="1604"/>
      <c r="L47" s="1604"/>
      <c r="M47" s="1607"/>
      <c r="N47" s="1607"/>
      <c r="O47" s="1607"/>
    </row>
    <row r="48" customFormat="false" ht="12.75" hidden="false" customHeight="true" outlineLevel="0" collapsed="false">
      <c r="A48" s="1631"/>
      <c r="B48" s="1632"/>
      <c r="C48" s="1633"/>
      <c r="D48" s="1641"/>
      <c r="E48" s="1641"/>
      <c r="F48" s="1641"/>
      <c r="G48" s="1641"/>
      <c r="H48" s="1641"/>
      <c r="I48" s="1604"/>
      <c r="J48" s="1604"/>
      <c r="K48" s="1604"/>
      <c r="L48" s="1604"/>
      <c r="M48" s="1607"/>
      <c r="N48" s="1607"/>
      <c r="O48" s="1607"/>
    </row>
    <row r="49" customFormat="false" ht="20.25" hidden="false" customHeight="true" outlineLevel="0" collapsed="false">
      <c r="A49" s="1613" t="s">
        <v>1830</v>
      </c>
      <c r="B49" s="1613"/>
      <c r="C49" s="1613"/>
      <c r="D49" s="1613"/>
      <c r="E49" s="1613"/>
      <c r="F49" s="1613"/>
      <c r="G49" s="1613"/>
      <c r="H49" s="1613"/>
      <c r="I49" s="1613"/>
      <c r="J49" s="1604"/>
      <c r="K49" s="1604"/>
      <c r="L49" s="1604"/>
      <c r="M49" s="1607"/>
      <c r="N49" s="1607"/>
      <c r="O49" s="1607"/>
    </row>
    <row r="50" customFormat="false" ht="20.25" hidden="false" customHeight="true" outlineLevel="0" collapsed="false">
      <c r="A50" s="1615"/>
      <c r="B50" s="1614"/>
      <c r="C50" s="1614"/>
      <c r="D50" s="1614"/>
      <c r="E50" s="1614"/>
      <c r="F50" s="1614"/>
      <c r="G50" s="1614"/>
      <c r="H50" s="1614"/>
      <c r="I50" s="1604"/>
      <c r="J50" s="1604"/>
      <c r="K50" s="1604"/>
      <c r="L50" s="1604"/>
      <c r="M50" s="1607"/>
      <c r="N50" s="1607"/>
      <c r="O50" s="1607"/>
    </row>
    <row r="51" customFormat="false" ht="12.75" hidden="false" customHeight="true" outlineLevel="0" collapsed="false">
      <c r="A51" s="1642" t="s">
        <v>1831</v>
      </c>
      <c r="B51" s="1643"/>
      <c r="C51" s="1643"/>
      <c r="D51" s="1643"/>
      <c r="E51" s="1643"/>
      <c r="F51" s="1643"/>
      <c r="G51" s="1644"/>
      <c r="H51" s="1604"/>
      <c r="I51" s="1604"/>
      <c r="J51" s="1604"/>
      <c r="K51" s="1604"/>
      <c r="L51" s="1604"/>
      <c r="M51" s="1607"/>
      <c r="N51" s="1607"/>
      <c r="O51" s="1607"/>
    </row>
    <row r="52" customFormat="false" ht="25.5" hidden="false" customHeight="true" outlineLevel="0" collapsed="false">
      <c r="B52" s="1645" t="s">
        <v>405</v>
      </c>
      <c r="C52" s="1500" t="s">
        <v>1071</v>
      </c>
      <c r="D52" s="1500" t="s">
        <v>395</v>
      </c>
      <c r="E52" s="479" t="s">
        <v>395</v>
      </c>
      <c r="F52" s="1646" t="s">
        <v>1822</v>
      </c>
      <c r="G52" s="1607"/>
      <c r="H52" s="1607"/>
      <c r="I52" s="1607"/>
      <c r="J52" s="1607"/>
      <c r="K52" s="1607"/>
      <c r="L52" s="1607"/>
      <c r="M52" s="1607"/>
      <c r="N52" s="1607"/>
      <c r="O52" s="1607"/>
    </row>
    <row r="53" customFormat="false" ht="25.5" hidden="false" customHeight="true" outlineLevel="0" collapsed="false">
      <c r="B53" s="1647"/>
      <c r="C53" s="1648" t="s">
        <v>1832</v>
      </c>
      <c r="D53" s="1648" t="s">
        <v>1833</v>
      </c>
      <c r="E53" s="1649" t="s">
        <v>1202</v>
      </c>
      <c r="F53" s="1623"/>
      <c r="G53" s="1607"/>
      <c r="H53" s="1607"/>
      <c r="I53" s="1607"/>
      <c r="J53" s="1607"/>
      <c r="K53" s="1607"/>
      <c r="L53" s="1607"/>
      <c r="M53" s="1607"/>
      <c r="N53" s="1607"/>
      <c r="O53" s="1607"/>
    </row>
    <row r="54" customFormat="false" ht="25.5" hidden="false" customHeight="true" outlineLevel="0" collapsed="false">
      <c r="A54" s="1635" t="s">
        <v>1834</v>
      </c>
      <c r="B54" s="1624" t="s">
        <v>407</v>
      </c>
      <c r="C54" s="1650" t="n">
        <f aca="false">'Saisie et Calculateur'!D322</f>
        <v>0</v>
      </c>
      <c r="D54" s="1626" t="n">
        <v>5.8</v>
      </c>
      <c r="E54" s="1651" t="n">
        <f aca="false">C54*D54</f>
        <v>0</v>
      </c>
      <c r="F54" s="1627" t="n">
        <v>7</v>
      </c>
      <c r="G54" s="1607"/>
      <c r="H54" s="1607"/>
      <c r="I54" s="1607"/>
      <c r="J54" s="1607"/>
      <c r="K54" s="1607"/>
      <c r="L54" s="1607"/>
      <c r="M54" s="1607"/>
      <c r="N54" s="1607"/>
      <c r="O54" s="1607"/>
    </row>
    <row r="55" customFormat="false" ht="12.75" hidden="false" customHeight="true" outlineLevel="0" collapsed="false">
      <c r="A55" s="1635"/>
      <c r="B55" s="1624" t="s">
        <v>408</v>
      </c>
      <c r="C55" s="1650" t="n">
        <f aca="false">'Saisie et Calculateur'!D323</f>
        <v>0</v>
      </c>
      <c r="D55" s="1626" t="n">
        <v>5</v>
      </c>
      <c r="E55" s="1651" t="n">
        <f aca="false">C55*D55</f>
        <v>0</v>
      </c>
      <c r="F55" s="1627" t="n">
        <v>7</v>
      </c>
      <c r="G55" s="1607"/>
      <c r="H55" s="1607"/>
      <c r="I55" s="1607"/>
      <c r="J55" s="1607"/>
      <c r="K55" s="1607"/>
      <c r="L55" s="1607"/>
      <c r="M55" s="1607"/>
      <c r="N55" s="1607"/>
      <c r="O55" s="1607"/>
    </row>
    <row r="56" customFormat="false" ht="12.75" hidden="false" customHeight="true" outlineLevel="0" collapsed="false">
      <c r="A56" s="1635"/>
      <c r="B56" s="1624" t="s">
        <v>409</v>
      </c>
      <c r="C56" s="1650" t="n">
        <f aca="false">'Saisie et Calculateur'!D324</f>
        <v>0</v>
      </c>
      <c r="D56" s="1626" t="n">
        <v>5.1</v>
      </c>
      <c r="E56" s="1651" t="n">
        <f aca="false">C56*D56</f>
        <v>0</v>
      </c>
      <c r="F56" s="1627" t="n">
        <v>7</v>
      </c>
      <c r="G56" s="1607"/>
      <c r="H56" s="1607"/>
      <c r="I56" s="1607"/>
      <c r="J56" s="1607"/>
      <c r="K56" s="1607"/>
      <c r="L56" s="1607"/>
      <c r="M56" s="1607"/>
      <c r="N56" s="1607"/>
      <c r="O56" s="1607"/>
    </row>
    <row r="57" customFormat="false" ht="12.75" hidden="false" customHeight="true" outlineLevel="0" collapsed="false">
      <c r="A57" s="1635"/>
      <c r="B57" s="1624" t="s">
        <v>410</v>
      </c>
      <c r="C57" s="1650" t="n">
        <f aca="false">'Saisie et Calculateur'!D325</f>
        <v>0</v>
      </c>
      <c r="D57" s="1626" t="n">
        <v>5.2</v>
      </c>
      <c r="E57" s="1651" t="n">
        <f aca="false">C57*D57</f>
        <v>0</v>
      </c>
      <c r="F57" s="1627" t="n">
        <v>7</v>
      </c>
      <c r="G57" s="1607"/>
      <c r="H57" s="1607"/>
      <c r="I57" s="1607"/>
      <c r="J57" s="1607"/>
      <c r="K57" s="1607"/>
      <c r="L57" s="1607"/>
      <c r="M57" s="1607"/>
      <c r="N57" s="1607"/>
      <c r="O57" s="1607"/>
    </row>
    <row r="58" customFormat="false" ht="12.75" hidden="false" customHeight="true" outlineLevel="0" collapsed="false">
      <c r="A58" s="1635"/>
      <c r="B58" s="1624" t="s">
        <v>411</v>
      </c>
      <c r="C58" s="1650" t="n">
        <f aca="false">'Saisie et Calculateur'!D326</f>
        <v>0</v>
      </c>
      <c r="D58" s="1626" t="n">
        <v>3.5</v>
      </c>
      <c r="E58" s="1651" t="n">
        <f aca="false">C58*D58</f>
        <v>0</v>
      </c>
      <c r="F58" s="1627" t="n">
        <v>7</v>
      </c>
      <c r="G58" s="1607"/>
      <c r="H58" s="1607"/>
      <c r="I58" s="1607"/>
      <c r="J58" s="1607"/>
      <c r="K58" s="1607"/>
      <c r="L58" s="1607"/>
      <c r="M58" s="1607"/>
      <c r="N58" s="1607"/>
      <c r="O58" s="1607"/>
    </row>
    <row r="59" customFormat="false" ht="12.75" hidden="false" customHeight="true" outlineLevel="0" collapsed="false">
      <c r="A59" s="1635"/>
      <c r="B59" s="1624" t="s">
        <v>412</v>
      </c>
      <c r="C59" s="1650" t="n">
        <f aca="false">'Saisie et Calculateur'!D327</f>
        <v>0</v>
      </c>
      <c r="D59" s="1626" t="n">
        <v>2.7</v>
      </c>
      <c r="E59" s="1651" t="n">
        <f aca="false">C59*D59</f>
        <v>0</v>
      </c>
      <c r="F59" s="1627" t="n">
        <v>7</v>
      </c>
      <c r="G59" s="1607"/>
      <c r="H59" s="1607"/>
      <c r="I59" s="1607"/>
      <c r="J59" s="1607"/>
      <c r="K59" s="1607"/>
      <c r="L59" s="1607"/>
      <c r="M59" s="1607"/>
      <c r="N59" s="1607"/>
      <c r="O59" s="1607"/>
    </row>
    <row r="60" customFormat="false" ht="12.75" hidden="false" customHeight="true" outlineLevel="0" collapsed="false">
      <c r="A60" s="1635"/>
      <c r="B60" s="1624" t="s">
        <v>413</v>
      </c>
      <c r="C60" s="1650" t="n">
        <f aca="false">'Saisie et Calculateur'!D328</f>
        <v>0</v>
      </c>
      <c r="D60" s="1626" t="n">
        <v>1.6</v>
      </c>
      <c r="E60" s="1651" t="n">
        <f aca="false">C60*D60</f>
        <v>0</v>
      </c>
      <c r="F60" s="1627" t="n">
        <v>7</v>
      </c>
      <c r="G60" s="1607"/>
      <c r="H60" s="1607"/>
      <c r="I60" s="1607"/>
      <c r="J60" s="1607"/>
      <c r="K60" s="1607"/>
      <c r="L60" s="1607"/>
      <c r="M60" s="1607"/>
      <c r="N60" s="1607"/>
      <c r="O60" s="1607"/>
    </row>
    <row r="61" customFormat="false" ht="12.75" hidden="false" customHeight="true" outlineLevel="0" collapsed="false">
      <c r="A61" s="1635"/>
      <c r="B61" s="1624" t="s">
        <v>414</v>
      </c>
      <c r="C61" s="1650" t="n">
        <f aca="false">'Saisie et Calculateur'!D329</f>
        <v>0</v>
      </c>
      <c r="D61" s="1626" t="n">
        <v>3</v>
      </c>
      <c r="E61" s="1651" t="n">
        <f aca="false">C61*D61</f>
        <v>0</v>
      </c>
      <c r="F61" s="1627" t="n">
        <v>7</v>
      </c>
      <c r="G61" s="1607"/>
      <c r="H61" s="1607"/>
      <c r="I61" s="1607"/>
      <c r="J61" s="1607"/>
      <c r="K61" s="1607"/>
      <c r="L61" s="1607"/>
      <c r="M61" s="1607"/>
      <c r="N61" s="1607"/>
      <c r="O61" s="1607"/>
    </row>
    <row r="62" customFormat="false" ht="25.5" hidden="false" customHeight="true" outlineLevel="0" collapsed="false">
      <c r="A62" s="1635"/>
      <c r="B62" s="1624" t="s">
        <v>415</v>
      </c>
      <c r="C62" s="1650" t="n">
        <f aca="false">'Saisie et Calculateur'!D328</f>
        <v>0</v>
      </c>
      <c r="D62" s="1626" t="n">
        <v>0.4</v>
      </c>
      <c r="E62" s="1651" t="n">
        <f aca="false">C62*D62</f>
        <v>0</v>
      </c>
      <c r="F62" s="1627" t="n">
        <v>7</v>
      </c>
      <c r="G62" s="1607"/>
      <c r="H62" s="1607"/>
      <c r="I62" s="1607"/>
      <c r="J62" s="1607"/>
      <c r="K62" s="1607"/>
      <c r="L62" s="1607"/>
      <c r="M62" s="1607"/>
      <c r="N62" s="1607"/>
      <c r="O62" s="1607"/>
    </row>
    <row r="63" customFormat="false" ht="23" hidden="false" customHeight="true" outlineLevel="0" collapsed="false">
      <c r="A63" s="1635"/>
      <c r="B63" s="1624" t="s">
        <v>432</v>
      </c>
      <c r="C63" s="1650" t="n">
        <f aca="false">'Saisie et Calculateur'!D347</f>
        <v>0</v>
      </c>
      <c r="D63" s="1626" t="n">
        <v>6.5</v>
      </c>
      <c r="E63" s="1651" t="n">
        <f aca="false">C63*D63</f>
        <v>0</v>
      </c>
      <c r="F63" s="1627" t="n">
        <v>0</v>
      </c>
      <c r="G63" s="1607"/>
      <c r="H63" s="1607"/>
      <c r="I63" s="1607"/>
      <c r="J63" s="1607"/>
      <c r="K63" s="1607"/>
      <c r="L63" s="1607"/>
      <c r="M63" s="1607"/>
      <c r="N63" s="1607"/>
      <c r="O63" s="1607"/>
    </row>
    <row r="64" customFormat="false" ht="12.75" hidden="false" customHeight="true" outlineLevel="0" collapsed="false">
      <c r="A64" s="1635" t="s">
        <v>1835</v>
      </c>
      <c r="B64" s="1652" t="s">
        <v>1836</v>
      </c>
      <c r="C64" s="1653" t="n">
        <v>0</v>
      </c>
      <c r="D64" s="1654"/>
      <c r="E64" s="1655" t="n">
        <f aca="false">C64*D64</f>
        <v>0</v>
      </c>
      <c r="F64" s="1656"/>
      <c r="G64" s="1607"/>
      <c r="H64" s="1607"/>
      <c r="I64" s="1607"/>
      <c r="J64" s="1607"/>
      <c r="K64" s="1607"/>
      <c r="L64" s="1607"/>
      <c r="M64" s="1607"/>
      <c r="N64" s="1607"/>
      <c r="O64" s="1607"/>
    </row>
    <row r="65" customFormat="false" ht="13.25" hidden="false" customHeight="true" outlineLevel="0" collapsed="false">
      <c r="A65" s="1635" t="s">
        <v>1837</v>
      </c>
      <c r="B65" s="1652" t="s">
        <v>1838</v>
      </c>
      <c r="C65" s="1653" t="n">
        <f aca="false">'Saisie et Calculateur'!D330</f>
        <v>0</v>
      </c>
      <c r="D65" s="1654"/>
      <c r="E65" s="1655" t="n">
        <f aca="false">C65*D65</f>
        <v>0</v>
      </c>
      <c r="F65" s="1656"/>
      <c r="G65" s="1607"/>
      <c r="H65" s="1607"/>
      <c r="I65" s="1607"/>
      <c r="J65" s="1607"/>
      <c r="K65" s="1607"/>
      <c r="L65" s="1607"/>
      <c r="M65" s="1607"/>
      <c r="N65" s="1607"/>
      <c r="O65" s="1607"/>
    </row>
    <row r="66" customFormat="false" ht="12.75" hidden="false" customHeight="true" outlineLevel="0" collapsed="false">
      <c r="A66" s="1635" t="s">
        <v>1839</v>
      </c>
      <c r="B66" s="1624" t="s">
        <v>416</v>
      </c>
      <c r="C66" s="1650" t="n">
        <f aca="false">'Saisie et Calculateur'!D331</f>
        <v>0</v>
      </c>
      <c r="D66" s="1626" t="n">
        <v>6.8</v>
      </c>
      <c r="E66" s="1651" t="n">
        <f aca="false">C66*D66</f>
        <v>0</v>
      </c>
      <c r="F66" s="1627" t="n">
        <v>7</v>
      </c>
      <c r="G66" s="1607"/>
      <c r="H66" s="1607"/>
      <c r="I66" s="1607"/>
      <c r="J66" s="1607"/>
      <c r="K66" s="1607"/>
      <c r="L66" s="1607"/>
      <c r="M66" s="1607"/>
      <c r="N66" s="1607"/>
      <c r="O66" s="1607"/>
    </row>
    <row r="67" customFormat="false" ht="12.75" hidden="false" customHeight="true" outlineLevel="0" collapsed="false">
      <c r="A67" s="1635"/>
      <c r="B67" s="1624" t="s">
        <v>417</v>
      </c>
      <c r="C67" s="1650" t="n">
        <f aca="false">'Saisie et Calculateur'!D332</f>
        <v>0</v>
      </c>
      <c r="D67" s="1626" t="n">
        <v>22</v>
      </c>
      <c r="E67" s="1651" t="n">
        <f aca="false">C67*D67</f>
        <v>0</v>
      </c>
      <c r="F67" s="1627" t="n">
        <v>7</v>
      </c>
      <c r="G67" s="1607"/>
      <c r="H67" s="1607"/>
      <c r="I67" s="1607"/>
      <c r="J67" s="1607"/>
      <c r="K67" s="1607"/>
      <c r="L67" s="1607"/>
      <c r="M67" s="1607"/>
      <c r="N67" s="1607"/>
      <c r="O67" s="1607"/>
    </row>
    <row r="68" customFormat="false" ht="12.75" hidden="false" customHeight="true" outlineLevel="0" collapsed="false">
      <c r="A68" s="1635"/>
      <c r="B68" s="1624" t="s">
        <v>435</v>
      </c>
      <c r="C68" s="1650" t="n">
        <f aca="false">'Saisie et Calculateur'!D350</f>
        <v>0</v>
      </c>
      <c r="D68" s="1626" t="n">
        <v>20</v>
      </c>
      <c r="E68" s="1651" t="n">
        <f aca="false">C68*D68</f>
        <v>0</v>
      </c>
      <c r="F68" s="1627" t="n">
        <v>0</v>
      </c>
      <c r="G68" s="1607"/>
      <c r="H68" s="1607"/>
      <c r="I68" s="1607"/>
      <c r="J68" s="1607"/>
      <c r="K68" s="1607"/>
      <c r="L68" s="1607"/>
      <c r="M68" s="1607"/>
      <c r="N68" s="1607"/>
      <c r="O68" s="1607"/>
    </row>
    <row r="69" customFormat="false" ht="25.5" hidden="false" customHeight="true" outlineLevel="0" collapsed="false">
      <c r="A69" s="1635"/>
      <c r="B69" s="1624" t="s">
        <v>418</v>
      </c>
      <c r="C69" s="1650" t="n">
        <f aca="false">'Saisie et Calculateur'!D333</f>
        <v>0</v>
      </c>
      <c r="D69" s="1626" t="n">
        <v>40</v>
      </c>
      <c r="E69" s="1651" t="n">
        <f aca="false">C69*D69</f>
        <v>0</v>
      </c>
      <c r="F69" s="1627" t="n">
        <v>7</v>
      </c>
      <c r="G69" s="1607"/>
      <c r="H69" s="1607"/>
      <c r="I69" s="1607"/>
      <c r="J69" s="1607"/>
      <c r="K69" s="1607"/>
      <c r="L69" s="1607"/>
      <c r="M69" s="1607"/>
      <c r="N69" s="1607"/>
      <c r="O69" s="1607"/>
    </row>
    <row r="70" customFormat="false" ht="25.5" hidden="false" customHeight="true" outlineLevel="0" collapsed="false">
      <c r="A70" s="1635"/>
      <c r="B70" s="1624" t="s">
        <v>419</v>
      </c>
      <c r="C70" s="1650" t="n">
        <f aca="false">'Saisie et Calculateur'!D334</f>
        <v>0</v>
      </c>
      <c r="D70" s="1626" t="n">
        <v>22</v>
      </c>
      <c r="E70" s="1651" t="n">
        <f aca="false">C70*D70</f>
        <v>0</v>
      </c>
      <c r="F70" s="1627" t="n">
        <v>7</v>
      </c>
      <c r="G70" s="1607"/>
      <c r="H70" s="1607"/>
      <c r="I70" s="1607"/>
      <c r="J70" s="1607"/>
      <c r="K70" s="1607"/>
      <c r="L70" s="1607"/>
      <c r="M70" s="1607"/>
      <c r="N70" s="1607"/>
      <c r="O70" s="1607"/>
    </row>
    <row r="71" customFormat="false" ht="25.5" hidden="false" customHeight="true" outlineLevel="0" collapsed="false">
      <c r="A71" s="1635" t="s">
        <v>1840</v>
      </c>
      <c r="B71" s="1624" t="s">
        <v>420</v>
      </c>
      <c r="C71" s="1650" t="n">
        <f aca="false">'Saisie et Calculateur'!D335</f>
        <v>0</v>
      </c>
      <c r="D71" s="1626" t="n">
        <v>9.6</v>
      </c>
      <c r="E71" s="1651" t="n">
        <f aca="false">C71*D71</f>
        <v>0</v>
      </c>
      <c r="F71" s="1627" t="n">
        <v>7</v>
      </c>
      <c r="G71" s="1607"/>
      <c r="H71" s="1607"/>
      <c r="I71" s="1607"/>
      <c r="J71" s="1607"/>
      <c r="K71" s="1607"/>
      <c r="L71" s="1607"/>
      <c r="M71" s="1607"/>
      <c r="N71" s="1607"/>
      <c r="O71" s="1607"/>
    </row>
    <row r="72" customFormat="false" ht="25.5" hidden="false" customHeight="true" outlineLevel="0" collapsed="false">
      <c r="A72" s="1635"/>
      <c r="B72" s="1624" t="s">
        <v>421</v>
      </c>
      <c r="C72" s="1650" t="n">
        <f aca="false">'Saisie et Calculateur'!D336</f>
        <v>0</v>
      </c>
      <c r="D72" s="1626" t="n">
        <v>4.3</v>
      </c>
      <c r="E72" s="1651" t="n">
        <f aca="false">C72*D72</f>
        <v>0</v>
      </c>
      <c r="F72" s="1627" t="n">
        <v>7</v>
      </c>
      <c r="G72" s="1607"/>
      <c r="H72" s="1607"/>
      <c r="I72" s="1607"/>
      <c r="J72" s="1607"/>
      <c r="K72" s="1607"/>
      <c r="L72" s="1607"/>
      <c r="M72" s="1607"/>
      <c r="N72" s="1607"/>
      <c r="O72" s="1607"/>
    </row>
    <row r="73" customFormat="false" ht="25.5" hidden="false" customHeight="true" outlineLevel="0" collapsed="false">
      <c r="A73" s="1635"/>
      <c r="B73" s="1624" t="s">
        <v>422</v>
      </c>
      <c r="C73" s="1650" t="n">
        <f aca="false">'Saisie et Calculateur'!D337</f>
        <v>0</v>
      </c>
      <c r="D73" s="1626" t="n">
        <v>7.2</v>
      </c>
      <c r="E73" s="1651" t="n">
        <f aca="false">C73*D73</f>
        <v>0</v>
      </c>
      <c r="F73" s="1627" t="n">
        <v>7</v>
      </c>
      <c r="G73" s="1607"/>
      <c r="H73" s="1607"/>
      <c r="I73" s="1607"/>
      <c r="J73" s="1607"/>
      <c r="K73" s="1607"/>
      <c r="L73" s="1607"/>
      <c r="M73" s="1607"/>
      <c r="N73" s="1607"/>
      <c r="O73" s="1607"/>
    </row>
    <row r="74" customFormat="false" ht="25.5" hidden="false" customHeight="true" outlineLevel="0" collapsed="false">
      <c r="A74" s="1635"/>
      <c r="B74" s="1624" t="s">
        <v>423</v>
      </c>
      <c r="C74" s="1650" t="n">
        <f aca="false">'Saisie et Calculateur'!D336</f>
        <v>0</v>
      </c>
      <c r="D74" s="1626" t="n">
        <v>9.1</v>
      </c>
      <c r="E74" s="1651" t="n">
        <f aca="false">C74*D74</f>
        <v>0</v>
      </c>
      <c r="F74" s="1627" t="n">
        <v>7</v>
      </c>
      <c r="G74" s="1607"/>
      <c r="H74" s="1607"/>
      <c r="I74" s="1607"/>
      <c r="J74" s="1607"/>
      <c r="K74" s="1607"/>
      <c r="L74" s="1607"/>
      <c r="M74" s="1607"/>
      <c r="N74" s="1607"/>
      <c r="O74" s="1607"/>
    </row>
    <row r="75" customFormat="false" ht="25.5" hidden="false" customHeight="true" outlineLevel="0" collapsed="false">
      <c r="A75" s="1635"/>
      <c r="B75" s="1624" t="s">
        <v>433</v>
      </c>
      <c r="C75" s="1650" t="n">
        <f aca="false">'Saisie et Calculateur'!D348</f>
        <v>0</v>
      </c>
      <c r="D75" s="1626" t="n">
        <v>7.6</v>
      </c>
      <c r="E75" s="1651" t="n">
        <f aca="false">C75*D75</f>
        <v>0</v>
      </c>
      <c r="F75" s="1627" t="n">
        <v>5</v>
      </c>
      <c r="G75" s="1607"/>
      <c r="H75" s="1607"/>
      <c r="I75" s="1607"/>
      <c r="J75" s="1607"/>
      <c r="K75" s="1607"/>
      <c r="L75" s="1607"/>
      <c r="M75" s="1607"/>
      <c r="N75" s="1607"/>
      <c r="O75" s="1607"/>
    </row>
    <row r="76" customFormat="false" ht="25.5" hidden="false" customHeight="true" outlineLevel="0" collapsed="false">
      <c r="A76" s="1635"/>
      <c r="B76" s="1624" t="s">
        <v>434</v>
      </c>
      <c r="C76" s="1650" t="n">
        <f aca="false">'Saisie et Calculateur'!D349</f>
        <v>0</v>
      </c>
      <c r="D76" s="1626" t="n">
        <v>11</v>
      </c>
      <c r="E76" s="1651" t="n">
        <f aca="false">C76*D76</f>
        <v>0</v>
      </c>
      <c r="F76" s="1627" t="n">
        <v>5</v>
      </c>
      <c r="G76" s="1607"/>
      <c r="H76" s="1607"/>
      <c r="I76" s="1607"/>
      <c r="J76" s="1607"/>
      <c r="K76" s="1607"/>
      <c r="L76" s="1607"/>
      <c r="M76" s="1607"/>
      <c r="N76" s="1607"/>
      <c r="O76" s="1607"/>
    </row>
    <row r="77" customFormat="false" ht="25.5" hidden="false" customHeight="true" outlineLevel="0" collapsed="false">
      <c r="A77" s="1635"/>
      <c r="B77" s="1624" t="s">
        <v>426</v>
      </c>
      <c r="C77" s="1650" t="n">
        <f aca="false">'Saisie et Calculateur'!D341</f>
        <v>0</v>
      </c>
      <c r="D77" s="1626" t="n">
        <v>5.5</v>
      </c>
      <c r="E77" s="1651" t="n">
        <f aca="false">C77*D77</f>
        <v>0</v>
      </c>
      <c r="F77" s="1627" t="n">
        <v>0</v>
      </c>
      <c r="G77" s="1607"/>
      <c r="H77" s="1607"/>
      <c r="I77" s="1607"/>
      <c r="J77" s="1607"/>
      <c r="K77" s="1607"/>
      <c r="L77" s="1607"/>
      <c r="M77" s="1607"/>
      <c r="N77" s="1607"/>
      <c r="O77" s="1607"/>
    </row>
    <row r="78" customFormat="false" ht="12.75" hidden="false" customHeight="true" outlineLevel="0" collapsed="false">
      <c r="A78" s="1635" t="s">
        <v>1244</v>
      </c>
      <c r="B78" s="1624" t="s">
        <v>424</v>
      </c>
      <c r="C78" s="1650" t="n">
        <f aca="false">'Saisie et Calculateur'!D339</f>
        <v>0</v>
      </c>
      <c r="D78" s="1626" t="n">
        <v>6</v>
      </c>
      <c r="E78" s="1651" t="n">
        <f aca="false">C78*D78</f>
        <v>0</v>
      </c>
      <c r="F78" s="1627" t="n">
        <v>0</v>
      </c>
      <c r="G78" s="1607"/>
      <c r="H78" s="1607"/>
      <c r="I78" s="1607"/>
      <c r="J78" s="1607"/>
      <c r="K78" s="1607"/>
      <c r="L78" s="1607"/>
      <c r="M78" s="1607"/>
      <c r="N78" s="1607"/>
      <c r="O78" s="1607"/>
    </row>
    <row r="79" customFormat="false" ht="12.75" hidden="false" customHeight="true" outlineLevel="0" collapsed="false">
      <c r="A79" s="1635"/>
      <c r="B79" s="1657" t="s">
        <v>437</v>
      </c>
      <c r="C79" s="1650" t="n">
        <f aca="false">'Saisie et Calculateur'!D352</f>
        <v>0</v>
      </c>
      <c r="D79" s="1626" t="n">
        <v>27.5</v>
      </c>
      <c r="E79" s="1651" t="n">
        <f aca="false">C79*D79</f>
        <v>0</v>
      </c>
      <c r="F79" s="1627" t="n">
        <v>6</v>
      </c>
      <c r="G79" s="1607"/>
      <c r="H79" s="1607"/>
      <c r="I79" s="1607"/>
      <c r="J79" s="1607"/>
      <c r="K79" s="1607"/>
      <c r="L79" s="1607"/>
      <c r="M79" s="1607"/>
      <c r="N79" s="1607"/>
      <c r="O79" s="1607"/>
    </row>
    <row r="80" customFormat="false" ht="12.75" hidden="false" customHeight="true" outlineLevel="0" collapsed="false">
      <c r="A80" s="1635"/>
      <c r="B80" s="1624" t="s">
        <v>427</v>
      </c>
      <c r="C80" s="1650" t="n">
        <f aca="false">'Saisie et Calculateur'!D342</f>
        <v>0</v>
      </c>
      <c r="D80" s="1626" t="n">
        <v>18</v>
      </c>
      <c r="E80" s="1651" t="n">
        <f aca="false">C80*D80</f>
        <v>0</v>
      </c>
      <c r="F80" s="1627" t="n">
        <v>0</v>
      </c>
      <c r="G80" s="1607"/>
      <c r="H80" s="1607"/>
      <c r="I80" s="1607"/>
      <c r="J80" s="1607"/>
      <c r="K80" s="1607"/>
      <c r="L80" s="1607"/>
      <c r="M80" s="1607"/>
      <c r="N80" s="1607"/>
      <c r="O80" s="1607"/>
    </row>
    <row r="81" customFormat="false" ht="12.75" hidden="false" customHeight="true" outlineLevel="0" collapsed="false">
      <c r="A81" s="1635"/>
      <c r="B81" s="1624" t="s">
        <v>428</v>
      </c>
      <c r="C81" s="1650" t="n">
        <f aca="false">'Saisie et Calculateur'!D343</f>
        <v>0</v>
      </c>
      <c r="D81" s="1626" t="n">
        <v>8</v>
      </c>
      <c r="E81" s="1651" t="n">
        <f aca="false">C81*D81</f>
        <v>0</v>
      </c>
      <c r="F81" s="1627" t="n">
        <v>0</v>
      </c>
      <c r="G81" s="1607"/>
      <c r="H81" s="1607"/>
      <c r="I81" s="1607"/>
      <c r="J81" s="1607"/>
      <c r="K81" s="1607"/>
      <c r="L81" s="1607"/>
      <c r="M81" s="1607"/>
      <c r="N81" s="1607"/>
      <c r="O81" s="1607"/>
    </row>
    <row r="82" customFormat="false" ht="12.75" hidden="false" customHeight="true" outlineLevel="0" collapsed="false">
      <c r="A82" s="1635" t="s">
        <v>686</v>
      </c>
      <c r="B82" s="1624" t="s">
        <v>425</v>
      </c>
      <c r="C82" s="1650" t="n">
        <f aca="false">'Saisie et Calculateur'!D340</f>
        <v>0</v>
      </c>
      <c r="D82" s="1626" t="n">
        <v>2</v>
      </c>
      <c r="E82" s="1651" t="n">
        <f aca="false">C82*D82</f>
        <v>0</v>
      </c>
      <c r="F82" s="1627" t="n">
        <v>5</v>
      </c>
      <c r="G82" s="1607"/>
      <c r="H82" s="1607"/>
      <c r="I82" s="1607"/>
      <c r="J82" s="1607"/>
      <c r="K82" s="1607"/>
      <c r="L82" s="1607"/>
      <c r="M82" s="1607"/>
      <c r="N82" s="1607"/>
      <c r="O82" s="1607"/>
    </row>
    <row r="83" customFormat="false" ht="25.5" hidden="false" customHeight="true" outlineLevel="0" collapsed="false">
      <c r="A83" s="1635"/>
      <c r="B83" s="1624" t="s">
        <v>429</v>
      </c>
      <c r="C83" s="1650" t="n">
        <f aca="false">'Saisie et Calculateur'!D344</f>
        <v>0</v>
      </c>
      <c r="D83" s="1626" t="n">
        <v>20</v>
      </c>
      <c r="E83" s="1651" t="n">
        <f aca="false">C83*D83</f>
        <v>0</v>
      </c>
      <c r="F83" s="1627" t="n">
        <v>0</v>
      </c>
      <c r="G83" s="1658" t="s">
        <v>1841</v>
      </c>
      <c r="H83" s="1658"/>
      <c r="I83" s="1607"/>
      <c r="J83" s="1607"/>
      <c r="K83" s="1607"/>
      <c r="L83" s="1607"/>
      <c r="M83" s="1607"/>
      <c r="N83" s="1607"/>
      <c r="O83" s="1607"/>
    </row>
    <row r="84" customFormat="false" ht="25.5" hidden="false" customHeight="true" outlineLevel="0" collapsed="false">
      <c r="A84" s="1635"/>
      <c r="B84" s="1624" t="s">
        <v>430</v>
      </c>
      <c r="C84" s="1650" t="n">
        <f aca="false">'Saisie et Calculateur'!D345</f>
        <v>0</v>
      </c>
      <c r="D84" s="1626" t="n">
        <v>15</v>
      </c>
      <c r="E84" s="1651" t="n">
        <f aca="false">C84*D84</f>
        <v>0</v>
      </c>
      <c r="F84" s="1627" t="n">
        <v>0</v>
      </c>
      <c r="G84" s="1658" t="s">
        <v>1841</v>
      </c>
      <c r="H84" s="1658"/>
      <c r="I84" s="1607"/>
      <c r="J84" s="1607"/>
      <c r="K84" s="1607"/>
      <c r="L84" s="1607"/>
      <c r="M84" s="1607"/>
      <c r="N84" s="1607"/>
      <c r="O84" s="1607"/>
    </row>
    <row r="85" customFormat="false" ht="25.5" hidden="false" customHeight="true" outlineLevel="0" collapsed="false">
      <c r="A85" s="1635"/>
      <c r="B85" s="1624" t="s">
        <v>1203</v>
      </c>
      <c r="C85" s="1650" t="n">
        <f aca="false">'Saisie et Calculateur'!D346</f>
        <v>0</v>
      </c>
      <c r="D85" s="1626" t="n">
        <v>10</v>
      </c>
      <c r="E85" s="1651" t="n">
        <f aca="false">C85*D85</f>
        <v>0</v>
      </c>
      <c r="F85" s="1627" t="n">
        <v>0</v>
      </c>
      <c r="G85" s="1658" t="s">
        <v>1841</v>
      </c>
      <c r="H85" s="1658"/>
      <c r="I85" s="1607"/>
      <c r="J85" s="1607"/>
      <c r="K85" s="1607"/>
      <c r="L85" s="1607"/>
      <c r="M85" s="1607"/>
      <c r="N85" s="1607"/>
      <c r="O85" s="1607"/>
    </row>
    <row r="86" customFormat="false" ht="23.25" hidden="false" customHeight="true" outlineLevel="0" collapsed="false">
      <c r="A86" s="1635"/>
      <c r="B86" s="1624" t="s">
        <v>1842</v>
      </c>
      <c r="C86" s="1650" t="n">
        <f aca="false">'Saisie et Calculateur'!D351</f>
        <v>0</v>
      </c>
      <c r="D86" s="1626" t="n">
        <v>15</v>
      </c>
      <c r="E86" s="1651" t="n">
        <f aca="false">C86*D86</f>
        <v>0</v>
      </c>
      <c r="F86" s="1627" t="n">
        <v>0</v>
      </c>
      <c r="G86" s="1658" t="s">
        <v>1841</v>
      </c>
      <c r="H86" s="1658"/>
      <c r="I86" s="1607"/>
      <c r="J86" s="1607"/>
      <c r="K86" s="1607"/>
      <c r="L86" s="1607"/>
      <c r="M86" s="1607"/>
      <c r="N86" s="1607"/>
      <c r="O86" s="1607"/>
    </row>
    <row r="87" customFormat="false" ht="12.75" hidden="false" customHeight="true" outlineLevel="0" collapsed="false">
      <c r="G87" s="1607"/>
      <c r="H87" s="1607"/>
      <c r="I87" s="1607"/>
      <c r="J87" s="1607"/>
      <c r="K87" s="1607"/>
      <c r="L87" s="1607"/>
      <c r="M87" s="1607"/>
      <c r="N87" s="1607"/>
      <c r="O87" s="1607"/>
    </row>
    <row r="88" customFormat="false" ht="12.75" hidden="false" customHeight="true" outlineLevel="0" collapsed="false">
      <c r="A88" s="1604"/>
      <c r="B88" s="1635" t="s">
        <v>1825</v>
      </c>
      <c r="C88" s="1659" t="s">
        <v>540</v>
      </c>
      <c r="D88" s="1651" t="n">
        <f aca="false">SUM(E54:E87)</f>
        <v>0</v>
      </c>
      <c r="E88" s="1607"/>
      <c r="F88" s="1607"/>
      <c r="G88" s="1607"/>
      <c r="H88" s="1604"/>
      <c r="I88" s="1604"/>
      <c r="J88" s="1607"/>
      <c r="K88" s="1607"/>
      <c r="L88" s="1607"/>
      <c r="M88" s="1607"/>
      <c r="N88" s="1607"/>
      <c r="O88" s="1607"/>
    </row>
    <row r="89" customFormat="false" ht="12.75" hidden="false" customHeight="true" outlineLevel="0" collapsed="false">
      <c r="A89" s="1604"/>
      <c r="B89" s="1604"/>
      <c r="C89" s="1604"/>
      <c r="D89" s="1607"/>
      <c r="E89" s="1607"/>
      <c r="F89" s="1607"/>
      <c r="G89" s="1607"/>
      <c r="H89" s="1607"/>
      <c r="I89" s="1604"/>
      <c r="J89" s="1604"/>
      <c r="K89" s="1607"/>
      <c r="L89" s="1607"/>
      <c r="M89" s="1607"/>
      <c r="N89" s="1607"/>
      <c r="O89" s="1607"/>
    </row>
    <row r="90" customFormat="false" ht="12.75" hidden="false" customHeight="true" outlineLevel="0" collapsed="false">
      <c r="A90" s="1604"/>
      <c r="B90" s="1604"/>
      <c r="C90" s="1604"/>
      <c r="D90" s="1604"/>
      <c r="E90" s="1604"/>
      <c r="F90" s="1604"/>
      <c r="G90" s="1604"/>
      <c r="H90" s="1604"/>
      <c r="I90" s="1604"/>
      <c r="J90" s="1604"/>
      <c r="K90" s="1604"/>
      <c r="L90" s="1604"/>
      <c r="M90" s="1607"/>
      <c r="N90" s="1607"/>
      <c r="O90" s="1607"/>
    </row>
    <row r="91" customFormat="false" ht="12.75" hidden="false" customHeight="true" outlineLevel="0" collapsed="false">
      <c r="A91" s="1604"/>
      <c r="B91" s="1604"/>
      <c r="C91" s="1604"/>
      <c r="D91" s="1604"/>
      <c r="E91" s="1604"/>
      <c r="F91" s="1604"/>
      <c r="G91" s="1604"/>
      <c r="H91" s="1604"/>
      <c r="I91" s="1604"/>
      <c r="J91" s="1604"/>
      <c r="K91" s="1604"/>
      <c r="L91" s="1604"/>
      <c r="M91" s="1607"/>
      <c r="N91" s="1607"/>
      <c r="O91" s="1607"/>
    </row>
    <row r="92" customFormat="false" ht="20.25" hidden="false" customHeight="true" outlineLevel="0" collapsed="false">
      <c r="A92" s="1613" t="s">
        <v>1843</v>
      </c>
      <c r="B92" s="1613"/>
      <c r="C92" s="1613"/>
      <c r="D92" s="1613"/>
      <c r="E92" s="1613"/>
      <c r="F92" s="1613"/>
      <c r="G92" s="1613"/>
      <c r="H92" s="1613"/>
      <c r="I92" s="1613"/>
      <c r="J92" s="1604"/>
      <c r="K92" s="1604"/>
      <c r="L92" s="1604"/>
      <c r="M92" s="1607"/>
      <c r="N92" s="1607"/>
      <c r="O92" s="1607"/>
    </row>
    <row r="93" customFormat="false" ht="12.75" hidden="false" customHeight="true" outlineLevel="0" collapsed="false">
      <c r="A93" s="1604"/>
      <c r="B93" s="1604"/>
      <c r="C93" s="1604"/>
      <c r="D93" s="1604"/>
      <c r="E93" s="1604"/>
      <c r="F93" s="1604"/>
      <c r="G93" s="1604"/>
      <c r="H93" s="1604"/>
      <c r="I93" s="1604"/>
      <c r="J93" s="1604"/>
      <c r="K93" s="1604"/>
      <c r="L93" s="1604"/>
      <c r="M93" s="1607"/>
      <c r="N93" s="1607"/>
      <c r="O93" s="1607"/>
    </row>
    <row r="94" customFormat="false" ht="12.75" hidden="false" customHeight="true" outlineLevel="0" collapsed="false">
      <c r="A94" s="1660" t="s">
        <v>1844</v>
      </c>
      <c r="B94" s="1660"/>
      <c r="C94" s="1660"/>
      <c r="D94" s="1660"/>
      <c r="E94" s="1660"/>
      <c r="F94" s="1660"/>
      <c r="G94" s="1660"/>
      <c r="H94" s="1660"/>
      <c r="I94" s="1660"/>
      <c r="J94" s="1604"/>
      <c r="K94" s="1604"/>
      <c r="L94" s="1604"/>
      <c r="M94" s="1607"/>
      <c r="N94" s="1607"/>
      <c r="O94" s="1607"/>
    </row>
    <row r="95" customFormat="false" ht="12.75" hidden="false" customHeight="true" outlineLevel="0" collapsed="false">
      <c r="A95" s="1615"/>
      <c r="B95" s="1604"/>
      <c r="C95" s="1604"/>
      <c r="D95" s="1604"/>
      <c r="E95" s="1604"/>
      <c r="F95" s="1604"/>
      <c r="G95" s="1604"/>
      <c r="H95" s="1604"/>
      <c r="I95" s="1604"/>
      <c r="J95" s="1604"/>
      <c r="K95" s="1604"/>
      <c r="L95" s="1604"/>
      <c r="M95" s="1607"/>
      <c r="N95" s="1607"/>
      <c r="O95" s="1607"/>
    </row>
    <row r="96" customFormat="false" ht="38.25" hidden="false" customHeight="true" outlineLevel="0" collapsed="false">
      <c r="A96" s="1604"/>
      <c r="B96" s="1604"/>
      <c r="C96" s="479" t="s">
        <v>317</v>
      </c>
      <c r="D96" s="479" t="s">
        <v>318</v>
      </c>
      <c r="E96" s="479" t="s">
        <v>1845</v>
      </c>
      <c r="F96" s="479" t="s">
        <v>1845</v>
      </c>
      <c r="G96" s="1618" t="s">
        <v>1822</v>
      </c>
      <c r="H96" s="1604"/>
      <c r="I96" s="1604" t="s">
        <v>1846</v>
      </c>
      <c r="J96" s="1661"/>
      <c r="K96" s="1604"/>
      <c r="L96" s="1604"/>
      <c r="M96" s="1604"/>
      <c r="N96" s="1604"/>
      <c r="O96" s="1607"/>
    </row>
    <row r="97" customFormat="false" ht="12.75" hidden="false" customHeight="true" outlineLevel="0" collapsed="false">
      <c r="A97" s="1662" t="s">
        <v>1847</v>
      </c>
      <c r="B97" s="1621" t="s">
        <v>1110</v>
      </c>
      <c r="C97" s="1663" t="n">
        <f aca="false">'Saisie et Calculateur'!E227</f>
        <v>0</v>
      </c>
      <c r="D97" s="1663" t="n">
        <f aca="false">'Saisie et Calculateur'!E228</f>
        <v>0</v>
      </c>
      <c r="E97" s="1663" t="n">
        <f aca="false">'Saisie et Calculateur'!E229</f>
        <v>0</v>
      </c>
      <c r="F97" s="1663" t="n">
        <f aca="false">'Saisie et Calculateur'!E230</f>
        <v>0</v>
      </c>
      <c r="G97" s="1627"/>
      <c r="H97" s="1604"/>
      <c r="I97" s="1604"/>
      <c r="J97" s="1604"/>
      <c r="K97" s="1604"/>
      <c r="L97" s="1604"/>
      <c r="M97" s="1604"/>
      <c r="N97" s="1604"/>
      <c r="O97" s="1607"/>
    </row>
    <row r="98" customFormat="false" ht="12.75" hidden="false" customHeight="true" outlineLevel="0" collapsed="false">
      <c r="A98" s="1662" t="s">
        <v>1848</v>
      </c>
      <c r="B98" s="1621" t="s">
        <v>1849</v>
      </c>
      <c r="C98" s="1664" t="n">
        <f aca="false">'Saisie et Calculateur'!D227</f>
        <v>0</v>
      </c>
      <c r="D98" s="1665" t="n">
        <f aca="false">'Saisie et Calculateur'!D228</f>
        <v>0</v>
      </c>
      <c r="E98" s="1665" t="n">
        <f aca="false">'Saisie et Calculateur'!D229</f>
        <v>0</v>
      </c>
      <c r="F98" s="1665" t="n">
        <f aca="false">'Saisie et Calculateur'!D230</f>
        <v>0</v>
      </c>
      <c r="G98" s="1623"/>
      <c r="H98" s="1604"/>
      <c r="I98" s="1604"/>
      <c r="J98" s="1604"/>
      <c r="K98" s="1604"/>
      <c r="L98" s="1604"/>
      <c r="M98" s="1604"/>
      <c r="N98" s="1604"/>
      <c r="O98" s="1607"/>
    </row>
    <row r="99" customFormat="false" ht="12.75" hidden="false" customHeight="true" outlineLevel="0" collapsed="false">
      <c r="A99" s="1666"/>
      <c r="B99" s="1621" t="s">
        <v>1850</v>
      </c>
      <c r="C99" s="498" t="n">
        <v>30</v>
      </c>
      <c r="D99" s="1667" t="n">
        <v>30</v>
      </c>
      <c r="E99" s="1667" t="n">
        <v>30</v>
      </c>
      <c r="F99" s="1667" t="n">
        <v>30</v>
      </c>
      <c r="G99" s="1627" t="n">
        <v>0</v>
      </c>
      <c r="H99" s="1604"/>
      <c r="I99" s="1604"/>
      <c r="J99" s="1604"/>
      <c r="K99" s="1604"/>
      <c r="L99" s="1604"/>
      <c r="M99" s="1604"/>
      <c r="N99" s="1604"/>
      <c r="O99" s="1607"/>
    </row>
    <row r="100" customFormat="false" ht="12.75" hidden="false" customHeight="true" outlineLevel="0" collapsed="false">
      <c r="A100" s="1662" t="s">
        <v>1851</v>
      </c>
      <c r="B100" s="1621" t="s">
        <v>1852</v>
      </c>
      <c r="C100" s="1651" t="n">
        <f aca="false">C98*C97*C99</f>
        <v>0</v>
      </c>
      <c r="D100" s="1651" t="n">
        <f aca="false">D98*D97*D99</f>
        <v>0</v>
      </c>
      <c r="E100" s="1651" t="n">
        <f aca="false">E98*E97*E99</f>
        <v>0</v>
      </c>
      <c r="F100" s="1651" t="n">
        <f aca="false">F98*F97*F99</f>
        <v>0</v>
      </c>
      <c r="G100" s="1604"/>
      <c r="H100" s="1604"/>
      <c r="I100" s="1604"/>
      <c r="J100" s="1604"/>
      <c r="K100" s="1604"/>
      <c r="L100" s="1604"/>
      <c r="M100" s="1607"/>
      <c r="N100" s="1607"/>
      <c r="O100" s="1607"/>
    </row>
    <row r="101" customFormat="false" ht="12.75" hidden="false" customHeight="true" outlineLevel="0" collapsed="false">
      <c r="A101" s="1662" t="s">
        <v>1853</v>
      </c>
      <c r="B101" s="1621" t="s">
        <v>91</v>
      </c>
      <c r="C101" s="1668" t="n">
        <f aca="false">'Saisie et Calculateur'!C227</f>
        <v>0</v>
      </c>
      <c r="D101" s="1668" t="n">
        <f aca="false">'Saisie et Calculateur'!C228</f>
        <v>0</v>
      </c>
      <c r="E101" s="1668" t="n">
        <f aca="false">'Saisie et Calculateur'!C229</f>
        <v>0</v>
      </c>
      <c r="F101" s="1668" t="n">
        <f aca="false">'Saisie et Calculateur'!C230</f>
        <v>0</v>
      </c>
      <c r="G101" s="1604"/>
      <c r="H101" s="1604"/>
      <c r="I101" s="1604"/>
      <c r="J101" s="1604"/>
      <c r="K101" s="1604"/>
      <c r="L101" s="1604"/>
      <c r="M101" s="1607"/>
      <c r="N101" s="1607"/>
      <c r="O101" s="1607"/>
    </row>
    <row r="102" customFormat="false" ht="12.75" hidden="false" customHeight="true" outlineLevel="0" collapsed="false">
      <c r="A102" s="1669" t="s">
        <v>1854</v>
      </c>
      <c r="B102" s="1621" t="s">
        <v>1855</v>
      </c>
      <c r="C102" s="770" t="n">
        <f aca="false">C100*C101</f>
        <v>0</v>
      </c>
      <c r="D102" s="770" t="n">
        <f aca="false">D100*D101</f>
        <v>0</v>
      </c>
      <c r="E102" s="770" t="n">
        <f aca="false">E100*E101</f>
        <v>0</v>
      </c>
      <c r="F102" s="770" t="n">
        <f aca="false">F100*F101</f>
        <v>0</v>
      </c>
      <c r="G102" s="1604"/>
      <c r="H102" s="1604"/>
      <c r="I102" s="1604"/>
      <c r="J102" s="1604"/>
      <c r="K102" s="1604"/>
      <c r="L102" s="1607"/>
      <c r="M102" s="1607"/>
      <c r="N102" s="1607"/>
      <c r="O102" s="1607"/>
    </row>
    <row r="103" customFormat="false" ht="12.75" hidden="false" customHeight="true" outlineLevel="0" collapsed="false">
      <c r="A103" s="1604"/>
      <c r="B103" s="1604"/>
      <c r="C103" s="1604"/>
      <c r="D103" s="1604"/>
      <c r="E103" s="1604"/>
      <c r="F103" s="1604"/>
      <c r="G103" s="1604"/>
      <c r="H103" s="1604"/>
      <c r="I103" s="1604"/>
      <c r="J103" s="1604"/>
      <c r="K103" s="1604"/>
      <c r="L103" s="1607"/>
      <c r="M103" s="1607"/>
      <c r="N103" s="1607"/>
      <c r="O103" s="1607"/>
    </row>
    <row r="104" customFormat="false" ht="12.75" hidden="false" customHeight="true" outlineLevel="0" collapsed="false">
      <c r="A104" s="1660" t="s">
        <v>1856</v>
      </c>
      <c r="B104" s="1660"/>
      <c r="C104" s="1660"/>
      <c r="D104" s="1660"/>
      <c r="E104" s="1660"/>
      <c r="F104" s="1660"/>
      <c r="G104" s="1660"/>
      <c r="H104" s="1660"/>
      <c r="I104" s="1660"/>
      <c r="J104" s="1604"/>
      <c r="K104" s="1604"/>
      <c r="L104" s="1607"/>
      <c r="M104" s="1607"/>
      <c r="N104" s="1607"/>
      <c r="O104" s="1607"/>
    </row>
    <row r="105" customFormat="false" ht="12.75" hidden="false" customHeight="true" outlineLevel="0" collapsed="false">
      <c r="A105" s="1615"/>
      <c r="B105" s="1606"/>
      <c r="C105" s="1606"/>
      <c r="D105" s="1606"/>
      <c r="E105" s="1606"/>
      <c r="F105" s="1606"/>
      <c r="G105" s="1606"/>
      <c r="H105" s="1606"/>
      <c r="I105" s="1606"/>
      <c r="J105" s="1606"/>
      <c r="K105" s="1606"/>
      <c r="L105" s="1607"/>
      <c r="M105" s="1607"/>
      <c r="N105" s="1607"/>
      <c r="O105" s="1607"/>
    </row>
    <row r="106" customFormat="false" ht="12.75" hidden="false" customHeight="true" outlineLevel="0" collapsed="false">
      <c r="A106" s="1608"/>
      <c r="B106" s="1606"/>
      <c r="C106" s="1606"/>
      <c r="D106" s="1606"/>
      <c r="E106" s="1606"/>
      <c r="F106" s="1606"/>
      <c r="G106" s="1606"/>
      <c r="H106" s="1606"/>
      <c r="I106" s="1606"/>
      <c r="J106" s="1606"/>
      <c r="K106" s="1606"/>
      <c r="L106" s="1607"/>
      <c r="M106" s="1607"/>
      <c r="N106" s="1607"/>
      <c r="O106" s="1607"/>
    </row>
    <row r="107" customFormat="false" ht="25.5" hidden="false" customHeight="true" outlineLevel="0" collapsed="false">
      <c r="A107" s="1604"/>
      <c r="B107" s="1635" t="s">
        <v>1857</v>
      </c>
      <c r="C107" s="1635" t="s">
        <v>287</v>
      </c>
      <c r="D107" s="1669" t="s">
        <v>1858</v>
      </c>
      <c r="E107" s="1669" t="s">
        <v>1854</v>
      </c>
      <c r="F107" s="1618" t="s">
        <v>1822</v>
      </c>
      <c r="G107" s="1604"/>
      <c r="H107" s="1604"/>
      <c r="I107" s="1604"/>
      <c r="J107" s="1604"/>
      <c r="K107" s="1604"/>
      <c r="L107" s="1607"/>
      <c r="M107" s="1607"/>
      <c r="N107" s="1607"/>
      <c r="O107" s="1607"/>
    </row>
    <row r="108" customFormat="false" ht="12.75" hidden="false" customHeight="true" outlineLevel="0" collapsed="false">
      <c r="A108" s="1604"/>
      <c r="B108" s="1659" t="s">
        <v>1109</v>
      </c>
      <c r="C108" s="1659" t="s">
        <v>91</v>
      </c>
      <c r="D108" s="1670" t="s">
        <v>1859</v>
      </c>
      <c r="E108" s="1659" t="s">
        <v>1855</v>
      </c>
      <c r="F108" s="1623"/>
      <c r="G108" s="1604"/>
      <c r="H108" s="1604"/>
      <c r="I108" s="1671" t="s">
        <v>1860</v>
      </c>
      <c r="J108" s="1672" t="s">
        <v>1861</v>
      </c>
      <c r="K108" s="1672"/>
      <c r="L108" s="1672"/>
      <c r="M108" s="1672"/>
      <c r="N108" s="1672"/>
      <c r="O108" s="1607"/>
    </row>
    <row r="109" customFormat="false" ht="12.75" hidden="false" customHeight="true" outlineLevel="0" collapsed="false">
      <c r="A109" s="44" t="s">
        <v>1862</v>
      </c>
      <c r="B109" s="1664" t="n">
        <f aca="false">'Saisie et Calculateur'!D225</f>
        <v>0</v>
      </c>
      <c r="C109" s="1664" t="n">
        <f aca="false">'Saisie et Calculateur'!C225</f>
        <v>0</v>
      </c>
      <c r="D109" s="506" t="n">
        <v>30</v>
      </c>
      <c r="E109" s="634" t="n">
        <f aca="false">D109*B109*C109</f>
        <v>0</v>
      </c>
      <c r="F109" s="1627" t="n">
        <v>0</v>
      </c>
      <c r="G109" s="1604"/>
      <c r="H109" s="1604"/>
      <c r="I109" s="1671"/>
      <c r="J109" s="1672" t="n">
        <v>20</v>
      </c>
      <c r="K109" s="1672" t="n">
        <v>30</v>
      </c>
      <c r="L109" s="1672" t="n">
        <v>40</v>
      </c>
      <c r="M109" s="1672" t="n">
        <v>50</v>
      </c>
      <c r="N109" s="1673" t="n">
        <v>60</v>
      </c>
      <c r="O109" s="1607"/>
    </row>
    <row r="110" customFormat="false" ht="12.75" hidden="false" customHeight="true" outlineLevel="0" collapsed="false">
      <c r="A110" s="44" t="s">
        <v>1863</v>
      </c>
      <c r="B110" s="1664" t="n">
        <f aca="false">'Saisie et Calculateur'!D224</f>
        <v>10</v>
      </c>
      <c r="C110" s="1664" t="n">
        <f aca="false">'Saisie et Calculateur'!C224</f>
        <v>7.28</v>
      </c>
      <c r="D110" s="506" t="n">
        <v>30</v>
      </c>
      <c r="E110" s="634" t="n">
        <f aca="false">D110*B110*C110</f>
        <v>2184</v>
      </c>
      <c r="F110" s="1627" t="n">
        <v>0</v>
      </c>
      <c r="G110" s="1604"/>
      <c r="H110" s="1604"/>
      <c r="I110" s="1674" t="s">
        <v>1864</v>
      </c>
      <c r="J110" s="1675" t="n">
        <v>65</v>
      </c>
      <c r="K110" s="1675" t="n">
        <v>97.5</v>
      </c>
      <c r="L110" s="1675" t="n">
        <v>130</v>
      </c>
      <c r="M110" s="1675" t="n">
        <v>162.5</v>
      </c>
      <c r="N110" s="1675" t="n">
        <v>195</v>
      </c>
      <c r="O110" s="1607"/>
    </row>
    <row r="111" customFormat="false" ht="12.75" hidden="false" customHeight="true" outlineLevel="0" collapsed="false">
      <c r="A111" s="44" t="s">
        <v>1865</v>
      </c>
      <c r="B111" s="1664" t="n">
        <f aca="false">'Saisie et Calculateur'!D226</f>
        <v>0</v>
      </c>
      <c r="C111" s="1664" t="n">
        <f aca="false">'Saisie et Calculateur'!C226</f>
        <v>0</v>
      </c>
      <c r="D111" s="1629"/>
      <c r="E111" s="634" t="n">
        <f aca="false">D111*B111*C111</f>
        <v>0</v>
      </c>
      <c r="F111" s="1676"/>
      <c r="G111" s="1604"/>
      <c r="H111" s="1604"/>
      <c r="I111" s="1674" t="s">
        <v>1866</v>
      </c>
      <c r="J111" s="1675" t="n">
        <v>71</v>
      </c>
      <c r="K111" s="1675" t="n">
        <v>106.5</v>
      </c>
      <c r="L111" s="1675" t="n">
        <v>142</v>
      </c>
      <c r="M111" s="1675" t="n">
        <v>177.5</v>
      </c>
      <c r="N111" s="1675" t="n">
        <v>213</v>
      </c>
      <c r="O111" s="1607"/>
    </row>
    <row r="112" customFormat="false" ht="12.75" hidden="false" customHeight="true" outlineLevel="0" collapsed="false">
      <c r="A112" s="1604"/>
      <c r="B112" s="1604"/>
      <c r="C112" s="1604"/>
      <c r="D112" s="1677" t="s">
        <v>1209</v>
      </c>
      <c r="E112" s="634" t="n">
        <f aca="false">SUM(E109:E111)</f>
        <v>2184</v>
      </c>
      <c r="F112" s="1604"/>
      <c r="G112" s="1604"/>
      <c r="H112" s="1604"/>
      <c r="I112" s="1674" t="s">
        <v>1867</v>
      </c>
      <c r="J112" s="1675" t="n">
        <v>66</v>
      </c>
      <c r="K112" s="1675" t="n">
        <v>99</v>
      </c>
      <c r="L112" s="1675" t="n">
        <v>132</v>
      </c>
      <c r="M112" s="1675" t="n">
        <v>164.5</v>
      </c>
      <c r="N112" s="1675" t="n">
        <v>198</v>
      </c>
      <c r="O112" s="1607"/>
    </row>
    <row r="113" customFormat="false" ht="12.75" hidden="false" customHeight="true" outlineLevel="0" collapsed="false">
      <c r="A113" s="1604"/>
      <c r="B113" s="1604"/>
      <c r="C113" s="1604"/>
      <c r="D113" s="1604"/>
      <c r="E113" s="1644"/>
      <c r="F113" s="1604"/>
      <c r="G113" s="1604"/>
      <c r="H113" s="1604"/>
      <c r="I113" s="1674" t="s">
        <v>1868</v>
      </c>
      <c r="J113" s="1675" t="n">
        <v>111</v>
      </c>
      <c r="K113" s="1675" t="n">
        <v>166.5</v>
      </c>
      <c r="L113" s="1675" t="n">
        <v>222</v>
      </c>
      <c r="M113" s="1675" t="n">
        <v>277.5</v>
      </c>
      <c r="N113" s="1675" t="n">
        <v>333</v>
      </c>
      <c r="O113" s="1607"/>
    </row>
    <row r="114" customFormat="false" ht="25.5" hidden="false" customHeight="true" outlineLevel="0" collapsed="false">
      <c r="A114" s="1604"/>
      <c r="B114" s="1635" t="s">
        <v>1848</v>
      </c>
      <c r="C114" s="1635" t="s">
        <v>287</v>
      </c>
      <c r="D114" s="1669" t="s">
        <v>1869</v>
      </c>
      <c r="E114" s="479" t="s">
        <v>1854</v>
      </c>
      <c r="F114" s="1618" t="s">
        <v>1822</v>
      </c>
      <c r="G114" s="1604"/>
      <c r="H114" s="1604"/>
      <c r="I114" s="1674" t="s">
        <v>1870</v>
      </c>
      <c r="J114" s="1675" t="n">
        <v>113</v>
      </c>
      <c r="K114" s="1675" t="n">
        <v>169.5</v>
      </c>
      <c r="L114" s="1675" t="n">
        <v>226</v>
      </c>
      <c r="M114" s="1675" t="n">
        <v>282</v>
      </c>
      <c r="N114" s="1675" t="n">
        <v>339</v>
      </c>
      <c r="O114" s="1607"/>
    </row>
    <row r="115" customFormat="false" ht="12.75" hidden="false" customHeight="true" outlineLevel="0" collapsed="false">
      <c r="A115" s="1604"/>
      <c r="B115" s="1659" t="s">
        <v>1871</v>
      </c>
      <c r="C115" s="1659" t="s">
        <v>91</v>
      </c>
      <c r="D115" s="1670" t="s">
        <v>1852</v>
      </c>
      <c r="E115" s="1659" t="s">
        <v>1855</v>
      </c>
      <c r="F115" s="1623"/>
      <c r="G115" s="1604"/>
      <c r="H115" s="1604"/>
      <c r="I115" s="1674" t="s">
        <v>1872</v>
      </c>
      <c r="J115" s="1675" t="n">
        <v>72</v>
      </c>
      <c r="K115" s="1675" t="n">
        <v>108</v>
      </c>
      <c r="L115" s="1675" t="n">
        <v>144</v>
      </c>
      <c r="M115" s="1675" t="n">
        <v>180</v>
      </c>
      <c r="N115" s="1675" t="n">
        <v>216</v>
      </c>
      <c r="O115" s="1607"/>
    </row>
    <row r="116" customFormat="false" ht="12.75" hidden="false" customHeight="true" outlineLevel="0" collapsed="false">
      <c r="A116" s="44" t="str">
        <f aca="false">'Saisie et Calculateur'!A268</f>
        <v>Féverole d'hiver</v>
      </c>
      <c r="B116" s="1664" t="n">
        <f aca="false">'Saisie et Calculateur'!E268</f>
        <v>0</v>
      </c>
      <c r="C116" s="1664" t="n">
        <f aca="false">'Saisie et Calculateur'!D268</f>
        <v>0</v>
      </c>
      <c r="D116" s="506" t="n">
        <f aca="false">IF(B116&lt;=$J$109,J112,IF(B116&lt;=$K$109,K112,IF(B116&lt;=$L$109,L112,IF(B116&lt;=$M$109,M112,N112))))</f>
        <v>66</v>
      </c>
      <c r="E116" s="634" t="n">
        <f aca="false">C116*D116</f>
        <v>0</v>
      </c>
      <c r="F116" s="1627" t="n">
        <v>0</v>
      </c>
      <c r="G116" s="1604"/>
      <c r="H116" s="1604"/>
      <c r="I116" s="1604"/>
      <c r="J116" s="1604"/>
      <c r="K116" s="1604"/>
      <c r="L116" s="1607"/>
      <c r="M116" s="1607"/>
      <c r="N116" s="1607"/>
      <c r="O116" s="1607"/>
    </row>
    <row r="117" customFormat="false" ht="12.75" hidden="false" customHeight="true" outlineLevel="0" collapsed="false">
      <c r="A117" s="1678" t="str">
        <f aca="false">'Saisie et Calculateur'!A269</f>
        <v>Féverole de printemps</v>
      </c>
      <c r="B117" s="1664" t="n">
        <f aca="false">'Saisie et Calculateur'!E269</f>
        <v>0</v>
      </c>
      <c r="C117" s="1664" t="n">
        <f aca="false">'Saisie et Calculateur'!D269</f>
        <v>0</v>
      </c>
      <c r="D117" s="506" t="n">
        <f aca="false">IF(B117&lt;=$J$109,J111,IF(B117&lt;=$K$109,K111,IF(B117&lt;=$L$109,L111,IF(B117&lt;=$M$109,M111,N111))))</f>
        <v>71</v>
      </c>
      <c r="E117" s="634" t="n">
        <f aca="false">C117*D117</f>
        <v>0</v>
      </c>
      <c r="F117" s="1627" t="n">
        <v>0</v>
      </c>
      <c r="G117" s="1604"/>
      <c r="H117" s="1604"/>
      <c r="I117" s="1604"/>
      <c r="J117" s="1604"/>
      <c r="K117" s="1604"/>
      <c r="L117" s="1607"/>
      <c r="M117" s="1607"/>
      <c r="N117" s="1607"/>
      <c r="O117" s="1607"/>
    </row>
    <row r="118" customFormat="false" ht="12.75" hidden="false" customHeight="true" outlineLevel="0" collapsed="false">
      <c r="A118" s="1678" t="str">
        <f aca="false">'Saisie et Calculateur'!A270</f>
        <v>Lupin de printemps</v>
      </c>
      <c r="B118" s="1664" t="n">
        <f aca="false">'Saisie et Calculateur'!E270</f>
        <v>0</v>
      </c>
      <c r="C118" s="1664" t="n">
        <f aca="false">'Saisie et Calculateur'!D270</f>
        <v>0</v>
      </c>
      <c r="D118" s="506" t="n">
        <f aca="false">IF(B118&lt;=$J$109,J113,IF(B118&lt;=$K$109,K113,IF(B118&lt;=$L$109,L113,IF(B118&lt;=$M$109,M113,N113))))</f>
        <v>111</v>
      </c>
      <c r="E118" s="634" t="n">
        <f aca="false">C118*D118</f>
        <v>0</v>
      </c>
      <c r="F118" s="1627" t="n">
        <v>0</v>
      </c>
      <c r="G118" s="1604"/>
      <c r="H118" s="1661"/>
      <c r="I118" s="1604"/>
      <c r="J118" s="1604"/>
      <c r="K118" s="1604"/>
      <c r="L118" s="1607"/>
      <c r="M118" s="1607"/>
      <c r="N118" s="1607"/>
      <c r="O118" s="1607"/>
    </row>
    <row r="119" customFormat="false" ht="12.75" hidden="false" customHeight="true" outlineLevel="0" collapsed="false">
      <c r="A119" s="1678" t="str">
        <f aca="false">'Saisie et Calculateur'!A271</f>
        <v>Pois printemps</v>
      </c>
      <c r="B119" s="1664" t="n">
        <f aca="false">'Saisie et Calculateur'!E271</f>
        <v>0</v>
      </c>
      <c r="C119" s="1664" t="n">
        <f aca="false">'Saisie et Calculateur'!D271</f>
        <v>0</v>
      </c>
      <c r="D119" s="506" t="n">
        <f aca="false">IF(B119&lt;=$J$109,J110,IF(B119&lt;=$K$109,K110,IF(B119&lt;=$L$109,L110,IF(B119&lt;=$M$109,M110,N110))))</f>
        <v>65</v>
      </c>
      <c r="E119" s="634" t="n">
        <f aca="false">C119*D119</f>
        <v>0</v>
      </c>
      <c r="F119" s="1627" t="n">
        <v>0</v>
      </c>
      <c r="G119" s="1604"/>
      <c r="H119" s="1604"/>
      <c r="I119" s="1604"/>
      <c r="J119" s="1604"/>
      <c r="K119" s="1604"/>
      <c r="L119" s="1607"/>
      <c r="M119" s="1607"/>
      <c r="N119" s="1607"/>
      <c r="O119" s="1607"/>
    </row>
    <row r="120" customFormat="false" ht="12.75" hidden="false" customHeight="true" outlineLevel="0" collapsed="false">
      <c r="A120" s="1678" t="str">
        <f aca="false">'Saisie et Calculateur'!A272</f>
        <v>Soja (grain)</v>
      </c>
      <c r="B120" s="1664" t="n">
        <f aca="false">'Saisie et Calculateur'!E272</f>
        <v>0</v>
      </c>
      <c r="C120" s="1664" t="n">
        <f aca="false">'Saisie et Calculateur'!D272</f>
        <v>0</v>
      </c>
      <c r="D120" s="506" t="n">
        <f aca="false">IF(B120&lt;=$J$109,J114,IF(B120&lt;=$K$109,K114,IF(B120&lt;=$L$109,L114,IF(B120&lt;=$M$109,M114,N114))))</f>
        <v>113</v>
      </c>
      <c r="E120" s="634"/>
      <c r="F120" s="1627"/>
      <c r="G120" s="1604"/>
      <c r="H120" s="1604"/>
      <c r="I120" s="1604"/>
      <c r="J120" s="1604"/>
      <c r="K120" s="1604"/>
      <c r="L120" s="1607"/>
      <c r="M120" s="1607"/>
      <c r="N120" s="1607"/>
      <c r="O120" s="1607"/>
    </row>
    <row r="121" customFormat="false" ht="12.75" hidden="false" customHeight="true" outlineLevel="0" collapsed="false">
      <c r="A121" s="1678" t="str">
        <f aca="false">'Saisie et Calculateur'!A273</f>
        <v>Autre</v>
      </c>
      <c r="B121" s="1664" t="n">
        <f aca="false">'Saisie et Calculateur'!E273</f>
        <v>0</v>
      </c>
      <c r="C121" s="1664" t="n">
        <f aca="false">'Saisie et Calculateur'!D273</f>
        <v>0</v>
      </c>
      <c r="D121" s="1629"/>
      <c r="E121" s="634"/>
      <c r="F121" s="1627"/>
      <c r="G121" s="1604"/>
      <c r="H121" s="1604"/>
      <c r="I121" s="1604"/>
      <c r="J121" s="1604"/>
      <c r="K121" s="1604"/>
      <c r="L121" s="1607"/>
      <c r="M121" s="1607"/>
      <c r="N121" s="1607"/>
      <c r="O121" s="1607"/>
    </row>
    <row r="122" customFormat="false" ht="12.75" hidden="false" customHeight="true" outlineLevel="0" collapsed="false">
      <c r="A122" s="1678" t="s">
        <v>1873</v>
      </c>
      <c r="B122" s="1664" t="n">
        <f aca="false">'Saisie et Calculateur'!E280</f>
        <v>0</v>
      </c>
      <c r="C122" s="1664" t="n">
        <f aca="false">'Saisie et Calculateur'!D280</f>
        <v>0</v>
      </c>
      <c r="D122" s="506" t="n">
        <f aca="false">IF(B122&lt;=$J$109,J115,IF(B122&lt;=$K$109,K115,IF(B122&lt;=$L$109,L115,IF(B122&lt;=$M$109,M115,N115))))</f>
        <v>72</v>
      </c>
      <c r="E122" s="634" t="n">
        <f aca="false">C122*D122</f>
        <v>0</v>
      </c>
      <c r="F122" s="1627" t="n">
        <v>0</v>
      </c>
      <c r="G122" s="1604"/>
      <c r="H122" s="1604"/>
      <c r="I122" s="1604"/>
      <c r="J122" s="1604"/>
      <c r="K122" s="1604"/>
      <c r="L122" s="1607"/>
      <c r="M122" s="1607"/>
      <c r="N122" s="1607"/>
      <c r="O122" s="1607"/>
    </row>
    <row r="123" customFormat="false" ht="12.75" hidden="false" customHeight="true" outlineLevel="0" collapsed="false">
      <c r="A123" s="1678" t="s">
        <v>1163</v>
      </c>
      <c r="B123" s="1664" t="n">
        <f aca="false">'Saisie et Calculateur'!E281</f>
        <v>0</v>
      </c>
      <c r="C123" s="1664" t="n">
        <f aca="false">'Saisie et Calculateur'!E281</f>
        <v>0</v>
      </c>
      <c r="D123" s="506" t="n">
        <f aca="false">IF(B123&lt;=$J$109,J115,IF(B123&lt;=$K$109,K115,IF(B123&lt;=$L$109,L115,IF(B123&lt;=$M$109,M115,N115))))</f>
        <v>72</v>
      </c>
      <c r="E123" s="634" t="n">
        <f aca="false">C123*D123</f>
        <v>0</v>
      </c>
      <c r="F123" s="1627" t="n">
        <v>0</v>
      </c>
      <c r="G123" s="1604"/>
      <c r="H123" s="1604"/>
      <c r="I123" s="1604"/>
      <c r="J123" s="1604"/>
      <c r="K123" s="1604"/>
      <c r="L123" s="1607"/>
      <c r="M123" s="1607"/>
      <c r="N123" s="1607"/>
      <c r="O123" s="1607"/>
    </row>
    <row r="124" customFormat="false" ht="12.75" hidden="false" customHeight="true" outlineLevel="0" collapsed="false">
      <c r="A124" s="1604"/>
      <c r="B124" s="1604"/>
      <c r="C124" s="1636" t="s">
        <v>1209</v>
      </c>
      <c r="D124" s="1636" t="s">
        <v>1874</v>
      </c>
      <c r="E124" s="634" t="n">
        <f aca="false">SUM(E116:E123)</f>
        <v>0</v>
      </c>
      <c r="F124" s="1604"/>
      <c r="G124" s="1604"/>
      <c r="H124" s="1604"/>
      <c r="I124" s="1604"/>
      <c r="J124" s="1604"/>
      <c r="K124" s="1604"/>
      <c r="L124" s="1607"/>
      <c r="M124" s="1607"/>
      <c r="N124" s="1607"/>
      <c r="O124" s="1607"/>
    </row>
    <row r="125" customFormat="false" ht="12.75" hidden="false" customHeight="true" outlineLevel="0" collapsed="false">
      <c r="A125" s="1604"/>
      <c r="B125" s="1604"/>
      <c r="C125" s="1604"/>
      <c r="D125" s="1604"/>
      <c r="E125" s="1604"/>
      <c r="F125" s="1604"/>
      <c r="G125" s="1604"/>
      <c r="H125" s="1604"/>
      <c r="I125" s="1604"/>
      <c r="J125" s="1604"/>
      <c r="K125" s="1604"/>
      <c r="L125" s="1607"/>
      <c r="M125" s="1607"/>
      <c r="N125" s="1607"/>
      <c r="O125" s="1607"/>
    </row>
    <row r="126" customFormat="false" ht="12.75" hidden="false" customHeight="true" outlineLevel="0" collapsed="false">
      <c r="A126" s="1604"/>
      <c r="B126" s="1679" t="s">
        <v>1875</v>
      </c>
      <c r="C126" s="1679"/>
      <c r="D126" s="1680" t="s">
        <v>1874</v>
      </c>
      <c r="E126" s="634" t="n">
        <f aca="false">E112+E124</f>
        <v>2184</v>
      </c>
      <c r="F126" s="1604"/>
      <c r="G126" s="1604"/>
      <c r="H126" s="1604"/>
      <c r="I126" s="1604"/>
      <c r="J126" s="1604"/>
      <c r="K126" s="1604"/>
      <c r="L126" s="1607"/>
      <c r="M126" s="1607"/>
      <c r="N126" s="1607"/>
      <c r="O126" s="1607"/>
    </row>
    <row r="127" customFormat="false" ht="12.75" hidden="false" customHeight="true" outlineLevel="0" collapsed="false">
      <c r="A127" s="1604"/>
      <c r="B127" s="1681"/>
      <c r="C127" s="1681"/>
      <c r="D127" s="1682"/>
      <c r="E127" s="1682"/>
      <c r="F127" s="1604"/>
      <c r="G127" s="1604"/>
      <c r="H127" s="1604"/>
      <c r="I127" s="1604"/>
      <c r="J127" s="1604"/>
      <c r="K127" s="1604"/>
      <c r="L127" s="1607"/>
      <c r="M127" s="1607"/>
      <c r="N127" s="1607"/>
      <c r="O127" s="1607"/>
    </row>
    <row r="128" customFormat="false" ht="12.75" hidden="false" customHeight="true" outlineLevel="0" collapsed="false">
      <c r="A128" s="1604"/>
      <c r="B128" s="1679" t="s">
        <v>1876</v>
      </c>
      <c r="C128" s="1679"/>
      <c r="D128" s="1680" t="s">
        <v>1874</v>
      </c>
      <c r="E128" s="770" t="n">
        <f aca="false">E126+C102+D102+E102+F102</f>
        <v>2184</v>
      </c>
      <c r="F128" s="1604"/>
      <c r="G128" s="1604"/>
      <c r="H128" s="1604"/>
      <c r="I128" s="1604"/>
      <c r="J128" s="1604"/>
      <c r="K128" s="1604"/>
      <c r="L128" s="1607"/>
      <c r="M128" s="1607"/>
      <c r="N128" s="1607"/>
      <c r="O128" s="1607"/>
    </row>
    <row r="129" customFormat="false" ht="12.75" hidden="false" customHeight="true" outlineLevel="0" collapsed="false">
      <c r="A129" s="1604"/>
      <c r="B129" s="1604"/>
      <c r="C129" s="1683"/>
      <c r="D129" s="1604"/>
      <c r="E129" s="1604"/>
      <c r="F129" s="1604"/>
      <c r="G129" s="1604"/>
      <c r="H129" s="1604"/>
      <c r="I129" s="1604"/>
      <c r="J129" s="1604"/>
      <c r="K129" s="1604"/>
      <c r="L129" s="1607"/>
      <c r="M129" s="1607"/>
      <c r="N129" s="1607"/>
      <c r="O129" s="1607"/>
    </row>
    <row r="130" customFormat="false" ht="12.75" hidden="false" customHeight="true" outlineLevel="0" collapsed="false">
      <c r="A130" s="1604"/>
      <c r="B130" s="1604"/>
      <c r="C130" s="1604"/>
      <c r="D130" s="1604"/>
      <c r="E130" s="1604"/>
      <c r="F130" s="1604"/>
      <c r="G130" s="1604"/>
      <c r="H130" s="1604"/>
      <c r="I130" s="1604"/>
      <c r="J130" s="1604"/>
      <c r="K130" s="1604"/>
      <c r="L130" s="1607"/>
      <c r="M130" s="1607"/>
      <c r="N130" s="1607"/>
      <c r="O130" s="1607"/>
    </row>
    <row r="131" customFormat="false" ht="12.75" hidden="false" customHeight="true" outlineLevel="0" collapsed="false">
      <c r="A131" s="1604"/>
      <c r="B131" s="1604"/>
      <c r="C131" s="1604"/>
      <c r="D131" s="1604"/>
      <c r="E131" s="1604"/>
      <c r="F131" s="1604"/>
      <c r="G131" s="1604"/>
      <c r="H131" s="1604"/>
      <c r="I131" s="1604"/>
      <c r="J131" s="1604"/>
      <c r="K131" s="1604"/>
      <c r="L131" s="1607"/>
      <c r="M131" s="1607"/>
      <c r="N131" s="1607"/>
      <c r="O131" s="1607"/>
    </row>
    <row r="132" customFormat="false" ht="20.25" hidden="false" customHeight="true" outlineLevel="0" collapsed="false">
      <c r="A132" s="1613" t="s">
        <v>1877</v>
      </c>
      <c r="B132" s="1613"/>
      <c r="C132" s="1613"/>
      <c r="D132" s="1613"/>
      <c r="E132" s="1613"/>
      <c r="F132" s="1613"/>
      <c r="G132" s="1613"/>
      <c r="H132" s="1613"/>
      <c r="I132" s="1613"/>
      <c r="J132" s="1604"/>
      <c r="K132" s="1604"/>
      <c r="L132" s="1607"/>
      <c r="M132" s="1607"/>
      <c r="N132" s="1607"/>
      <c r="O132" s="1607"/>
    </row>
    <row r="133" customFormat="false" ht="12.75" hidden="false" customHeight="true" outlineLevel="0" collapsed="false">
      <c r="A133" s="1615"/>
      <c r="B133" s="1604"/>
      <c r="C133" s="1604"/>
      <c r="D133" s="1604"/>
      <c r="E133" s="1604"/>
      <c r="F133" s="1604"/>
      <c r="G133" s="1604"/>
      <c r="H133" s="1604"/>
      <c r="I133" s="1604"/>
      <c r="J133" s="1604"/>
      <c r="K133" s="1604"/>
      <c r="L133" s="1607"/>
      <c r="M133" s="1607"/>
      <c r="N133" s="1607"/>
      <c r="O133" s="1607"/>
    </row>
    <row r="134" customFormat="false" ht="12.75" hidden="false" customHeight="true" outlineLevel="0" collapsed="false">
      <c r="A134" s="1604"/>
      <c r="B134" s="1604"/>
      <c r="C134" s="1604"/>
      <c r="D134" s="1604"/>
      <c r="E134" s="1604"/>
      <c r="F134" s="1604"/>
      <c r="G134" s="1604"/>
      <c r="H134" s="1604"/>
      <c r="I134" s="1604"/>
      <c r="J134" s="1604"/>
      <c r="K134" s="1604"/>
      <c r="L134" s="1607"/>
      <c r="M134" s="1607"/>
      <c r="N134" s="1607"/>
      <c r="O134" s="1607"/>
    </row>
    <row r="135" customFormat="false" ht="25.5" hidden="false" customHeight="true" outlineLevel="0" collapsed="false">
      <c r="A135" s="1607"/>
      <c r="B135" s="479" t="s">
        <v>1878</v>
      </c>
      <c r="C135" s="1635" t="s">
        <v>395</v>
      </c>
      <c r="D135" s="1635" t="s">
        <v>395</v>
      </c>
      <c r="E135" s="1607"/>
      <c r="F135" s="1607"/>
      <c r="G135" s="1607"/>
      <c r="H135" s="1607"/>
      <c r="I135" s="1607"/>
      <c r="J135" s="1607"/>
      <c r="K135" s="1607"/>
      <c r="L135" s="1607"/>
      <c r="M135" s="1607"/>
      <c r="N135" s="1607"/>
      <c r="O135" s="1607"/>
    </row>
    <row r="136" customFormat="false" ht="25.5" hidden="false" customHeight="true" outlineLevel="0" collapsed="false">
      <c r="A136" s="1662" t="s">
        <v>1879</v>
      </c>
      <c r="B136" s="1684" t="s">
        <v>1880</v>
      </c>
      <c r="C136" s="1685" t="s">
        <v>1881</v>
      </c>
      <c r="D136" s="1636" t="s">
        <v>1855</v>
      </c>
      <c r="E136" s="1618" t="s">
        <v>1822</v>
      </c>
      <c r="F136" s="1607"/>
      <c r="G136" s="1607"/>
      <c r="H136" s="1607"/>
      <c r="I136" s="1607"/>
      <c r="J136" s="1607"/>
      <c r="K136" s="1607"/>
      <c r="L136" s="1607"/>
      <c r="M136" s="1607"/>
      <c r="N136" s="1607"/>
      <c r="O136" s="1607"/>
    </row>
    <row r="137" customFormat="false" ht="12.75" hidden="false" customHeight="true" outlineLevel="0" collapsed="false">
      <c r="A137" s="1624" t="s">
        <v>1074</v>
      </c>
      <c r="B137" s="1650"/>
      <c r="C137" s="1686"/>
      <c r="D137" s="634"/>
      <c r="E137" s="1627" t="n">
        <v>7</v>
      </c>
      <c r="F137" s="1607"/>
      <c r="G137" s="1607"/>
      <c r="H137" s="1607"/>
      <c r="I137" s="1607"/>
      <c r="J137" s="1607"/>
      <c r="K137" s="1607"/>
      <c r="L137" s="1607"/>
      <c r="M137" s="1607"/>
      <c r="N137" s="1607"/>
      <c r="O137" s="1607"/>
    </row>
    <row r="138" customFormat="false" ht="12.75" hidden="false" customHeight="true" outlineLevel="0" collapsed="false">
      <c r="A138" s="1687" t="s">
        <v>182</v>
      </c>
      <c r="B138" s="1688" t="n">
        <f aca="false">'Saisie et Calculateur'!C145</f>
        <v>0</v>
      </c>
      <c r="C138" s="1686" t="n">
        <v>73</v>
      </c>
      <c r="D138" s="634" t="n">
        <f aca="false">B138*C138</f>
        <v>0</v>
      </c>
      <c r="E138" s="1627" t="n">
        <v>7</v>
      </c>
      <c r="F138" s="1607"/>
      <c r="G138" s="1607"/>
      <c r="H138" s="1607"/>
      <c r="I138" s="1607"/>
      <c r="J138" s="1607"/>
      <c r="K138" s="1607"/>
      <c r="L138" s="1607"/>
      <c r="M138" s="1607"/>
      <c r="N138" s="1607"/>
      <c r="O138" s="1607"/>
    </row>
    <row r="139" customFormat="false" ht="12.75" hidden="false" customHeight="true" outlineLevel="0" collapsed="false">
      <c r="A139" s="1687" t="s">
        <v>184</v>
      </c>
      <c r="B139" s="1688" t="n">
        <f aca="false">'Saisie et Calculateur'!C146</f>
        <v>0</v>
      </c>
      <c r="C139" s="1686" t="n">
        <v>71</v>
      </c>
      <c r="D139" s="634" t="n">
        <f aca="false">B139*C139</f>
        <v>0</v>
      </c>
      <c r="E139" s="1627" t="n">
        <v>7</v>
      </c>
      <c r="F139" s="1607"/>
      <c r="G139" s="1607"/>
      <c r="H139" s="1607"/>
      <c r="I139" s="1607"/>
      <c r="J139" s="1607"/>
      <c r="K139" s="1607"/>
      <c r="L139" s="1607"/>
      <c r="M139" s="1607"/>
      <c r="N139" s="1607"/>
      <c r="O139" s="1607"/>
    </row>
    <row r="140" customFormat="false" ht="12.75" hidden="false" customHeight="true" outlineLevel="0" collapsed="false">
      <c r="A140" s="1687" t="s">
        <v>186</v>
      </c>
      <c r="B140" s="1688" t="n">
        <f aca="false">'Saisie et Calculateur'!C147</f>
        <v>0</v>
      </c>
      <c r="C140" s="1686" t="n">
        <v>68</v>
      </c>
      <c r="D140" s="634" t="n">
        <f aca="false">B140*C140</f>
        <v>0</v>
      </c>
      <c r="E140" s="1627" t="n">
        <v>7</v>
      </c>
      <c r="F140" s="1607"/>
      <c r="G140" s="1607"/>
      <c r="H140" s="1607"/>
      <c r="I140" s="1607"/>
      <c r="J140" s="1607"/>
      <c r="K140" s="1607"/>
      <c r="L140" s="1607"/>
      <c r="M140" s="1607"/>
      <c r="N140" s="1607"/>
      <c r="O140" s="1607"/>
    </row>
    <row r="141" customFormat="false" ht="12.75" hidden="false" customHeight="true" outlineLevel="0" collapsed="false">
      <c r="A141" s="1624" t="s">
        <v>1075</v>
      </c>
      <c r="B141" s="1688" t="n">
        <f aca="false">'Saisie et Calculateur'!C148</f>
        <v>0</v>
      </c>
      <c r="C141" s="1686" t="n">
        <v>56</v>
      </c>
      <c r="D141" s="634" t="n">
        <f aca="false">B141*C141</f>
        <v>0</v>
      </c>
      <c r="E141" s="1627" t="n">
        <v>7</v>
      </c>
      <c r="F141" s="1607"/>
      <c r="G141" s="1607"/>
      <c r="H141" s="1661"/>
      <c r="I141" s="1607"/>
      <c r="J141" s="1607"/>
      <c r="K141" s="1607"/>
      <c r="L141" s="1607"/>
      <c r="M141" s="1607"/>
      <c r="N141" s="1607"/>
      <c r="O141" s="1607"/>
    </row>
    <row r="142" customFormat="false" ht="12.75" hidden="false" customHeight="true" outlineLevel="0" collapsed="false">
      <c r="A142" s="1624" t="s">
        <v>1076</v>
      </c>
      <c r="B142" s="1688"/>
      <c r="C142" s="1686"/>
      <c r="D142" s="634"/>
      <c r="E142" s="1627" t="n">
        <v>7</v>
      </c>
      <c r="F142" s="1607"/>
      <c r="G142" s="1607"/>
      <c r="H142" s="1607"/>
      <c r="I142" s="1607"/>
      <c r="J142" s="1607"/>
      <c r="K142" s="1607"/>
      <c r="L142" s="1607"/>
      <c r="M142" s="1607"/>
      <c r="N142" s="1607"/>
      <c r="O142" s="1607"/>
    </row>
    <row r="143" customFormat="false" ht="12.75" hidden="false" customHeight="true" outlineLevel="0" collapsed="false">
      <c r="A143" s="1687" t="s">
        <v>192</v>
      </c>
      <c r="B143" s="1688" t="n">
        <f aca="false">'Saisie et Calculateur'!C150</f>
        <v>0</v>
      </c>
      <c r="C143" s="1686" t="n">
        <v>15.5</v>
      </c>
      <c r="D143" s="634" t="n">
        <f aca="false">B143*C143</f>
        <v>0</v>
      </c>
      <c r="E143" s="1627" t="n">
        <v>7</v>
      </c>
      <c r="F143" s="1607"/>
      <c r="G143" s="1607"/>
      <c r="H143" s="1607"/>
      <c r="I143" s="1607"/>
      <c r="J143" s="1607"/>
      <c r="K143" s="1607"/>
      <c r="L143" s="1607"/>
      <c r="M143" s="1607"/>
      <c r="N143" s="1607"/>
      <c r="O143" s="1607"/>
    </row>
    <row r="144" customFormat="false" ht="12.75" hidden="false" customHeight="true" outlineLevel="0" collapsed="false">
      <c r="A144" s="1687" t="s">
        <v>194</v>
      </c>
      <c r="B144" s="1688" t="n">
        <f aca="false">'Saisie et Calculateur'!C151</f>
        <v>0</v>
      </c>
      <c r="C144" s="1686" t="n">
        <v>13</v>
      </c>
      <c r="D144" s="634" t="n">
        <f aca="false">B144*C144</f>
        <v>0</v>
      </c>
      <c r="E144" s="1627" t="n">
        <v>7</v>
      </c>
      <c r="F144" s="1607"/>
      <c r="G144" s="1607"/>
      <c r="H144" s="1607"/>
      <c r="I144" s="1607"/>
      <c r="J144" s="1607"/>
      <c r="K144" s="1607"/>
      <c r="L144" s="1607"/>
      <c r="M144" s="1607"/>
      <c r="N144" s="1607"/>
      <c r="O144" s="1607"/>
    </row>
    <row r="145" customFormat="false" ht="12.75" hidden="false" customHeight="true" outlineLevel="0" collapsed="false">
      <c r="A145" s="1687" t="s">
        <v>196</v>
      </c>
      <c r="B145" s="1688" t="n">
        <f aca="false">'Saisie et Calculateur'!C152</f>
        <v>0</v>
      </c>
      <c r="C145" s="1686" t="n">
        <v>13</v>
      </c>
      <c r="D145" s="634" t="n">
        <f aca="false">B145*C145</f>
        <v>0</v>
      </c>
      <c r="E145" s="1627" t="n">
        <v>7</v>
      </c>
      <c r="F145" s="1607"/>
      <c r="G145" s="1607"/>
      <c r="H145" s="1607"/>
      <c r="I145" s="1607"/>
      <c r="J145" s="1607"/>
      <c r="K145" s="1607"/>
      <c r="L145" s="1607"/>
      <c r="M145" s="1607"/>
      <c r="N145" s="1607"/>
      <c r="O145" s="1607"/>
    </row>
    <row r="146" customFormat="false" ht="12.75" hidden="false" customHeight="true" outlineLevel="0" collapsed="false">
      <c r="A146" s="1687" t="s">
        <v>198</v>
      </c>
      <c r="B146" s="1688" t="n">
        <f aca="false">'Saisie et Calculateur'!C153</f>
        <v>0</v>
      </c>
      <c r="C146" s="1686" t="n">
        <v>32.5</v>
      </c>
      <c r="D146" s="634" t="n">
        <f aca="false">B146*C146</f>
        <v>0</v>
      </c>
      <c r="E146" s="1627" t="n">
        <v>7</v>
      </c>
      <c r="F146" s="1607"/>
      <c r="G146" s="1607"/>
      <c r="H146" s="1607"/>
      <c r="I146" s="1607"/>
      <c r="J146" s="1607"/>
      <c r="K146" s="1607"/>
      <c r="L146" s="1607"/>
      <c r="M146" s="1607"/>
      <c r="N146" s="1607"/>
      <c r="O146" s="1607"/>
    </row>
    <row r="147" customFormat="false" ht="12.75" hidden="false" customHeight="true" outlineLevel="0" collapsed="false">
      <c r="A147" s="1687" t="s">
        <v>200</v>
      </c>
      <c r="B147" s="1688" t="n">
        <f aca="false">'Saisie et Calculateur'!C154</f>
        <v>0</v>
      </c>
      <c r="C147" s="1686" t="n">
        <v>55.5</v>
      </c>
      <c r="D147" s="634" t="n">
        <f aca="false">B147*C147</f>
        <v>0</v>
      </c>
      <c r="E147" s="1627" t="n">
        <v>7</v>
      </c>
      <c r="F147" s="1607"/>
      <c r="G147" s="1607"/>
      <c r="H147" s="1607"/>
      <c r="I147" s="1607"/>
      <c r="J147" s="1607"/>
      <c r="K147" s="1607"/>
      <c r="L147" s="1607"/>
      <c r="M147" s="1607"/>
      <c r="N147" s="1607"/>
      <c r="O147" s="1607"/>
    </row>
    <row r="148" customFormat="false" ht="12.75" hidden="false" customHeight="true" outlineLevel="0" collapsed="false">
      <c r="A148" s="1687" t="str">
        <f aca="false">'Saisie et Calculateur'!B155</f>
        <v>autre.1</v>
      </c>
      <c r="B148" s="1688" t="n">
        <f aca="false">'Saisie et Calculateur'!C155</f>
        <v>0</v>
      </c>
      <c r="C148" s="1689"/>
      <c r="D148" s="634" t="n">
        <f aca="false">B148*C148</f>
        <v>0</v>
      </c>
      <c r="E148" s="1627"/>
      <c r="F148" s="1607"/>
      <c r="G148" s="1607"/>
      <c r="H148" s="1607"/>
      <c r="I148" s="1607"/>
      <c r="J148" s="1607"/>
      <c r="K148" s="1607"/>
      <c r="L148" s="1607"/>
      <c r="M148" s="1607"/>
      <c r="N148" s="1607"/>
      <c r="O148" s="1607"/>
    </row>
    <row r="149" customFormat="false" ht="12.75" hidden="false" customHeight="true" outlineLevel="0" collapsed="false">
      <c r="A149" s="1687" t="str">
        <f aca="false">'Saisie et Calculateur'!B156</f>
        <v>autre.2</v>
      </c>
      <c r="B149" s="1688" t="n">
        <f aca="false">'Saisie et Calculateur'!C156</f>
        <v>0</v>
      </c>
      <c r="C149" s="1689"/>
      <c r="D149" s="634" t="n">
        <f aca="false">B149*C149</f>
        <v>0</v>
      </c>
      <c r="E149" s="1627"/>
      <c r="F149" s="1607"/>
      <c r="G149" s="1607"/>
      <c r="H149" s="1607"/>
      <c r="I149" s="1607"/>
      <c r="J149" s="1607"/>
      <c r="K149" s="1607"/>
      <c r="L149" s="1607"/>
      <c r="M149" s="1607"/>
      <c r="N149" s="1607"/>
      <c r="O149" s="1607"/>
    </row>
    <row r="150" customFormat="false" ht="12.75" hidden="false" customHeight="true" outlineLevel="0" collapsed="false">
      <c r="A150" s="1624" t="s">
        <v>206</v>
      </c>
      <c r="B150" s="1688" t="n">
        <f aca="false">'Saisie et Calculateur'!C157</f>
        <v>0</v>
      </c>
      <c r="C150" s="1686" t="n">
        <v>16</v>
      </c>
      <c r="D150" s="634" t="n">
        <f aca="false">B150*C150</f>
        <v>0</v>
      </c>
      <c r="E150" s="1627" t="n">
        <v>7</v>
      </c>
      <c r="F150" s="1607"/>
      <c r="G150" s="1607"/>
      <c r="H150" s="1607"/>
      <c r="I150" s="1607"/>
      <c r="J150" s="1607"/>
      <c r="K150" s="1607"/>
      <c r="L150" s="1607"/>
      <c r="M150" s="1607"/>
      <c r="N150" s="1607"/>
      <c r="O150" s="1607"/>
    </row>
    <row r="151" customFormat="false" ht="12.75" hidden="false" customHeight="true" outlineLevel="0" collapsed="false">
      <c r="A151" s="1624" t="s">
        <v>208</v>
      </c>
      <c r="B151" s="1688"/>
      <c r="C151" s="1686"/>
      <c r="D151" s="634"/>
      <c r="E151" s="1627" t="n">
        <v>7</v>
      </c>
      <c r="F151" s="1607"/>
      <c r="G151" s="1607"/>
      <c r="H151" s="1607"/>
      <c r="I151" s="1607"/>
      <c r="J151" s="1607"/>
      <c r="K151" s="1607"/>
      <c r="L151" s="1607"/>
      <c r="M151" s="1607"/>
      <c r="N151" s="1607"/>
      <c r="O151" s="1607"/>
    </row>
    <row r="152" customFormat="false" ht="12.75" hidden="false" customHeight="true" outlineLevel="0" collapsed="false">
      <c r="A152" s="1687" t="s">
        <v>209</v>
      </c>
      <c r="B152" s="1688" t="n">
        <f aca="false">'Saisie et Calculateur'!C159</f>
        <v>0</v>
      </c>
      <c r="C152" s="1686" t="n">
        <v>19.2</v>
      </c>
      <c r="D152" s="634" t="n">
        <f aca="false">B152*C152</f>
        <v>0</v>
      </c>
      <c r="E152" s="1627" t="n">
        <v>7</v>
      </c>
      <c r="F152" s="1607"/>
      <c r="G152" s="1607"/>
      <c r="H152" s="1607"/>
      <c r="I152" s="1607"/>
      <c r="J152" s="1607"/>
      <c r="K152" s="1607"/>
      <c r="L152" s="1607"/>
      <c r="M152" s="1607"/>
      <c r="N152" s="1607"/>
      <c r="O152" s="1607"/>
    </row>
    <row r="153" customFormat="false" ht="12.75" hidden="false" customHeight="true" outlineLevel="0" collapsed="false">
      <c r="A153" s="1687" t="s">
        <v>210</v>
      </c>
      <c r="B153" s="1688" t="n">
        <f aca="false">'Saisie et Calculateur'!C160</f>
        <v>0</v>
      </c>
      <c r="C153" s="1686" t="n">
        <v>22.4</v>
      </c>
      <c r="D153" s="634" t="n">
        <f aca="false">B153*C153</f>
        <v>0</v>
      </c>
      <c r="E153" s="1627" t="n">
        <v>7</v>
      </c>
      <c r="F153" s="1607"/>
      <c r="G153" s="1607"/>
      <c r="H153" s="1607"/>
      <c r="I153" s="1607"/>
      <c r="J153" s="1607"/>
      <c r="K153" s="1607"/>
      <c r="L153" s="1607"/>
      <c r="M153" s="1607"/>
      <c r="N153" s="1607"/>
      <c r="O153" s="1607"/>
    </row>
    <row r="154" customFormat="false" ht="12.75" hidden="false" customHeight="true" outlineLevel="0" collapsed="false">
      <c r="A154" s="1687" t="s">
        <v>211</v>
      </c>
      <c r="B154" s="1688" t="n">
        <f aca="false">'Saisie et Calculateur'!C161</f>
        <v>0</v>
      </c>
      <c r="C154" s="1686" t="n">
        <v>29</v>
      </c>
      <c r="D154" s="634" t="n">
        <f aca="false">B154*C154</f>
        <v>0</v>
      </c>
      <c r="E154" s="1627" t="n">
        <v>7</v>
      </c>
      <c r="F154" s="1607"/>
      <c r="G154" s="1607"/>
      <c r="H154" s="1607"/>
      <c r="I154" s="1607"/>
      <c r="J154" s="1607"/>
      <c r="K154" s="1607"/>
      <c r="L154" s="1607"/>
      <c r="M154" s="1607"/>
      <c r="N154" s="1607"/>
      <c r="O154" s="1607"/>
    </row>
    <row r="155" customFormat="false" ht="12.75" hidden="false" customHeight="true" outlineLevel="0" collapsed="false">
      <c r="A155" s="1687" t="s">
        <v>212</v>
      </c>
      <c r="B155" s="1688" t="n">
        <f aca="false">'Saisie et Calculateur'!C162</f>
        <v>0</v>
      </c>
      <c r="C155" s="1686" t="n">
        <v>35</v>
      </c>
      <c r="D155" s="634" t="n">
        <f aca="false">B155*C155</f>
        <v>0</v>
      </c>
      <c r="E155" s="1627" t="n">
        <v>7</v>
      </c>
      <c r="F155" s="1607"/>
      <c r="G155" s="1607"/>
      <c r="H155" s="1607"/>
      <c r="I155" s="1607"/>
      <c r="J155" s="1607"/>
      <c r="K155" s="1607"/>
      <c r="L155" s="1607"/>
      <c r="M155" s="1607"/>
      <c r="N155" s="1607"/>
      <c r="O155" s="1607"/>
    </row>
    <row r="156" customFormat="false" ht="12.75" hidden="false" customHeight="true" outlineLevel="0" collapsed="false">
      <c r="A156" s="1687" t="s">
        <v>213</v>
      </c>
      <c r="B156" s="1688" t="n">
        <f aca="false">'Saisie et Calculateur'!C163</f>
        <v>0</v>
      </c>
      <c r="C156" s="1686" t="n">
        <v>42</v>
      </c>
      <c r="D156" s="634" t="n">
        <f aca="false">B156*C156</f>
        <v>0</v>
      </c>
      <c r="E156" s="1627" t="n">
        <v>7</v>
      </c>
      <c r="F156" s="1607"/>
      <c r="G156" s="1607"/>
      <c r="H156" s="1607"/>
      <c r="I156" s="1607"/>
      <c r="J156" s="1607"/>
      <c r="K156" s="1607"/>
      <c r="L156" s="1607"/>
      <c r="M156" s="1607"/>
      <c r="N156" s="1607"/>
      <c r="O156" s="1607"/>
    </row>
    <row r="157" customFormat="false" ht="12.75" hidden="false" customHeight="true" outlineLevel="0" collapsed="false">
      <c r="A157" s="1687" t="s">
        <v>214</v>
      </c>
      <c r="B157" s="1688" t="n">
        <f aca="false">'Saisie et Calculateur'!C164</f>
        <v>0</v>
      </c>
      <c r="C157" s="1686" t="n">
        <v>48</v>
      </c>
      <c r="D157" s="634" t="n">
        <f aca="false">B157*C157</f>
        <v>0</v>
      </c>
      <c r="E157" s="1627" t="n">
        <v>7</v>
      </c>
      <c r="F157" s="1607"/>
      <c r="G157" s="1607"/>
      <c r="H157" s="1607"/>
      <c r="I157" s="1607"/>
      <c r="J157" s="1607"/>
      <c r="K157" s="1607"/>
      <c r="L157" s="1607"/>
      <c r="M157" s="1607"/>
      <c r="N157" s="1607"/>
      <c r="O157" s="1607"/>
    </row>
    <row r="158" customFormat="false" ht="12.75" hidden="false" customHeight="true" outlineLevel="0" collapsed="false">
      <c r="A158" s="1687" t="s">
        <v>217</v>
      </c>
      <c r="B158" s="1688" t="n">
        <f aca="false">'Saisie et Calculateur'!C165</f>
        <v>0</v>
      </c>
      <c r="C158" s="1686" t="n">
        <v>58</v>
      </c>
      <c r="D158" s="634" t="n">
        <f aca="false">B158*C158</f>
        <v>0</v>
      </c>
      <c r="E158" s="1627" t="n">
        <v>7</v>
      </c>
      <c r="F158" s="1607"/>
      <c r="G158" s="1607"/>
      <c r="H158" s="1607"/>
      <c r="I158" s="1607"/>
      <c r="J158" s="1607"/>
      <c r="K158" s="1607"/>
      <c r="L158" s="1607"/>
      <c r="M158" s="1607"/>
      <c r="N158" s="1607"/>
      <c r="O158" s="1607"/>
    </row>
    <row r="159" customFormat="false" ht="12.75" hidden="false" customHeight="true" outlineLevel="0" collapsed="false">
      <c r="A159" s="1687" t="s">
        <v>220</v>
      </c>
      <c r="B159" s="1688" t="n">
        <f aca="false">'Saisie et Calculateur'!C166</f>
        <v>0</v>
      </c>
      <c r="C159" s="1686" t="n">
        <v>64</v>
      </c>
      <c r="D159" s="634" t="n">
        <f aca="false">B159*C159</f>
        <v>0</v>
      </c>
      <c r="E159" s="1627" t="n">
        <v>7</v>
      </c>
      <c r="F159" s="1607"/>
      <c r="G159" s="1607"/>
      <c r="H159" s="1607"/>
      <c r="I159" s="1607"/>
      <c r="J159" s="1607"/>
      <c r="K159" s="1607"/>
      <c r="L159" s="1607"/>
      <c r="M159" s="1607"/>
      <c r="N159" s="1607"/>
      <c r="O159" s="1607"/>
    </row>
    <row r="160" customFormat="false" ht="12.75" hidden="false" customHeight="true" outlineLevel="0" collapsed="false">
      <c r="A160" s="1687" t="s">
        <v>221</v>
      </c>
      <c r="B160" s="1688" t="n">
        <f aca="false">'Saisie et Calculateur'!C167</f>
        <v>19</v>
      </c>
      <c r="C160" s="1690"/>
      <c r="D160" s="634" t="n">
        <f aca="false">B160*C160</f>
        <v>0</v>
      </c>
      <c r="E160" s="1627"/>
      <c r="F160" s="1658"/>
      <c r="G160" s="1607"/>
      <c r="H160" s="1607"/>
      <c r="I160" s="1607"/>
      <c r="J160" s="1607"/>
      <c r="K160" s="1607"/>
      <c r="L160" s="1607"/>
      <c r="M160" s="1607"/>
      <c r="N160" s="1607"/>
      <c r="O160" s="1607"/>
    </row>
    <row r="161" customFormat="false" ht="12.75" hidden="false" customHeight="true" outlineLevel="0" collapsed="false">
      <c r="A161" s="1687" t="s">
        <v>222</v>
      </c>
      <c r="B161" s="1688" t="n">
        <f aca="false">'Saisie et Calculateur'!C168</f>
        <v>0</v>
      </c>
      <c r="C161" s="1691" t="n">
        <v>70</v>
      </c>
      <c r="D161" s="634" t="n">
        <f aca="false">B161*C161</f>
        <v>0</v>
      </c>
      <c r="E161" s="1627" t="n">
        <v>7</v>
      </c>
      <c r="F161" s="1658"/>
      <c r="G161" s="1607"/>
      <c r="H161" s="1607"/>
      <c r="I161" s="1607"/>
      <c r="J161" s="1607"/>
      <c r="K161" s="1607"/>
      <c r="L161" s="1607"/>
      <c r="M161" s="1607"/>
      <c r="N161" s="1607"/>
      <c r="O161" s="1607"/>
    </row>
    <row r="162" customFormat="false" ht="12.75" hidden="false" customHeight="true" outlineLevel="0" collapsed="false">
      <c r="A162" s="1624" t="s">
        <v>1084</v>
      </c>
      <c r="B162" s="1688" t="n">
        <f aca="false">'Saisie et Calculateur'!C169</f>
        <v>0</v>
      </c>
      <c r="C162" s="1686" t="n">
        <v>36</v>
      </c>
      <c r="D162" s="634" t="n">
        <f aca="false">B162*C162</f>
        <v>0</v>
      </c>
      <c r="E162" s="1627" t="n">
        <v>7</v>
      </c>
      <c r="F162" s="1607"/>
      <c r="G162" s="1607"/>
      <c r="H162" s="1607"/>
      <c r="I162" s="1607"/>
      <c r="J162" s="1607"/>
      <c r="K162" s="1607"/>
      <c r="L162" s="1607"/>
      <c r="M162" s="1607"/>
      <c r="N162" s="1607"/>
      <c r="O162" s="1607"/>
    </row>
    <row r="163" customFormat="false" ht="12.75" hidden="false" customHeight="true" outlineLevel="0" collapsed="false">
      <c r="A163" s="1624" t="s">
        <v>1882</v>
      </c>
      <c r="B163" s="1688" t="n">
        <f aca="false">'Saisie et Calculateur'!C170</f>
        <v>0</v>
      </c>
      <c r="C163" s="1686" t="n">
        <v>29</v>
      </c>
      <c r="D163" s="634" t="n">
        <f aca="false">B163*C163</f>
        <v>0</v>
      </c>
      <c r="E163" s="1627" t="n">
        <v>7</v>
      </c>
      <c r="F163" s="1607"/>
      <c r="G163" s="1607"/>
      <c r="H163" s="1607"/>
      <c r="I163" s="1607"/>
      <c r="J163" s="1607"/>
      <c r="K163" s="1607"/>
      <c r="L163" s="1607"/>
      <c r="M163" s="1607"/>
      <c r="N163" s="1607"/>
      <c r="O163" s="1607"/>
    </row>
    <row r="164" customFormat="false" ht="12.75" hidden="false" customHeight="true" outlineLevel="0" collapsed="false">
      <c r="A164" s="1624" t="s">
        <v>225</v>
      </c>
      <c r="B164" s="1688" t="n">
        <f aca="false">'Saisie et Calculateur'!C171</f>
        <v>0</v>
      </c>
      <c r="C164" s="1686" t="n">
        <v>27.2</v>
      </c>
      <c r="D164" s="634" t="n">
        <f aca="false">B164*C164</f>
        <v>0</v>
      </c>
      <c r="E164" s="1627" t="n">
        <v>7</v>
      </c>
      <c r="F164" s="1607"/>
      <c r="G164" s="1607"/>
      <c r="H164" s="1607"/>
      <c r="I164" s="1607"/>
      <c r="J164" s="1607"/>
      <c r="K164" s="1607"/>
      <c r="L164" s="1607"/>
      <c r="M164" s="1607"/>
      <c r="N164" s="1607"/>
      <c r="O164" s="1607"/>
    </row>
    <row r="165" customFormat="false" ht="12.75" hidden="false" customHeight="true" outlineLevel="0" collapsed="false">
      <c r="A165" s="1624" t="s">
        <v>226</v>
      </c>
      <c r="B165" s="1688" t="n">
        <f aca="false">'Saisie et Calculateur'!C172</f>
        <v>0</v>
      </c>
      <c r="C165" s="1686" t="n">
        <v>35.2</v>
      </c>
      <c r="D165" s="634" t="n">
        <f aca="false">B165*C165</f>
        <v>0</v>
      </c>
      <c r="E165" s="1627" t="n">
        <v>7</v>
      </c>
      <c r="F165" s="1607"/>
      <c r="G165" s="1607"/>
      <c r="H165" s="1607"/>
      <c r="I165" s="1607"/>
      <c r="J165" s="1607"/>
      <c r="K165" s="1607"/>
      <c r="L165" s="1607"/>
      <c r="M165" s="1607"/>
      <c r="N165" s="1607"/>
      <c r="O165" s="1607"/>
    </row>
    <row r="166" customFormat="false" ht="12.75" hidden="false" customHeight="true" outlineLevel="0" collapsed="false">
      <c r="A166" s="1624" t="s">
        <v>227</v>
      </c>
      <c r="B166" s="1688" t="n">
        <f aca="false">'Saisie et Calculateur'!C173</f>
        <v>0</v>
      </c>
      <c r="C166" s="1686" t="n">
        <v>26.4</v>
      </c>
      <c r="D166" s="634" t="n">
        <f aca="false">B166*C166</f>
        <v>0</v>
      </c>
      <c r="E166" s="1627" t="n">
        <v>7</v>
      </c>
      <c r="F166" s="1607"/>
      <c r="G166" s="1607"/>
      <c r="H166" s="1607"/>
      <c r="I166" s="1607"/>
      <c r="J166" s="1607"/>
      <c r="K166" s="1607"/>
      <c r="L166" s="1607"/>
      <c r="M166" s="1607"/>
      <c r="N166" s="1607"/>
      <c r="O166" s="1607"/>
    </row>
    <row r="167" customFormat="false" ht="12.75" hidden="false" customHeight="true" outlineLevel="0" collapsed="false">
      <c r="A167" s="1624" t="s">
        <v>1085</v>
      </c>
      <c r="B167" s="1688"/>
      <c r="C167" s="1686"/>
      <c r="D167" s="634"/>
      <c r="E167" s="1627" t="n">
        <v>7</v>
      </c>
      <c r="F167" s="1607"/>
      <c r="G167" s="1607"/>
      <c r="H167" s="1607"/>
      <c r="I167" s="1607"/>
      <c r="J167" s="1607"/>
      <c r="K167" s="1607"/>
      <c r="L167" s="1607"/>
      <c r="M167" s="1607"/>
      <c r="N167" s="1607"/>
      <c r="O167" s="1607"/>
    </row>
    <row r="168" customFormat="false" ht="12.75" hidden="false" customHeight="true" outlineLevel="0" collapsed="false">
      <c r="A168" s="1687" t="s">
        <v>229</v>
      </c>
      <c r="B168" s="1688" t="n">
        <f aca="false">'Saisie et Calculateur'!C175</f>
        <v>0</v>
      </c>
      <c r="C168" s="1686" t="n">
        <v>25.6</v>
      </c>
      <c r="D168" s="634" t="n">
        <f aca="false">B168*C168</f>
        <v>0</v>
      </c>
      <c r="E168" s="1627" t="n">
        <v>7</v>
      </c>
      <c r="F168" s="1607"/>
      <c r="G168" s="1607"/>
      <c r="H168" s="1607"/>
      <c r="I168" s="1607"/>
      <c r="J168" s="1607"/>
      <c r="K168" s="1607"/>
      <c r="L168" s="1607"/>
      <c r="M168" s="1607"/>
      <c r="N168" s="1607"/>
      <c r="O168" s="1607"/>
    </row>
    <row r="169" customFormat="false" ht="12.75" hidden="false" customHeight="true" outlineLevel="0" collapsed="false">
      <c r="A169" s="1687" t="s">
        <v>230</v>
      </c>
      <c r="B169" s="1688" t="n">
        <f aca="false">'Saisie et Calculateur'!C176</f>
        <v>0</v>
      </c>
      <c r="C169" s="1686" t="n">
        <v>28.8</v>
      </c>
      <c r="D169" s="634" t="n">
        <f aca="false">B169*C169</f>
        <v>0</v>
      </c>
      <c r="E169" s="1627" t="n">
        <v>7</v>
      </c>
      <c r="F169" s="1607"/>
      <c r="G169" s="1607"/>
      <c r="H169" s="1607"/>
      <c r="I169" s="1607"/>
      <c r="J169" s="1607"/>
      <c r="K169" s="1607"/>
      <c r="L169" s="1607"/>
      <c r="M169" s="1607"/>
      <c r="N169" s="1607"/>
      <c r="O169" s="1607"/>
    </row>
    <row r="170" customFormat="false" ht="12.75" hidden="false" customHeight="true" outlineLevel="0" collapsed="false">
      <c r="A170" s="1687" t="s">
        <v>231</v>
      </c>
      <c r="B170" s="1688" t="n">
        <f aca="false">'Saisie et Calculateur'!C177</f>
        <v>0</v>
      </c>
      <c r="C170" s="1686" t="n">
        <v>32</v>
      </c>
      <c r="D170" s="634" t="n">
        <f aca="false">B170*C170</f>
        <v>0</v>
      </c>
      <c r="E170" s="1627" t="n">
        <v>7</v>
      </c>
      <c r="F170" s="1607"/>
      <c r="G170" s="1607"/>
      <c r="H170" s="1607"/>
      <c r="I170" s="1607"/>
      <c r="J170" s="1607"/>
      <c r="K170" s="1607"/>
      <c r="L170" s="1607"/>
      <c r="M170" s="1607"/>
      <c r="N170" s="1607"/>
      <c r="O170" s="1607"/>
    </row>
    <row r="171" customFormat="false" ht="12.75" hidden="false" customHeight="true" outlineLevel="0" collapsed="false">
      <c r="A171" s="1687" t="s">
        <v>232</v>
      </c>
      <c r="B171" s="1688" t="n">
        <f aca="false">'Saisie et Calculateur'!C178</f>
        <v>0</v>
      </c>
      <c r="C171" s="1686" t="n">
        <v>35.2</v>
      </c>
      <c r="D171" s="634" t="n">
        <f aca="false">B171*C171</f>
        <v>0</v>
      </c>
      <c r="E171" s="1627" t="n">
        <v>7</v>
      </c>
      <c r="F171" s="1607"/>
      <c r="G171" s="1607"/>
      <c r="H171" s="1607"/>
      <c r="I171" s="1607"/>
      <c r="J171" s="1607"/>
      <c r="K171" s="1607"/>
      <c r="L171" s="1607"/>
      <c r="M171" s="1607"/>
      <c r="N171" s="1607"/>
      <c r="O171" s="1607"/>
    </row>
    <row r="172" customFormat="false" ht="12.75" hidden="false" customHeight="true" outlineLevel="0" collapsed="false">
      <c r="A172" s="1624" t="s">
        <v>1086</v>
      </c>
      <c r="B172" s="1688" t="n">
        <f aca="false">'Saisie et Calculateur'!C179</f>
        <v>4</v>
      </c>
      <c r="C172" s="1689"/>
      <c r="D172" s="634" t="n">
        <f aca="false">B172*C172</f>
        <v>0</v>
      </c>
      <c r="E172" s="1627"/>
      <c r="F172" s="1607"/>
      <c r="G172" s="1607"/>
      <c r="H172" s="1607"/>
      <c r="I172" s="1607"/>
      <c r="J172" s="1607"/>
      <c r="K172" s="1607"/>
      <c r="L172" s="1607"/>
      <c r="M172" s="1607"/>
      <c r="N172" s="1607"/>
      <c r="O172" s="1607"/>
    </row>
    <row r="173" customFormat="false" ht="12.75" hidden="false" customHeight="true" outlineLevel="0" collapsed="false">
      <c r="A173" s="1624" t="s">
        <v>1088</v>
      </c>
      <c r="B173" s="1688" t="n">
        <f aca="false">'Saisie et Calculateur'!C180</f>
        <v>0</v>
      </c>
      <c r="C173" s="1689"/>
      <c r="D173" s="634" t="n">
        <f aca="false">B173*C173</f>
        <v>0</v>
      </c>
      <c r="E173" s="1627"/>
      <c r="F173" s="1607"/>
      <c r="G173" s="1607"/>
      <c r="H173" s="1607"/>
      <c r="I173" s="1607"/>
      <c r="J173" s="1607"/>
      <c r="K173" s="1607"/>
      <c r="L173" s="1607"/>
      <c r="M173" s="1607"/>
      <c r="N173" s="1607"/>
      <c r="O173" s="1607"/>
    </row>
    <row r="174" customFormat="false" ht="12.75" hidden="false" customHeight="true" outlineLevel="0" collapsed="false">
      <c r="A174" s="1624" t="s">
        <v>1089</v>
      </c>
      <c r="B174" s="1688" t="n">
        <f aca="false">'Saisie et Calculateur'!C181</f>
        <v>0</v>
      </c>
      <c r="C174" s="1689"/>
      <c r="D174" s="634" t="n">
        <f aca="false">B174*C174</f>
        <v>0</v>
      </c>
      <c r="E174" s="1627"/>
      <c r="F174" s="1607"/>
      <c r="G174" s="1607"/>
      <c r="H174" s="1607"/>
      <c r="I174" s="1607"/>
      <c r="J174" s="1607"/>
      <c r="K174" s="1607"/>
      <c r="L174" s="1607"/>
      <c r="M174" s="1607"/>
      <c r="N174" s="1607"/>
      <c r="O174" s="1607"/>
    </row>
    <row r="175" customFormat="false" ht="12.75" hidden="false" customHeight="true" outlineLevel="0" collapsed="false">
      <c r="A175" s="1624" t="s">
        <v>1090</v>
      </c>
      <c r="B175" s="1688" t="n">
        <f aca="false">'Saisie et Calculateur'!C182</f>
        <v>0</v>
      </c>
      <c r="C175" s="1689"/>
      <c r="D175" s="634" t="n">
        <f aca="false">B175*C175</f>
        <v>0</v>
      </c>
      <c r="E175" s="1627"/>
      <c r="F175" s="1607"/>
      <c r="G175" s="1607"/>
      <c r="H175" s="1607"/>
      <c r="I175" s="1607"/>
      <c r="J175" s="1607"/>
      <c r="K175" s="1607"/>
      <c r="L175" s="1607"/>
      <c r="M175" s="1607"/>
      <c r="N175" s="1607"/>
      <c r="O175" s="1607"/>
    </row>
    <row r="176" customFormat="false" ht="12.75" hidden="false" customHeight="true" outlineLevel="0" collapsed="false">
      <c r="A176" s="1624" t="s">
        <v>233</v>
      </c>
      <c r="B176" s="1688" t="n">
        <f aca="false">'Saisie et Calculateur'!C183</f>
        <v>0</v>
      </c>
      <c r="C176" s="1689"/>
      <c r="D176" s="634" t="n">
        <f aca="false">B176*C176</f>
        <v>0</v>
      </c>
      <c r="E176" s="1627"/>
      <c r="F176" s="1607"/>
      <c r="G176" s="1607"/>
      <c r="H176" s="1607"/>
      <c r="I176" s="1607"/>
      <c r="J176" s="1607"/>
      <c r="K176" s="1607"/>
      <c r="L176" s="1607"/>
      <c r="M176" s="1607"/>
      <c r="N176" s="1607"/>
      <c r="O176" s="1607"/>
    </row>
    <row r="177" customFormat="false" ht="12.75" hidden="false" customHeight="true" outlineLevel="0" collapsed="false">
      <c r="A177" s="1692" t="s">
        <v>1070</v>
      </c>
      <c r="B177" s="1693" t="s">
        <v>1883</v>
      </c>
      <c r="C177" s="1684" t="s">
        <v>1884</v>
      </c>
      <c r="D177" s="1684" t="s">
        <v>1874</v>
      </c>
      <c r="E177" s="1627"/>
      <c r="F177" s="1607"/>
      <c r="G177" s="1607"/>
      <c r="H177" s="1607"/>
      <c r="I177" s="1607"/>
      <c r="J177" s="1607"/>
      <c r="K177" s="1607"/>
      <c r="L177" s="1607"/>
      <c r="M177" s="1607"/>
      <c r="N177" s="1607"/>
      <c r="O177" s="1607"/>
    </row>
    <row r="178" customFormat="false" ht="12.75" hidden="false" customHeight="true" outlineLevel="0" collapsed="false">
      <c r="A178" s="1694" t="s">
        <v>181</v>
      </c>
      <c r="B178" s="1688" t="n">
        <f aca="false">'Saisie et Calculateur'!I144</f>
        <v>0</v>
      </c>
      <c r="C178" s="1686" t="n">
        <v>12.5</v>
      </c>
      <c r="D178" s="634" t="n">
        <f aca="false">B178*C178</f>
        <v>0</v>
      </c>
      <c r="E178" s="1627" t="n">
        <v>7</v>
      </c>
      <c r="F178" s="1607"/>
      <c r="G178" s="1607"/>
      <c r="H178" s="1607"/>
      <c r="I178" s="1607"/>
      <c r="J178" s="1607"/>
      <c r="K178" s="1607"/>
      <c r="L178" s="1607"/>
      <c r="M178" s="1607"/>
      <c r="N178" s="1607"/>
      <c r="O178" s="1607"/>
    </row>
    <row r="179" customFormat="false" ht="12.75" hidden="false" customHeight="true" outlineLevel="0" collapsed="false">
      <c r="A179" s="1694" t="s">
        <v>183</v>
      </c>
      <c r="B179" s="1688" t="n">
        <f aca="false">'Saisie et Calculateur'!I145</f>
        <v>0</v>
      </c>
      <c r="C179" s="1686" t="n">
        <v>20</v>
      </c>
      <c r="D179" s="634" t="n">
        <f aca="false">B179*C179</f>
        <v>0</v>
      </c>
      <c r="E179" s="1627" t="n">
        <v>7</v>
      </c>
      <c r="F179" s="1607"/>
      <c r="G179" s="1607"/>
      <c r="H179" s="1607"/>
      <c r="I179" s="1607"/>
      <c r="J179" s="1607"/>
      <c r="K179" s="1607"/>
      <c r="L179" s="1607"/>
      <c r="M179" s="1607"/>
      <c r="N179" s="1607"/>
      <c r="O179" s="1607"/>
    </row>
    <row r="180" customFormat="false" ht="12.75" hidden="false" customHeight="true" outlineLevel="0" collapsed="false">
      <c r="A180" s="1694" t="s">
        <v>185</v>
      </c>
      <c r="B180" s="1688" t="n">
        <f aca="false">'Saisie et Calculateur'!I146</f>
        <v>0</v>
      </c>
      <c r="C180" s="1686" t="n">
        <v>15</v>
      </c>
      <c r="D180" s="634" t="n">
        <f aca="false">B180*C180</f>
        <v>0</v>
      </c>
      <c r="E180" s="1627" t="n">
        <v>7</v>
      </c>
      <c r="F180" s="1607"/>
      <c r="G180" s="1607"/>
      <c r="H180" s="1607"/>
      <c r="I180" s="1607"/>
      <c r="J180" s="1607"/>
      <c r="K180" s="1607"/>
      <c r="L180" s="1607"/>
      <c r="M180" s="1607"/>
      <c r="N180" s="1607"/>
      <c r="O180" s="1607"/>
    </row>
    <row r="181" customFormat="false" ht="12.75" hidden="false" customHeight="true" outlineLevel="0" collapsed="false">
      <c r="A181" s="1694" t="s">
        <v>187</v>
      </c>
      <c r="B181" s="1688" t="n">
        <f aca="false">'Saisie et Calculateur'!I147</f>
        <v>0</v>
      </c>
      <c r="C181" s="1686" t="n">
        <v>28</v>
      </c>
      <c r="D181" s="634" t="n">
        <f aca="false">B181*C181</f>
        <v>0</v>
      </c>
      <c r="E181" s="1627" t="n">
        <v>7</v>
      </c>
      <c r="F181" s="1607"/>
      <c r="G181" s="1607"/>
      <c r="H181" s="1607"/>
      <c r="I181" s="1607"/>
      <c r="J181" s="1607"/>
      <c r="K181" s="1607"/>
      <c r="L181" s="1607"/>
      <c r="M181" s="1607"/>
      <c r="N181" s="1607"/>
      <c r="O181" s="1607"/>
    </row>
    <row r="182" customFormat="false" ht="12.75" hidden="false" customHeight="true" outlineLevel="0" collapsed="false">
      <c r="A182" s="1694" t="s">
        <v>189</v>
      </c>
      <c r="B182" s="1688" t="n">
        <f aca="false">'Saisie et Calculateur'!I148</f>
        <v>0</v>
      </c>
      <c r="C182" s="1686" t="n">
        <v>25</v>
      </c>
      <c r="D182" s="634" t="n">
        <f aca="false">B182*C182</f>
        <v>0</v>
      </c>
      <c r="E182" s="1627" t="n">
        <v>7</v>
      </c>
      <c r="F182" s="1607"/>
      <c r="G182" s="1607"/>
      <c r="H182" s="1607"/>
      <c r="I182" s="1607"/>
      <c r="J182" s="1607"/>
      <c r="K182" s="1607"/>
      <c r="L182" s="1607"/>
      <c r="M182" s="1607"/>
      <c r="N182" s="1607"/>
      <c r="O182" s="1607"/>
    </row>
    <row r="183" customFormat="false" ht="12.75" hidden="false" customHeight="true" outlineLevel="0" collapsed="false">
      <c r="A183" s="1694" t="s">
        <v>191</v>
      </c>
      <c r="B183" s="1688" t="n">
        <f aca="false">'Saisie et Calculateur'!I149</f>
        <v>0</v>
      </c>
      <c r="C183" s="1686" t="n">
        <v>15</v>
      </c>
      <c r="D183" s="634" t="n">
        <f aca="false">B183*C183</f>
        <v>0</v>
      </c>
      <c r="E183" s="1627" t="n">
        <v>7</v>
      </c>
      <c r="F183" s="1607"/>
      <c r="G183" s="1607"/>
      <c r="H183" s="1607"/>
      <c r="I183" s="1607"/>
      <c r="J183" s="1607"/>
      <c r="K183" s="1607"/>
      <c r="L183" s="1607"/>
      <c r="M183" s="1607"/>
      <c r="N183" s="1607"/>
      <c r="O183" s="1607"/>
    </row>
    <row r="184" customFormat="false" ht="12.75" hidden="false" customHeight="true" outlineLevel="0" collapsed="false">
      <c r="A184" s="1694" t="s">
        <v>193</v>
      </c>
      <c r="B184" s="1688" t="n">
        <f aca="false">'Saisie et Calculateur'!I150</f>
        <v>0</v>
      </c>
      <c r="C184" s="1686" t="n">
        <v>35</v>
      </c>
      <c r="D184" s="634" t="n">
        <f aca="false">B184*C184</f>
        <v>0</v>
      </c>
      <c r="E184" s="1627" t="n">
        <v>7</v>
      </c>
      <c r="F184" s="1607"/>
      <c r="G184" s="1607"/>
      <c r="H184" s="1607"/>
      <c r="I184" s="1607"/>
      <c r="J184" s="1607"/>
      <c r="K184" s="1607"/>
      <c r="L184" s="1607"/>
      <c r="M184" s="1607"/>
      <c r="N184" s="1607"/>
      <c r="O184" s="1607"/>
    </row>
    <row r="185" customFormat="false" ht="12.75" hidden="false" customHeight="true" outlineLevel="0" collapsed="false">
      <c r="A185" s="1694" t="s">
        <v>195</v>
      </c>
      <c r="B185" s="1688" t="n">
        <f aca="false">'Saisie et Calculateur'!I151</f>
        <v>0</v>
      </c>
      <c r="C185" s="1686" t="n">
        <v>16</v>
      </c>
      <c r="D185" s="634" t="n">
        <f aca="false">B185*C185</f>
        <v>0</v>
      </c>
      <c r="E185" s="1627" t="n">
        <v>7</v>
      </c>
      <c r="F185" s="1607"/>
      <c r="G185" s="1607"/>
      <c r="H185" s="1607"/>
      <c r="I185" s="1607"/>
      <c r="J185" s="1607"/>
      <c r="K185" s="1607"/>
      <c r="L185" s="1607"/>
      <c r="M185" s="1607"/>
      <c r="N185" s="1607"/>
      <c r="O185" s="1607"/>
    </row>
    <row r="186" customFormat="false" ht="12.75" hidden="false" customHeight="true" outlineLevel="0" collapsed="false">
      <c r="A186" s="1694" t="s">
        <v>197</v>
      </c>
      <c r="B186" s="1688" t="n">
        <f aca="false">'Saisie et Calculateur'!I152</f>
        <v>0</v>
      </c>
      <c r="C186" s="1686" t="n">
        <v>16</v>
      </c>
      <c r="D186" s="634" t="n">
        <f aca="false">B186*C186</f>
        <v>0</v>
      </c>
      <c r="E186" s="1627" t="n">
        <v>7</v>
      </c>
      <c r="F186" s="1607"/>
      <c r="G186" s="1607"/>
      <c r="H186" s="1607"/>
      <c r="I186" s="1607"/>
      <c r="J186" s="1607"/>
      <c r="K186" s="1607"/>
      <c r="L186" s="1607"/>
      <c r="M186" s="1607"/>
      <c r="N186" s="1607"/>
      <c r="O186" s="1607"/>
    </row>
    <row r="187" customFormat="false" ht="12.75" hidden="false" customHeight="true" outlineLevel="0" collapsed="false">
      <c r="A187" s="1694" t="s">
        <v>199</v>
      </c>
      <c r="B187" s="1688" t="n">
        <f aca="false">'Saisie et Calculateur'!I153</f>
        <v>0</v>
      </c>
      <c r="C187" s="1686" t="n">
        <v>23.3</v>
      </c>
      <c r="D187" s="634" t="n">
        <f aca="false">B187*C187</f>
        <v>0</v>
      </c>
      <c r="E187" s="1627" t="n">
        <v>7</v>
      </c>
      <c r="F187" s="1607"/>
      <c r="G187" s="1607"/>
      <c r="H187" s="1607"/>
      <c r="I187" s="1607"/>
      <c r="J187" s="1607"/>
      <c r="K187" s="1607"/>
      <c r="L187" s="1607"/>
      <c r="M187" s="1607"/>
      <c r="N187" s="1607"/>
      <c r="O187" s="1607"/>
    </row>
    <row r="188" customFormat="false" ht="12.75" hidden="false" customHeight="true" outlineLevel="0" collapsed="false">
      <c r="A188" s="1694" t="s">
        <v>201</v>
      </c>
      <c r="B188" s="1688" t="n">
        <f aca="false">'Saisie et Calculateur'!I154</f>
        <v>0</v>
      </c>
      <c r="C188" s="1686" t="n">
        <v>48</v>
      </c>
      <c r="D188" s="634" t="n">
        <f aca="false">B188*C188</f>
        <v>0</v>
      </c>
      <c r="E188" s="1627" t="n">
        <v>7</v>
      </c>
      <c r="F188" s="1607"/>
      <c r="G188" s="1607"/>
      <c r="H188" s="1607"/>
      <c r="I188" s="1607"/>
      <c r="J188" s="1607"/>
      <c r="K188" s="1607"/>
      <c r="L188" s="1607"/>
      <c r="M188" s="1607"/>
      <c r="N188" s="1607"/>
      <c r="O188" s="1607"/>
    </row>
    <row r="189" customFormat="false" ht="12.75" hidden="false" customHeight="true" outlineLevel="0" collapsed="false">
      <c r="A189" s="1694" t="s">
        <v>203</v>
      </c>
      <c r="B189" s="1688" t="n">
        <f aca="false">'Saisie et Calculateur'!I155</f>
        <v>75</v>
      </c>
      <c r="C189" s="1686" t="n">
        <v>16</v>
      </c>
      <c r="D189" s="634" t="n">
        <f aca="false">B189*C189</f>
        <v>1200</v>
      </c>
      <c r="E189" s="1627" t="n">
        <v>7</v>
      </c>
      <c r="F189" s="1695"/>
      <c r="G189" s="1607" t="s">
        <v>1885</v>
      </c>
      <c r="H189" s="1607"/>
      <c r="I189" s="1607"/>
      <c r="J189" s="1607"/>
      <c r="K189" s="1607"/>
      <c r="L189" s="1607"/>
      <c r="M189" s="1607"/>
      <c r="N189" s="1607"/>
      <c r="O189" s="1607"/>
    </row>
    <row r="190" customFormat="false" ht="12.75" hidden="false" customHeight="true" outlineLevel="0" collapsed="false">
      <c r="A190" s="1694" t="s">
        <v>205</v>
      </c>
      <c r="B190" s="1688" t="n">
        <f aca="false">'Saisie et Calculateur'!I156</f>
        <v>0</v>
      </c>
      <c r="C190" s="1686" t="n">
        <v>6</v>
      </c>
      <c r="D190" s="634" t="n">
        <f aca="false">B190*C190</f>
        <v>0</v>
      </c>
      <c r="E190" s="1627" t="n">
        <v>7</v>
      </c>
      <c r="F190" s="1695"/>
      <c r="G190" s="1607"/>
      <c r="H190" s="1607"/>
      <c r="I190" s="1607"/>
      <c r="J190" s="1607"/>
      <c r="K190" s="1607"/>
      <c r="L190" s="1607"/>
      <c r="M190" s="1607"/>
      <c r="N190" s="1607"/>
      <c r="O190" s="1607"/>
    </row>
    <row r="191" customFormat="false" ht="12.75" hidden="false" customHeight="true" outlineLevel="0" collapsed="false">
      <c r="A191" s="1694" t="s">
        <v>207</v>
      </c>
      <c r="B191" s="1688" t="n">
        <f aca="false">'Saisie et Calculateur'!I157</f>
        <v>0</v>
      </c>
      <c r="C191" s="1686" t="n">
        <v>14</v>
      </c>
      <c r="D191" s="634" t="n">
        <f aca="false">B191*C191</f>
        <v>0</v>
      </c>
      <c r="E191" s="1627" t="n">
        <v>7</v>
      </c>
      <c r="F191" s="1607"/>
      <c r="G191" s="1607"/>
      <c r="H191" s="1607"/>
      <c r="I191" s="1607"/>
      <c r="J191" s="1607"/>
      <c r="K191" s="1607"/>
      <c r="L191" s="1607"/>
      <c r="M191" s="1607"/>
      <c r="N191" s="1607"/>
      <c r="O191" s="1607"/>
    </row>
    <row r="192" customFormat="false" ht="14.25" hidden="false" customHeight="true" outlineLevel="0" collapsed="false">
      <c r="A192" s="1696"/>
      <c r="B192" s="1697"/>
      <c r="C192" s="1698"/>
      <c r="D192" s="1699"/>
      <c r="E192" s="1700"/>
      <c r="F192" s="1607"/>
      <c r="G192" s="1607"/>
      <c r="H192" s="1607"/>
      <c r="I192" s="1607"/>
      <c r="J192" s="1607"/>
      <c r="K192" s="1607"/>
      <c r="L192" s="1607"/>
      <c r="M192" s="1607"/>
      <c r="N192" s="1607"/>
      <c r="O192" s="1607"/>
    </row>
    <row r="193" customFormat="false" ht="12.75" hidden="false" customHeight="true" outlineLevel="0" collapsed="false">
      <c r="A193" s="1607"/>
      <c r="B193" s="1607"/>
      <c r="C193" s="1607"/>
      <c r="D193" s="1607"/>
      <c r="E193" s="1607"/>
      <c r="F193" s="1607"/>
      <c r="G193" s="1607"/>
      <c r="H193" s="1607"/>
      <c r="I193" s="1607"/>
      <c r="J193" s="1607"/>
      <c r="K193" s="1607"/>
      <c r="L193" s="1607"/>
      <c r="M193" s="1607"/>
      <c r="N193" s="1607"/>
      <c r="O193" s="1607"/>
    </row>
    <row r="194" customFormat="false" ht="12.75" hidden="false" customHeight="true" outlineLevel="0" collapsed="false">
      <c r="A194" s="1607"/>
      <c r="B194" s="1635" t="s">
        <v>1220</v>
      </c>
      <c r="C194" s="1636" t="s">
        <v>540</v>
      </c>
      <c r="D194" s="770" t="n">
        <f aca="false">SUM(D138:D141,D143:D150,D152:D166,D168:D176,D178:D191)</f>
        <v>1200</v>
      </c>
      <c r="E194" s="1627" t="s">
        <v>686</v>
      </c>
      <c r="F194" s="1607"/>
      <c r="G194" s="1607"/>
      <c r="H194" s="1607"/>
      <c r="I194" s="1607"/>
      <c r="J194" s="1607"/>
      <c r="K194" s="1607"/>
      <c r="L194" s="1607"/>
      <c r="M194" s="1607"/>
      <c r="N194" s="1607"/>
      <c r="O194" s="1607"/>
    </row>
    <row r="195" customFormat="false" ht="12.75" hidden="false" customHeight="true" outlineLevel="0" collapsed="false">
      <c r="A195" s="1607"/>
      <c r="B195" s="1607"/>
      <c r="C195" s="1607"/>
      <c r="D195" s="1607"/>
      <c r="E195" s="1607"/>
      <c r="F195" s="1607"/>
      <c r="G195" s="1607"/>
      <c r="H195" s="1607"/>
      <c r="I195" s="1607"/>
      <c r="J195" s="1607"/>
      <c r="K195" s="1607"/>
      <c r="L195" s="1607"/>
      <c r="M195" s="1607"/>
      <c r="N195" s="1607"/>
      <c r="O195" s="1607"/>
    </row>
    <row r="196" customFormat="false" ht="12.75" hidden="false" customHeight="true" outlineLevel="0" collapsed="false">
      <c r="A196" s="1607"/>
      <c r="B196" s="1607"/>
      <c r="C196" s="1607"/>
      <c r="D196" s="1607"/>
      <c r="E196" s="1607"/>
      <c r="F196" s="1607"/>
      <c r="G196" s="1607"/>
      <c r="H196" s="1607"/>
      <c r="I196" s="1607"/>
      <c r="J196" s="1607"/>
      <c r="K196" s="1607"/>
      <c r="L196" s="1607"/>
      <c r="M196" s="1607"/>
      <c r="N196" s="1607"/>
      <c r="O196" s="1607"/>
    </row>
    <row r="197" customFormat="false" ht="20.25" hidden="false" customHeight="true" outlineLevel="0" collapsed="false">
      <c r="A197" s="1613" t="s">
        <v>1886</v>
      </c>
      <c r="B197" s="1613"/>
      <c r="C197" s="1613"/>
      <c r="D197" s="1613"/>
      <c r="E197" s="1613"/>
      <c r="F197" s="1613"/>
      <c r="G197" s="1613"/>
      <c r="H197" s="1613"/>
      <c r="I197" s="1613"/>
      <c r="J197" s="1604"/>
      <c r="K197" s="1604"/>
      <c r="L197" s="1701"/>
      <c r="M197" s="1607"/>
      <c r="N197" s="1607"/>
      <c r="O197" s="1607"/>
    </row>
    <row r="198" customFormat="false" ht="21" hidden="false" customHeight="true" outlineLevel="0" collapsed="false">
      <c r="A198" s="1702"/>
      <c r="B198" s="1703"/>
      <c r="C198" s="1703"/>
      <c r="D198" s="1703"/>
      <c r="E198" s="1703"/>
      <c r="F198" s="1703"/>
      <c r="G198" s="1703"/>
      <c r="H198" s="1703"/>
      <c r="I198" s="1606"/>
      <c r="J198" s="1606"/>
      <c r="K198" s="1606"/>
      <c r="L198" s="1701"/>
      <c r="M198" s="1607"/>
      <c r="N198" s="1607"/>
      <c r="O198" s="1607"/>
    </row>
    <row r="199" customFormat="false" ht="25.5" hidden="false" customHeight="true" outlineLevel="0" collapsed="false">
      <c r="A199" s="1704" t="s">
        <v>1887</v>
      </c>
      <c r="B199" s="477" t="s">
        <v>1024</v>
      </c>
      <c r="C199" s="477" t="s">
        <v>1888</v>
      </c>
      <c r="D199" s="477" t="s">
        <v>1026</v>
      </c>
      <c r="E199" s="1705" t="s">
        <v>395</v>
      </c>
      <c r="F199" s="1706" t="s">
        <v>395</v>
      </c>
      <c r="G199" s="1701"/>
      <c r="H199" s="1607"/>
      <c r="I199" s="1607"/>
      <c r="J199" s="1607"/>
      <c r="K199" s="1607"/>
      <c r="L199" s="1607"/>
      <c r="M199" s="1607"/>
      <c r="N199" s="1607"/>
      <c r="O199" s="1607"/>
    </row>
    <row r="200" customFormat="false" ht="25.5" hidden="false" customHeight="true" outlineLevel="0" collapsed="false">
      <c r="A200" s="1707"/>
      <c r="B200" s="1708"/>
      <c r="C200" s="1709" t="s">
        <v>1889</v>
      </c>
      <c r="D200" s="1708" t="s">
        <v>1031</v>
      </c>
      <c r="E200" s="1708" t="s">
        <v>1890</v>
      </c>
      <c r="F200" s="1710" t="s">
        <v>1855</v>
      </c>
      <c r="G200" s="1701"/>
      <c r="H200" s="1607"/>
      <c r="I200" s="1607"/>
      <c r="J200" s="1607"/>
      <c r="K200" s="1607"/>
      <c r="L200" s="1607"/>
      <c r="M200" s="1607"/>
      <c r="N200" s="1607"/>
      <c r="O200" s="1607"/>
    </row>
    <row r="201" customFormat="false" ht="14.25" hidden="false" customHeight="true" outlineLevel="0" collapsed="false">
      <c r="A201" s="1711" t="s">
        <v>1033</v>
      </c>
      <c r="B201" s="1650" t="n">
        <f aca="false">'Saisie et Calculateur'!B99</f>
        <v>0</v>
      </c>
      <c r="C201" s="1650" t="n">
        <f aca="false">'Saisie et Calculateur'!C99</f>
        <v>0</v>
      </c>
      <c r="D201" s="634" t="n">
        <f aca="false">C201*B201/1000</f>
        <v>0</v>
      </c>
      <c r="E201" s="1686" t="n">
        <v>24</v>
      </c>
      <c r="F201" s="1712" t="n">
        <f aca="false">D201*E201</f>
        <v>0</v>
      </c>
      <c r="G201" s="1607"/>
      <c r="H201" s="1607"/>
      <c r="I201" s="1607"/>
      <c r="J201" s="1604"/>
      <c r="K201" s="1701"/>
      <c r="L201" s="1607"/>
      <c r="M201" s="1607"/>
      <c r="N201" s="1607"/>
      <c r="O201" s="1607"/>
    </row>
    <row r="202" customFormat="false" ht="14.25" hidden="false" customHeight="true" outlineLevel="0" collapsed="false">
      <c r="A202" s="1711" t="s">
        <v>1035</v>
      </c>
      <c r="B202" s="1650" t="n">
        <f aca="false">'Saisie et Calculateur'!B100</f>
        <v>0</v>
      </c>
      <c r="C202" s="1650" t="n">
        <f aca="false">'Saisie et Calculateur'!C100</f>
        <v>0</v>
      </c>
      <c r="D202" s="634" t="n">
        <f aca="false">C202*B202/1000</f>
        <v>0</v>
      </c>
      <c r="E202" s="1686" t="n">
        <v>24</v>
      </c>
      <c r="F202" s="1712" t="n">
        <f aca="false">D202*E202</f>
        <v>0</v>
      </c>
      <c r="G202" s="1607"/>
      <c r="H202" s="1661"/>
      <c r="I202" s="1607"/>
      <c r="J202" s="1628"/>
      <c r="K202" s="1604"/>
      <c r="L202" s="1607"/>
      <c r="M202" s="1607"/>
      <c r="N202" s="1607"/>
      <c r="O202" s="1607"/>
    </row>
    <row r="203" customFormat="false" ht="14.25" hidden="false" customHeight="true" outlineLevel="0" collapsed="false">
      <c r="A203" s="1711" t="s">
        <v>1036</v>
      </c>
      <c r="B203" s="1650" t="n">
        <f aca="false">'Saisie et Calculateur'!B101</f>
        <v>0</v>
      </c>
      <c r="C203" s="1650" t="n">
        <f aca="false">'Saisie et Calculateur'!C101</f>
        <v>0</v>
      </c>
      <c r="D203" s="634" t="n">
        <f aca="false">C203*B203/1000</f>
        <v>0</v>
      </c>
      <c r="E203" s="1686" t="n">
        <v>24</v>
      </c>
      <c r="F203" s="1712" t="n">
        <f aca="false">D203*E203</f>
        <v>0</v>
      </c>
      <c r="G203" s="1607"/>
      <c r="H203" s="1607"/>
      <c r="I203" s="1607"/>
      <c r="J203" s="1628"/>
      <c r="K203" s="1604"/>
      <c r="L203" s="1607"/>
      <c r="M203" s="1607"/>
      <c r="N203" s="1607"/>
      <c r="O203" s="1607"/>
    </row>
    <row r="204" customFormat="false" ht="14.25" hidden="false" customHeight="true" outlineLevel="0" collapsed="false">
      <c r="A204" s="1711" t="s">
        <v>1037</v>
      </c>
      <c r="B204" s="1650" t="n">
        <f aca="false">'Saisie et Calculateur'!B102</f>
        <v>0</v>
      </c>
      <c r="C204" s="1650" t="n">
        <f aca="false">'Saisie et Calculateur'!C102</f>
        <v>0</v>
      </c>
      <c r="D204" s="634" t="n">
        <f aca="false">C204*B204/1000</f>
        <v>0</v>
      </c>
      <c r="E204" s="1686" t="n">
        <v>24</v>
      </c>
      <c r="F204" s="1712" t="n">
        <f aca="false">D204*E204</f>
        <v>0</v>
      </c>
      <c r="G204" s="1607"/>
      <c r="H204" s="1607"/>
      <c r="I204" s="1607"/>
      <c r="J204" s="1628"/>
      <c r="K204" s="1604"/>
      <c r="L204" s="1607"/>
      <c r="M204" s="1607"/>
      <c r="N204" s="1607"/>
      <c r="O204" s="1607"/>
    </row>
    <row r="205" customFormat="false" ht="14.25" hidden="false" customHeight="true" outlineLevel="0" collapsed="false">
      <c r="A205" s="1711" t="s">
        <v>1038</v>
      </c>
      <c r="B205" s="1650" t="n">
        <f aca="false">'Saisie et Calculateur'!B103</f>
        <v>1</v>
      </c>
      <c r="C205" s="1650" t="n">
        <f aca="false">'Saisie et Calculateur'!C103</f>
        <v>0</v>
      </c>
      <c r="D205" s="634" t="n">
        <f aca="false">C205*B205/1000</f>
        <v>0</v>
      </c>
      <c r="E205" s="1686" t="n">
        <v>24</v>
      </c>
      <c r="F205" s="1712" t="n">
        <f aca="false">D205*E205</f>
        <v>0</v>
      </c>
      <c r="G205" s="1607"/>
      <c r="H205" s="1607"/>
      <c r="I205" s="1607"/>
      <c r="J205" s="1628"/>
      <c r="K205" s="1604"/>
      <c r="L205" s="1607"/>
      <c r="M205" s="1607"/>
      <c r="N205" s="1607"/>
      <c r="O205" s="1607"/>
    </row>
    <row r="206" customFormat="false" ht="14.25" hidden="false" customHeight="true" outlineLevel="0" collapsed="false">
      <c r="A206" s="1711" t="s">
        <v>1040</v>
      </c>
      <c r="B206" s="1650" t="n">
        <f aca="false">'Saisie et Calculateur'!B104</f>
        <v>0</v>
      </c>
      <c r="C206" s="1650" t="n">
        <f aca="false">'Saisie et Calculateur'!C104</f>
        <v>0</v>
      </c>
      <c r="D206" s="634" t="n">
        <f aca="false">C206*B206/1000</f>
        <v>0</v>
      </c>
      <c r="E206" s="1686" t="n">
        <v>24</v>
      </c>
      <c r="F206" s="1712" t="n">
        <f aca="false">D206*E206</f>
        <v>0</v>
      </c>
      <c r="G206" s="1607"/>
      <c r="H206" s="1607"/>
      <c r="I206" s="1607"/>
      <c r="J206" s="1628"/>
      <c r="K206" s="1604"/>
      <c r="L206" s="1607"/>
      <c r="M206" s="1607"/>
      <c r="N206" s="1607"/>
      <c r="O206" s="1607"/>
    </row>
    <row r="207" customFormat="false" ht="14.25" hidden="false" customHeight="true" outlineLevel="0" collapsed="false">
      <c r="A207" s="1711" t="s">
        <v>1041</v>
      </c>
      <c r="B207" s="1650" t="n">
        <f aca="false">'Saisie et Calculateur'!B105</f>
        <v>0</v>
      </c>
      <c r="C207" s="1650" t="n">
        <f aca="false">'Saisie et Calculateur'!C105</f>
        <v>0</v>
      </c>
      <c r="D207" s="634" t="n">
        <f aca="false">C207*B207/1000</f>
        <v>0</v>
      </c>
      <c r="E207" s="1686" t="n">
        <v>24</v>
      </c>
      <c r="F207" s="1712" t="n">
        <f aca="false">D207*E207</f>
        <v>0</v>
      </c>
      <c r="G207" s="1607"/>
      <c r="H207" s="1607"/>
      <c r="I207" s="1607"/>
      <c r="J207" s="1628"/>
      <c r="K207" s="1604"/>
      <c r="L207" s="1607"/>
      <c r="M207" s="1607"/>
      <c r="N207" s="1607"/>
      <c r="O207" s="1607"/>
    </row>
    <row r="208" customFormat="false" ht="14.25" hidden="false" customHeight="true" outlineLevel="0" collapsed="false">
      <c r="A208" s="1711" t="s">
        <v>1042</v>
      </c>
      <c r="B208" s="1650" t="n">
        <f aca="false">'Saisie et Calculateur'!B106</f>
        <v>0</v>
      </c>
      <c r="C208" s="1650" t="n">
        <f aca="false">'Saisie et Calculateur'!C106</f>
        <v>0</v>
      </c>
      <c r="D208" s="634" t="n">
        <f aca="false">C208*B208/1000</f>
        <v>0</v>
      </c>
      <c r="E208" s="1686" t="n">
        <v>24</v>
      </c>
      <c r="F208" s="1712" t="n">
        <f aca="false">D208*E208</f>
        <v>0</v>
      </c>
      <c r="G208" s="1607"/>
      <c r="H208" s="1607"/>
      <c r="I208" s="1607"/>
      <c r="J208" s="1628"/>
      <c r="K208" s="1606"/>
      <c r="L208" s="1607"/>
      <c r="M208" s="1607"/>
      <c r="N208" s="1607"/>
      <c r="O208" s="1607"/>
    </row>
    <row r="209" customFormat="false" ht="14.25" hidden="false" customHeight="true" outlineLevel="0" collapsed="false">
      <c r="A209" s="1711" t="s">
        <v>1044</v>
      </c>
      <c r="B209" s="1650" t="n">
        <f aca="false">'Saisie et Calculateur'!B108</f>
        <v>0</v>
      </c>
      <c r="C209" s="1650" t="n">
        <f aca="false">'Saisie et Calculateur'!C108</f>
        <v>0</v>
      </c>
      <c r="D209" s="634" t="n">
        <f aca="false">C209*B209/1000</f>
        <v>0</v>
      </c>
      <c r="E209" s="1686" t="n">
        <v>24</v>
      </c>
      <c r="F209" s="1712" t="n">
        <f aca="false">D209*E209</f>
        <v>0</v>
      </c>
      <c r="G209" s="1607"/>
      <c r="H209" s="1607"/>
      <c r="I209" s="1607"/>
      <c r="J209" s="1628"/>
      <c r="K209" s="1604"/>
      <c r="L209" s="1607"/>
      <c r="M209" s="1607"/>
      <c r="N209" s="1607"/>
      <c r="O209" s="1607"/>
    </row>
    <row r="210" customFormat="false" ht="14.25" hidden="false" customHeight="true" outlineLevel="0" collapsed="false">
      <c r="A210" s="1711" t="s">
        <v>1045</v>
      </c>
      <c r="B210" s="1650" t="n">
        <f aca="false">'Saisie et Calculateur'!B109</f>
        <v>0</v>
      </c>
      <c r="C210" s="1650" t="n">
        <f aca="false">'Saisie et Calculateur'!C109</f>
        <v>0</v>
      </c>
      <c r="D210" s="634" t="n">
        <f aca="false">C210*B210/1000</f>
        <v>0</v>
      </c>
      <c r="E210" s="1686" t="n">
        <v>24</v>
      </c>
      <c r="F210" s="1712" t="n">
        <f aca="false">D210*E210</f>
        <v>0</v>
      </c>
      <c r="G210" s="1607"/>
      <c r="H210" s="1607"/>
      <c r="I210" s="1607"/>
      <c r="J210" s="1628"/>
      <c r="K210" s="1604"/>
      <c r="L210" s="1607"/>
      <c r="M210" s="1607"/>
      <c r="N210" s="1607"/>
      <c r="O210" s="1607"/>
    </row>
    <row r="211" customFormat="false" ht="14.25" hidden="false" customHeight="true" outlineLevel="0" collapsed="false">
      <c r="A211" s="1711" t="s">
        <v>1046</v>
      </c>
      <c r="B211" s="1650" t="n">
        <f aca="false">'Saisie et Calculateur'!B110</f>
        <v>0</v>
      </c>
      <c r="C211" s="1650" t="n">
        <f aca="false">'Saisie et Calculateur'!C110</f>
        <v>0</v>
      </c>
      <c r="D211" s="634" t="n">
        <f aca="false">C211*B211/1000</f>
        <v>0</v>
      </c>
      <c r="E211" s="1686" t="n">
        <v>24</v>
      </c>
      <c r="F211" s="1712" t="n">
        <f aca="false">D211*E211</f>
        <v>0</v>
      </c>
      <c r="G211" s="1607"/>
      <c r="H211" s="1607"/>
      <c r="I211" s="1607"/>
      <c r="J211" s="1628"/>
      <c r="K211" s="1701"/>
      <c r="L211" s="1607"/>
      <c r="M211" s="1607"/>
      <c r="N211" s="1607"/>
      <c r="O211" s="1607"/>
    </row>
    <row r="212" customFormat="false" ht="14.25" hidden="false" customHeight="true" outlineLevel="0" collapsed="false">
      <c r="A212" s="1713" t="s">
        <v>1047</v>
      </c>
      <c r="B212" s="1650" t="n">
        <f aca="false">'Saisie et Calculateur'!B111</f>
        <v>0</v>
      </c>
      <c r="C212" s="1650" t="n">
        <f aca="false">'Saisie et Calculateur'!C111</f>
        <v>0</v>
      </c>
      <c r="D212" s="634" t="n">
        <f aca="false">C212*B212/1000</f>
        <v>0</v>
      </c>
      <c r="E212" s="1686" t="n">
        <v>24</v>
      </c>
      <c r="F212" s="1712" t="n">
        <f aca="false">D212*E212</f>
        <v>0</v>
      </c>
      <c r="G212" s="1607"/>
      <c r="H212" s="1607"/>
      <c r="I212" s="1607"/>
      <c r="J212" s="1628"/>
      <c r="K212" s="1701"/>
      <c r="L212" s="1607"/>
      <c r="M212" s="1607"/>
      <c r="N212" s="1607"/>
      <c r="O212" s="1607"/>
    </row>
    <row r="213" customFormat="false" ht="14.25" hidden="false" customHeight="true" outlineLevel="0" collapsed="false">
      <c r="A213" s="1711" t="s">
        <v>131</v>
      </c>
      <c r="B213" s="1650" t="n">
        <f aca="false">'Saisie et Calculateur'!B113</f>
        <v>0</v>
      </c>
      <c r="C213" s="1650" t="n">
        <f aca="false">'Saisie et Calculateur'!C113</f>
        <v>0</v>
      </c>
      <c r="D213" s="634" t="n">
        <f aca="false">C213*B213/1000</f>
        <v>0</v>
      </c>
      <c r="E213" s="1686" t="n">
        <v>24</v>
      </c>
      <c r="F213" s="1712" t="n">
        <f aca="false">D213*E213</f>
        <v>0</v>
      </c>
      <c r="G213" s="1607"/>
      <c r="H213" s="1607"/>
      <c r="I213" s="1607"/>
      <c r="J213" s="1628"/>
      <c r="K213" s="1701"/>
      <c r="L213" s="1607"/>
      <c r="M213" s="1607"/>
      <c r="N213" s="1607"/>
      <c r="O213" s="1607"/>
    </row>
    <row r="214" customFormat="false" ht="14.25" hidden="false" customHeight="true" outlineLevel="0" collapsed="false">
      <c r="A214" s="1711" t="s">
        <v>1049</v>
      </c>
      <c r="B214" s="1650" t="n">
        <f aca="false">'Saisie et Calculateur'!B114</f>
        <v>0</v>
      </c>
      <c r="C214" s="1650" t="n">
        <f aca="false">'Saisie et Calculateur'!C114</f>
        <v>0</v>
      </c>
      <c r="D214" s="634" t="n">
        <f aca="false">C214*B214/1000</f>
        <v>0</v>
      </c>
      <c r="E214" s="1686" t="n">
        <v>24</v>
      </c>
      <c r="F214" s="1712" t="n">
        <f aca="false">D214*E214</f>
        <v>0</v>
      </c>
      <c r="G214" s="1607"/>
      <c r="H214" s="1607"/>
      <c r="I214" s="1607"/>
      <c r="J214" s="1628"/>
      <c r="K214" s="1701"/>
      <c r="L214" s="1607"/>
      <c r="M214" s="1607"/>
      <c r="N214" s="1607"/>
      <c r="O214" s="1607"/>
    </row>
    <row r="215" customFormat="false" ht="14.25" hidden="false" customHeight="true" outlineLevel="0" collapsed="false">
      <c r="A215" s="1711" t="s">
        <v>133</v>
      </c>
      <c r="B215" s="1650" t="n">
        <f aca="false">'Saisie et Calculateur'!B115</f>
        <v>0</v>
      </c>
      <c r="C215" s="1650" t="n">
        <f aca="false">'Saisie et Calculateur'!C115</f>
        <v>0</v>
      </c>
      <c r="D215" s="634" t="n">
        <f aca="false">C215*B215/1000</f>
        <v>0</v>
      </c>
      <c r="E215" s="1686" t="n">
        <v>24</v>
      </c>
      <c r="F215" s="1712" t="n">
        <f aca="false">D215*E215</f>
        <v>0</v>
      </c>
      <c r="G215" s="1607"/>
      <c r="H215" s="1607"/>
      <c r="I215" s="1607"/>
      <c r="J215" s="1628"/>
      <c r="K215" s="1701"/>
      <c r="L215" s="1607"/>
      <c r="M215" s="1607"/>
      <c r="N215" s="1607"/>
      <c r="O215" s="1607"/>
    </row>
    <row r="216" customFormat="false" ht="14.25" hidden="false" customHeight="true" outlineLevel="0" collapsed="false">
      <c r="A216" s="1711" t="s">
        <v>1050</v>
      </c>
      <c r="B216" s="1650" t="n">
        <f aca="false">'Saisie et Calculateur'!B116</f>
        <v>0</v>
      </c>
      <c r="C216" s="1650" t="n">
        <f aca="false">'Saisie et Calculateur'!C116</f>
        <v>0</v>
      </c>
      <c r="D216" s="634" t="n">
        <f aca="false">C216*B216/1000</f>
        <v>0</v>
      </c>
      <c r="E216" s="1686" t="n">
        <v>24</v>
      </c>
      <c r="F216" s="1712" t="n">
        <f aca="false">D216*E216</f>
        <v>0</v>
      </c>
      <c r="G216" s="1607"/>
      <c r="H216" s="1607"/>
      <c r="I216" s="1607"/>
      <c r="J216" s="1628"/>
      <c r="K216" s="1701"/>
      <c r="L216" s="1607"/>
      <c r="M216" s="1607"/>
      <c r="N216" s="1607"/>
      <c r="O216" s="1607"/>
    </row>
    <row r="217" customFormat="false" ht="14.25" hidden="false" customHeight="true" outlineLevel="0" collapsed="false">
      <c r="A217" s="1711" t="s">
        <v>1051</v>
      </c>
      <c r="B217" s="1650" t="n">
        <f aca="false">'Saisie et Calculateur'!B117</f>
        <v>0</v>
      </c>
      <c r="C217" s="1650" t="n">
        <f aca="false">'Saisie et Calculateur'!C117</f>
        <v>0</v>
      </c>
      <c r="D217" s="634" t="n">
        <f aca="false">C217*B217/1000</f>
        <v>0</v>
      </c>
      <c r="E217" s="1686" t="n">
        <v>24</v>
      </c>
      <c r="F217" s="1712" t="n">
        <f aca="false">D217*E217</f>
        <v>0</v>
      </c>
      <c r="G217" s="1607"/>
      <c r="H217" s="1607"/>
      <c r="I217" s="1607"/>
      <c r="J217" s="1628"/>
      <c r="K217" s="1701"/>
      <c r="L217" s="1607"/>
      <c r="M217" s="1607"/>
      <c r="N217" s="1607"/>
      <c r="O217" s="1607"/>
    </row>
    <row r="218" customFormat="false" ht="14.25" hidden="false" customHeight="true" outlineLevel="0" collapsed="false">
      <c r="A218" s="1714" t="s">
        <v>926</v>
      </c>
      <c r="B218" s="1650" t="n">
        <f aca="false">'Saisie et Calculateur'!B119</f>
        <v>0</v>
      </c>
      <c r="C218" s="1650" t="n">
        <f aca="false">'Saisie et Calculateur'!C119</f>
        <v>0</v>
      </c>
      <c r="D218" s="634" t="n">
        <f aca="false">C218*B218/1000</f>
        <v>0</v>
      </c>
      <c r="E218" s="1686" t="n">
        <v>19.2</v>
      </c>
      <c r="F218" s="1712" t="n">
        <f aca="false">D218*E218</f>
        <v>0</v>
      </c>
      <c r="G218" s="1607"/>
      <c r="H218" s="1607"/>
      <c r="I218" s="1607"/>
      <c r="J218" s="1628"/>
      <c r="K218" s="1701"/>
      <c r="L218" s="1607"/>
      <c r="M218" s="1607"/>
      <c r="N218" s="1607"/>
      <c r="O218" s="1607"/>
    </row>
    <row r="219" customFormat="false" ht="14.25" hidden="false" customHeight="true" outlineLevel="0" collapsed="false">
      <c r="A219" s="1713" t="s">
        <v>1052</v>
      </c>
      <c r="B219" s="1650" t="n">
        <f aca="false">'Saisie et Calculateur'!B120</f>
        <v>0</v>
      </c>
      <c r="C219" s="1650" t="n">
        <f aca="false">'Saisie et Calculateur'!C120</f>
        <v>0</v>
      </c>
      <c r="D219" s="634" t="n">
        <f aca="false">C219*B219/1000</f>
        <v>0</v>
      </c>
      <c r="E219" s="1686" t="n">
        <v>22.4</v>
      </c>
      <c r="F219" s="1712" t="n">
        <f aca="false">D219*E219</f>
        <v>0</v>
      </c>
      <c r="G219" s="1607"/>
      <c r="H219" s="1607"/>
      <c r="I219" s="1607"/>
      <c r="J219" s="1628"/>
      <c r="K219" s="1701"/>
      <c r="L219" s="1607"/>
      <c r="M219" s="1607"/>
      <c r="N219" s="1607"/>
      <c r="O219" s="1607"/>
    </row>
    <row r="220" customFormat="false" ht="14.25" hidden="false" customHeight="true" outlineLevel="0" collapsed="false">
      <c r="A220" s="1713" t="s">
        <v>1053</v>
      </c>
      <c r="B220" s="1650" t="n">
        <f aca="false">'Saisie et Calculateur'!B121</f>
        <v>0</v>
      </c>
      <c r="C220" s="1650" t="n">
        <f aca="false">'Saisie et Calculateur'!C121</f>
        <v>0</v>
      </c>
      <c r="D220" s="634" t="n">
        <f aca="false">C220*B220/1000</f>
        <v>0</v>
      </c>
      <c r="E220" s="1686" t="n">
        <v>32</v>
      </c>
      <c r="F220" s="1712" t="n">
        <f aca="false">D220*E220</f>
        <v>0</v>
      </c>
      <c r="G220" s="1607"/>
      <c r="H220" s="1607"/>
      <c r="I220" s="1607"/>
      <c r="J220" s="1628"/>
      <c r="K220" s="1701"/>
      <c r="L220" s="1607"/>
      <c r="M220" s="1607"/>
      <c r="N220" s="1607"/>
      <c r="O220" s="1607"/>
    </row>
    <row r="221" customFormat="false" ht="14.25" hidden="false" customHeight="true" outlineLevel="0" collapsed="false">
      <c r="A221" s="1713" t="s">
        <v>1054</v>
      </c>
      <c r="B221" s="1650" t="n">
        <f aca="false">'Saisie et Calculateur'!B122</f>
        <v>0</v>
      </c>
      <c r="C221" s="1650" t="n">
        <f aca="false">'Saisie et Calculateur'!C122</f>
        <v>0</v>
      </c>
      <c r="D221" s="634" t="n">
        <f aca="false">C221*B221/1000</f>
        <v>0</v>
      </c>
      <c r="E221" s="1686" t="n">
        <v>20.7</v>
      </c>
      <c r="F221" s="1712" t="n">
        <f aca="false">D221*E221</f>
        <v>0</v>
      </c>
      <c r="G221" s="1607"/>
      <c r="H221" s="1607"/>
      <c r="I221" s="1607"/>
      <c r="J221" s="1628"/>
      <c r="K221" s="1701"/>
      <c r="L221" s="1607"/>
      <c r="M221" s="1607"/>
      <c r="N221" s="1607"/>
      <c r="O221" s="1607"/>
    </row>
    <row r="222" customFormat="false" ht="14.25" hidden="false" customHeight="true" outlineLevel="0" collapsed="false">
      <c r="A222" s="1713" t="s">
        <v>1055</v>
      </c>
      <c r="B222" s="1650" t="n">
        <f aca="false">'Saisie et Calculateur'!B123</f>
        <v>0</v>
      </c>
      <c r="C222" s="1650" t="n">
        <f aca="false">'Saisie et Calculateur'!C123</f>
        <v>0</v>
      </c>
      <c r="D222" s="634" t="n">
        <f aca="false">C222*B222/1000</f>
        <v>0</v>
      </c>
      <c r="E222" s="1686" t="n">
        <v>37.6</v>
      </c>
      <c r="F222" s="1712" t="n">
        <f aca="false">D222*E222</f>
        <v>0</v>
      </c>
      <c r="G222" s="1607"/>
      <c r="H222" s="1607"/>
      <c r="I222" s="1607"/>
      <c r="J222" s="1628"/>
      <c r="K222" s="1701"/>
      <c r="L222" s="1607"/>
      <c r="M222" s="1607"/>
      <c r="N222" s="1607"/>
      <c r="O222" s="1607"/>
    </row>
    <row r="223" customFormat="false" ht="14.25" hidden="false" customHeight="true" outlineLevel="0" collapsed="false">
      <c r="A223" s="1713" t="s">
        <v>1056</v>
      </c>
      <c r="B223" s="1650" t="n">
        <f aca="false">'Saisie et Calculateur'!B124</f>
        <v>0</v>
      </c>
      <c r="C223" s="1650" t="n">
        <f aca="false">'Saisie et Calculateur'!C124</f>
        <v>0</v>
      </c>
      <c r="D223" s="634" t="n">
        <f aca="false">C223*B223/1000</f>
        <v>0</v>
      </c>
      <c r="E223" s="1686" t="n">
        <v>18.9</v>
      </c>
      <c r="F223" s="1712" t="n">
        <f aca="false">D223*E223</f>
        <v>0</v>
      </c>
      <c r="G223" s="1607"/>
      <c r="H223" s="1607"/>
      <c r="I223" s="1607"/>
      <c r="J223" s="1628"/>
      <c r="K223" s="1701"/>
      <c r="L223" s="1607"/>
      <c r="M223" s="1607"/>
      <c r="N223" s="1607"/>
      <c r="O223" s="1607"/>
    </row>
    <row r="224" customFormat="false" ht="14.25" hidden="false" customHeight="true" outlineLevel="0" collapsed="false">
      <c r="A224" s="1713" t="s">
        <v>1057</v>
      </c>
      <c r="B224" s="1650" t="n">
        <f aca="false">'Saisie et Calculateur'!B125</f>
        <v>0</v>
      </c>
      <c r="C224" s="1650" t="n">
        <f aca="false">'Saisie et Calculateur'!C125</f>
        <v>0</v>
      </c>
      <c r="D224" s="634" t="n">
        <f aca="false">C224*B224/1000</f>
        <v>0</v>
      </c>
      <c r="E224" s="1686" t="n">
        <v>30.5</v>
      </c>
      <c r="F224" s="1712" t="n">
        <f aca="false">D224*E224</f>
        <v>0</v>
      </c>
      <c r="G224" s="1607"/>
      <c r="H224" s="1607"/>
      <c r="I224" s="1607"/>
      <c r="J224" s="1628"/>
      <c r="K224" s="1701"/>
      <c r="L224" s="1607"/>
      <c r="M224" s="1607"/>
      <c r="N224" s="1607"/>
      <c r="O224" s="1607"/>
    </row>
    <row r="225" customFormat="false" ht="14.25" hidden="false" customHeight="true" outlineLevel="0" collapsed="false">
      <c r="A225" s="1713" t="s">
        <v>1058</v>
      </c>
      <c r="B225" s="1650" t="n">
        <f aca="false">'Saisie et Calculateur'!B126</f>
        <v>0</v>
      </c>
      <c r="C225" s="1650" t="n">
        <f aca="false">'Saisie et Calculateur'!C126</f>
        <v>0</v>
      </c>
      <c r="D225" s="634" t="n">
        <f aca="false">C225*B225/1000</f>
        <v>0</v>
      </c>
      <c r="E225" s="1686" t="n">
        <v>20</v>
      </c>
      <c r="F225" s="1712" t="n">
        <f aca="false">D225*E225</f>
        <v>0</v>
      </c>
      <c r="G225" s="1607"/>
      <c r="H225" s="1607"/>
      <c r="I225" s="1607"/>
      <c r="J225" s="1628"/>
      <c r="K225" s="1701"/>
      <c r="L225" s="1607"/>
      <c r="M225" s="1607"/>
      <c r="N225" s="1607"/>
      <c r="O225" s="1607"/>
    </row>
    <row r="226" customFormat="false" ht="14.25" hidden="false" customHeight="true" outlineLevel="0" collapsed="false">
      <c r="A226" s="1713" t="s">
        <v>1059</v>
      </c>
      <c r="B226" s="1650" t="n">
        <f aca="false">'Saisie et Calculateur'!B127</f>
        <v>0</v>
      </c>
      <c r="C226" s="1650" t="n">
        <f aca="false">'Saisie et Calculateur'!C127</f>
        <v>0</v>
      </c>
      <c r="D226" s="634" t="n">
        <f aca="false">C226*B226/1000</f>
        <v>0</v>
      </c>
      <c r="E226" s="1686" t="n">
        <v>37.6</v>
      </c>
      <c r="F226" s="1712" t="n">
        <f aca="false">D226*E226</f>
        <v>0</v>
      </c>
      <c r="G226" s="1607"/>
      <c r="H226" s="1607"/>
      <c r="I226" s="1607"/>
      <c r="J226" s="1628"/>
      <c r="K226" s="1701"/>
      <c r="L226" s="1607"/>
      <c r="M226" s="1607"/>
      <c r="N226" s="1607"/>
      <c r="O226" s="1607"/>
    </row>
    <row r="227" s="1717" customFormat="true" ht="14.25" hidden="false" customHeight="true" outlineLevel="0" collapsed="false">
      <c r="A227" s="1711" t="s">
        <v>1060</v>
      </c>
      <c r="B227" s="1650" t="n">
        <f aca="false">'Saisie et Calculateur'!B128</f>
        <v>0</v>
      </c>
      <c r="C227" s="1650" t="n">
        <f aca="false">'Saisie et Calculateur'!C128</f>
        <v>0</v>
      </c>
      <c r="D227" s="634" t="n">
        <f aca="false">C227*B227/1000</f>
        <v>0</v>
      </c>
      <c r="E227" s="1686" t="n">
        <v>35.6</v>
      </c>
      <c r="F227" s="1712" t="n">
        <f aca="false">D227*E227</f>
        <v>0</v>
      </c>
      <c r="G227" s="1715"/>
      <c r="H227" s="1715"/>
      <c r="I227" s="1715"/>
      <c r="J227" s="1716"/>
      <c r="K227" s="1701"/>
      <c r="L227" s="1607"/>
      <c r="M227" s="1607"/>
      <c r="N227" s="1607"/>
      <c r="O227" s="1715"/>
    </row>
    <row r="228" customFormat="false" ht="14.25" hidden="false" customHeight="true" outlineLevel="0" collapsed="false">
      <c r="A228" s="1718" t="s">
        <v>1891</v>
      </c>
      <c r="B228" s="1650" t="n">
        <f aca="false">'Saisie et Calculateur'!B130</f>
        <v>0</v>
      </c>
      <c r="C228" s="1650" t="n">
        <f aca="false">'Saisie et Calculateur'!C130</f>
        <v>0</v>
      </c>
      <c r="D228" s="634" t="n">
        <f aca="false">C228*B228/1000</f>
        <v>0</v>
      </c>
      <c r="E228" s="1686" t="n">
        <v>24</v>
      </c>
      <c r="F228" s="1712" t="n">
        <f aca="false">D228*E228</f>
        <v>0</v>
      </c>
      <c r="G228" s="1607"/>
      <c r="H228" s="1607"/>
      <c r="I228" s="1607"/>
      <c r="J228" s="1604"/>
      <c r="K228" s="1701"/>
      <c r="L228" s="1607"/>
      <c r="M228" s="1607"/>
      <c r="N228" s="1607"/>
      <c r="O228" s="1607"/>
    </row>
    <row r="229" customFormat="false" ht="14.25" hidden="false" customHeight="true" outlineLevel="0" collapsed="false">
      <c r="A229" s="1719" t="s">
        <v>1892</v>
      </c>
      <c r="B229" s="1650" t="n">
        <f aca="false">'Saisie et Calculateur'!B131</f>
        <v>0</v>
      </c>
      <c r="C229" s="1650" t="n">
        <f aca="false">'Saisie et Calculateur'!C131</f>
        <v>0</v>
      </c>
      <c r="D229" s="634" t="n">
        <f aca="false">C229*B229/1000</f>
        <v>0</v>
      </c>
      <c r="E229" s="1686" t="n">
        <v>24</v>
      </c>
      <c r="F229" s="1712" t="n">
        <f aca="false">D229*E229</f>
        <v>0</v>
      </c>
      <c r="G229" s="1607"/>
      <c r="H229" s="1607"/>
      <c r="I229" s="1607"/>
      <c r="J229" s="1604"/>
      <c r="K229" s="1701"/>
      <c r="L229" s="1607"/>
      <c r="M229" s="1607"/>
      <c r="N229" s="1607"/>
      <c r="O229" s="1607"/>
    </row>
    <row r="230" customFormat="false" ht="14.25" hidden="false" customHeight="true" outlineLevel="0" collapsed="false">
      <c r="A230" s="1720" t="s">
        <v>1893</v>
      </c>
      <c r="B230" s="1721" t="n">
        <f aca="false">'Saisie et Calculateur'!B132</f>
        <v>0</v>
      </c>
      <c r="C230" s="1650" t="n">
        <f aca="false">'Saisie et Calculateur'!C132</f>
        <v>0</v>
      </c>
      <c r="D230" s="634" t="n">
        <f aca="false">C230*B230/1000</f>
        <v>0</v>
      </c>
      <c r="E230" s="1689"/>
      <c r="F230" s="1712" t="n">
        <f aca="false">D230*E230</f>
        <v>0</v>
      </c>
      <c r="G230" s="1607"/>
      <c r="H230" s="1607"/>
      <c r="I230" s="1607"/>
      <c r="J230" s="1604"/>
      <c r="K230" s="1701"/>
      <c r="L230" s="1607"/>
      <c r="M230" s="1607"/>
      <c r="N230" s="1607"/>
      <c r="O230" s="1607"/>
    </row>
    <row r="231" customFormat="false" ht="14.25" hidden="false" customHeight="true" outlineLevel="0" collapsed="false">
      <c r="A231" s="1722"/>
      <c r="B231" s="1650" t="n">
        <f aca="false">'Saisie et Calculateur'!B133</f>
        <v>2</v>
      </c>
      <c r="C231" s="1650" t="n">
        <f aca="false">'Saisie et Calculateur'!C133</f>
        <v>0</v>
      </c>
      <c r="D231" s="634" t="n">
        <f aca="false">C231*B231/1000</f>
        <v>0</v>
      </c>
      <c r="E231" s="1689"/>
      <c r="F231" s="1712" t="n">
        <f aca="false">D231*E231</f>
        <v>0</v>
      </c>
      <c r="G231" s="1607"/>
      <c r="H231" s="1607"/>
      <c r="I231" s="1607"/>
      <c r="J231" s="1604"/>
      <c r="K231" s="1701"/>
      <c r="L231" s="1607"/>
      <c r="M231" s="1607"/>
      <c r="N231" s="1607"/>
      <c r="O231" s="1607"/>
    </row>
    <row r="232" customFormat="false" ht="15" hidden="false" customHeight="true" outlineLevel="0" collapsed="false">
      <c r="A232" s="1723"/>
      <c r="B232" s="1724" t="n">
        <f aca="false">'Saisie et Calculateur'!B134</f>
        <v>0</v>
      </c>
      <c r="C232" s="1724" t="n">
        <f aca="false">'Saisie et Calculateur'!C134</f>
        <v>0</v>
      </c>
      <c r="D232" s="1725" t="n">
        <f aca="false">C232*B232/1000</f>
        <v>0</v>
      </c>
      <c r="E232" s="1726"/>
      <c r="F232" s="1727" t="n">
        <f aca="false">D232*E232</f>
        <v>0</v>
      </c>
      <c r="G232" s="1604"/>
      <c r="H232" s="1604"/>
      <c r="I232" s="1604"/>
      <c r="J232" s="1604"/>
      <c r="K232" s="1701"/>
      <c r="L232" s="1607"/>
      <c r="M232" s="1607"/>
      <c r="N232" s="1607"/>
      <c r="O232" s="1607"/>
    </row>
    <row r="233" customFormat="false" ht="12.75" hidden="false" customHeight="true" outlineLevel="0" collapsed="false">
      <c r="A233" s="1604"/>
      <c r="B233" s="1604"/>
      <c r="C233" s="1604"/>
      <c r="D233" s="1604"/>
      <c r="E233" s="1604"/>
      <c r="F233" s="1604"/>
      <c r="G233" s="1604"/>
      <c r="H233" s="1604"/>
      <c r="I233" s="1604"/>
      <c r="J233" s="1604"/>
      <c r="K233" s="1604"/>
      <c r="L233" s="1701"/>
      <c r="M233" s="1607"/>
      <c r="N233" s="1607"/>
      <c r="O233" s="1607"/>
    </row>
    <row r="234" customFormat="false" ht="15" hidden="false" customHeight="true" outlineLevel="0" collapsed="false">
      <c r="A234" s="1604"/>
      <c r="B234" s="1604"/>
      <c r="C234" s="1604"/>
      <c r="D234" s="1635" t="s">
        <v>1894</v>
      </c>
      <c r="E234" s="1708" t="s">
        <v>540</v>
      </c>
      <c r="F234" s="770" t="n">
        <f aca="false">SUM(F201:F232)</f>
        <v>0</v>
      </c>
      <c r="G234" s="1604"/>
      <c r="H234" s="1604"/>
      <c r="I234" s="1604"/>
      <c r="J234" s="1604"/>
      <c r="K234" s="1604"/>
      <c r="L234" s="1701"/>
      <c r="M234" s="1607"/>
      <c r="N234" s="1607"/>
      <c r="O234" s="1607"/>
    </row>
    <row r="235" customFormat="false" ht="12.75" hidden="false" customHeight="true" outlineLevel="0" collapsed="false">
      <c r="A235" s="1604"/>
      <c r="B235" s="1604"/>
      <c r="C235" s="1604"/>
      <c r="D235" s="1604"/>
      <c r="E235" s="1604"/>
      <c r="F235" s="1604"/>
      <c r="G235" s="1604"/>
      <c r="H235" s="1604"/>
      <c r="I235" s="1604"/>
      <c r="J235" s="1604"/>
      <c r="K235" s="1604"/>
      <c r="L235" s="1701"/>
      <c r="M235" s="1607"/>
      <c r="N235" s="1607"/>
      <c r="O235" s="1607"/>
    </row>
    <row r="236" customFormat="false" ht="12.75" hidden="false" customHeight="true" outlineLevel="0" collapsed="false">
      <c r="A236" s="1604"/>
      <c r="B236" s="1604"/>
      <c r="C236" s="1604"/>
      <c r="D236" s="1604"/>
      <c r="E236" s="1604"/>
      <c r="F236" s="1604"/>
      <c r="G236" s="1604"/>
      <c r="H236" s="1604"/>
      <c r="I236" s="1604"/>
      <c r="J236" s="1604"/>
      <c r="K236" s="1604"/>
      <c r="L236" s="1701"/>
      <c r="M236" s="1607"/>
      <c r="N236" s="1607"/>
      <c r="O236" s="1607"/>
    </row>
    <row r="237" customFormat="false" ht="20.25" hidden="false" customHeight="true" outlineLevel="0" collapsed="false">
      <c r="A237" s="1613" t="s">
        <v>1895</v>
      </c>
      <c r="B237" s="1613"/>
      <c r="C237" s="1613"/>
      <c r="D237" s="1613"/>
      <c r="E237" s="1613"/>
      <c r="F237" s="1613"/>
      <c r="G237" s="1613"/>
      <c r="H237" s="1613"/>
      <c r="I237" s="1613"/>
      <c r="J237" s="1604"/>
      <c r="K237" s="1604"/>
      <c r="L237" s="1701"/>
      <c r="M237" s="1607"/>
      <c r="N237" s="1607"/>
      <c r="O237" s="1607"/>
    </row>
    <row r="238" customFormat="false" ht="20.25" hidden="false" customHeight="true" outlineLevel="0" collapsed="false">
      <c r="A238" s="1728" t="s">
        <v>1896</v>
      </c>
      <c r="B238" s="1728"/>
      <c r="C238" s="1728"/>
      <c r="D238" s="1728"/>
      <c r="E238" s="1728"/>
      <c r="F238" s="1728"/>
      <c r="G238" s="1728"/>
      <c r="H238" s="1728"/>
      <c r="I238" s="1728"/>
      <c r="J238" s="1728"/>
      <c r="K238" s="1606"/>
      <c r="L238" s="1701"/>
      <c r="M238" s="1607"/>
      <c r="N238" s="1607"/>
      <c r="O238" s="1607"/>
    </row>
    <row r="239" customFormat="false" ht="12.75" hidden="false" customHeight="true" outlineLevel="0" collapsed="false">
      <c r="A239" s="1604"/>
      <c r="B239" s="1604"/>
      <c r="C239" s="1604"/>
      <c r="D239" s="1604"/>
      <c r="E239" s="1604"/>
      <c r="F239" s="1604"/>
      <c r="G239" s="1604"/>
      <c r="H239" s="1604"/>
      <c r="I239" s="1604"/>
      <c r="J239" s="1604"/>
      <c r="K239" s="1604"/>
      <c r="L239" s="1701"/>
      <c r="M239" s="1607"/>
      <c r="N239" s="1607"/>
      <c r="O239" s="1607"/>
    </row>
    <row r="240" customFormat="false" ht="25.5" hidden="false" customHeight="true" outlineLevel="0" collapsed="false">
      <c r="A240" s="1729" t="s">
        <v>1897</v>
      </c>
      <c r="B240" s="479" t="s">
        <v>1898</v>
      </c>
      <c r="C240" s="479" t="s">
        <v>395</v>
      </c>
      <c r="D240" s="479" t="s">
        <v>395</v>
      </c>
      <c r="E240" s="1618" t="s">
        <v>1822</v>
      </c>
      <c r="F240" s="1604"/>
      <c r="G240" s="1604"/>
      <c r="H240" s="1701"/>
      <c r="I240" s="1607"/>
      <c r="J240" s="1607"/>
      <c r="K240" s="1607"/>
      <c r="L240" s="1607"/>
      <c r="M240" s="1607"/>
      <c r="N240" s="1607"/>
      <c r="O240" s="1607"/>
    </row>
    <row r="241" customFormat="false" ht="25.5" hidden="false" customHeight="true" outlineLevel="0" collapsed="false">
      <c r="A241" s="1730"/>
      <c r="B241" s="1708" t="s">
        <v>1899</v>
      </c>
      <c r="C241" s="1708" t="s">
        <v>1900</v>
      </c>
      <c r="D241" s="1708" t="s">
        <v>1202</v>
      </c>
      <c r="E241" s="1623"/>
      <c r="F241" s="1604"/>
      <c r="G241" s="1604"/>
      <c r="H241" s="1701"/>
      <c r="I241" s="1607"/>
      <c r="J241" s="1607"/>
      <c r="K241" s="1607"/>
      <c r="L241" s="1607"/>
      <c r="M241" s="1607"/>
      <c r="N241" s="1607"/>
      <c r="O241" s="1607"/>
    </row>
    <row r="242" customFormat="false" ht="25.5" hidden="false" customHeight="true" outlineLevel="0" collapsed="false">
      <c r="A242" s="1624" t="s">
        <v>407</v>
      </c>
      <c r="B242" s="1650" t="n">
        <f aca="false">'Saisie et Calculateur'!C322</f>
        <v>0</v>
      </c>
      <c r="C242" s="506" t="n">
        <v>5.8</v>
      </c>
      <c r="D242" s="1651" t="n">
        <f aca="false">B242*C242</f>
        <v>0</v>
      </c>
      <c r="E242" s="1627" t="n">
        <v>7</v>
      </c>
      <c r="F242" s="1607"/>
      <c r="G242" s="1607"/>
      <c r="H242" s="1607"/>
      <c r="I242" s="1607"/>
      <c r="J242" s="1604"/>
      <c r="K242" s="1604"/>
      <c r="L242" s="1701"/>
      <c r="M242" s="1607"/>
      <c r="N242" s="1607"/>
      <c r="O242" s="1607"/>
    </row>
    <row r="243" customFormat="false" ht="12.75" hidden="false" customHeight="true" outlineLevel="0" collapsed="false">
      <c r="A243" s="1624" t="s">
        <v>408</v>
      </c>
      <c r="B243" s="1650" t="n">
        <f aca="false">'Saisie et Calculateur'!C323</f>
        <v>0</v>
      </c>
      <c r="C243" s="506" t="n">
        <v>5</v>
      </c>
      <c r="D243" s="1651" t="n">
        <f aca="false">B243*C243</f>
        <v>0</v>
      </c>
      <c r="E243" s="1627" t="n">
        <v>7</v>
      </c>
      <c r="F243" s="1607"/>
      <c r="G243" s="1607"/>
      <c r="H243" s="1607"/>
      <c r="I243" s="1607"/>
      <c r="J243" s="1628"/>
      <c r="K243" s="1628"/>
      <c r="L243" s="1701"/>
      <c r="M243" s="1607"/>
      <c r="N243" s="1607"/>
      <c r="O243" s="1607"/>
    </row>
    <row r="244" customFormat="false" ht="12.75" hidden="false" customHeight="true" outlineLevel="0" collapsed="false">
      <c r="A244" s="1624" t="s">
        <v>409</v>
      </c>
      <c r="B244" s="1650" t="n">
        <f aca="false">'Saisie et Calculateur'!C324</f>
        <v>0</v>
      </c>
      <c r="C244" s="506" t="n">
        <v>5.1</v>
      </c>
      <c r="D244" s="1651" t="n">
        <f aca="false">B244*C244</f>
        <v>0</v>
      </c>
      <c r="E244" s="1627" t="n">
        <v>7</v>
      </c>
      <c r="F244" s="1607"/>
      <c r="G244" s="1607"/>
      <c r="H244" s="1607"/>
      <c r="I244" s="1607"/>
      <c r="J244" s="1628"/>
      <c r="K244" s="1628"/>
      <c r="L244" s="1701"/>
      <c r="M244" s="1607"/>
      <c r="N244" s="1607"/>
      <c r="O244" s="1607"/>
    </row>
    <row r="245" customFormat="false" ht="12.75" hidden="false" customHeight="true" outlineLevel="0" collapsed="false">
      <c r="A245" s="1624" t="s">
        <v>410</v>
      </c>
      <c r="B245" s="1650" t="n">
        <f aca="false">'Saisie et Calculateur'!C325</f>
        <v>0</v>
      </c>
      <c r="C245" s="506" t="n">
        <v>5.2</v>
      </c>
      <c r="D245" s="1651" t="n">
        <f aca="false">B245*C245</f>
        <v>0</v>
      </c>
      <c r="E245" s="1627" t="n">
        <v>7</v>
      </c>
      <c r="F245" s="1607"/>
      <c r="G245" s="1607"/>
      <c r="H245" s="1661"/>
      <c r="I245" s="1607"/>
      <c r="J245" s="1628"/>
      <c r="K245" s="1628"/>
      <c r="L245" s="1701"/>
      <c r="M245" s="1607"/>
      <c r="N245" s="1607"/>
      <c r="O245" s="1607"/>
    </row>
    <row r="246" customFormat="false" ht="12.75" hidden="false" customHeight="true" outlineLevel="0" collapsed="false">
      <c r="A246" s="1624" t="s">
        <v>411</v>
      </c>
      <c r="B246" s="1650" t="n">
        <f aca="false">'Saisie et Calculateur'!C326</f>
        <v>0</v>
      </c>
      <c r="C246" s="506" t="n">
        <v>3.5</v>
      </c>
      <c r="D246" s="1651" t="n">
        <f aca="false">B246*C246</f>
        <v>0</v>
      </c>
      <c r="E246" s="1627" t="n">
        <v>7</v>
      </c>
      <c r="F246" s="1607"/>
      <c r="G246" s="1607"/>
      <c r="H246" s="1607"/>
      <c r="I246" s="1607"/>
      <c r="J246" s="1628"/>
      <c r="K246" s="1628"/>
      <c r="L246" s="1701"/>
      <c r="M246" s="1607"/>
      <c r="N246" s="1607"/>
      <c r="O246" s="1607"/>
    </row>
    <row r="247" customFormat="false" ht="12.75" hidden="false" customHeight="true" outlineLevel="0" collapsed="false">
      <c r="A247" s="1624" t="s">
        <v>412</v>
      </c>
      <c r="B247" s="1650" t="n">
        <f aca="false">'Saisie et Calculateur'!C327</f>
        <v>0</v>
      </c>
      <c r="C247" s="506" t="n">
        <v>2.7</v>
      </c>
      <c r="D247" s="1651" t="n">
        <f aca="false">B247*C247</f>
        <v>0</v>
      </c>
      <c r="E247" s="1627" t="n">
        <v>7</v>
      </c>
      <c r="F247" s="1607"/>
      <c r="G247" s="1607"/>
      <c r="H247" s="1607"/>
      <c r="I247" s="1607"/>
      <c r="J247" s="1628"/>
      <c r="K247" s="1628"/>
      <c r="L247" s="1701"/>
      <c r="M247" s="1607"/>
      <c r="N247" s="1607"/>
      <c r="O247" s="1607"/>
    </row>
    <row r="248" customFormat="false" ht="12.75" hidden="false" customHeight="true" outlineLevel="0" collapsed="false">
      <c r="A248" s="1624" t="s">
        <v>413</v>
      </c>
      <c r="B248" s="1650" t="n">
        <f aca="false">'Saisie et Calculateur'!C328</f>
        <v>0</v>
      </c>
      <c r="C248" s="506" t="n">
        <v>1.6</v>
      </c>
      <c r="D248" s="1651" t="n">
        <f aca="false">B248*C248</f>
        <v>0</v>
      </c>
      <c r="E248" s="1627" t="n">
        <v>7</v>
      </c>
      <c r="F248" s="1607"/>
      <c r="G248" s="1607"/>
      <c r="H248" s="1607"/>
      <c r="I248" s="1607"/>
      <c r="J248" s="1628"/>
      <c r="K248" s="1628"/>
      <c r="L248" s="1701"/>
      <c r="M248" s="1607"/>
      <c r="N248" s="1607"/>
      <c r="O248" s="1607"/>
    </row>
    <row r="249" customFormat="false" ht="12.75" hidden="false" customHeight="true" outlineLevel="0" collapsed="false">
      <c r="A249" s="1624" t="s">
        <v>414</v>
      </c>
      <c r="B249" s="1650" t="n">
        <f aca="false">'Saisie et Calculateur'!C329</f>
        <v>0</v>
      </c>
      <c r="C249" s="506" t="n">
        <v>3</v>
      </c>
      <c r="D249" s="1651" t="n">
        <f aca="false">B249*C249</f>
        <v>0</v>
      </c>
      <c r="E249" s="1627" t="n">
        <v>7</v>
      </c>
      <c r="F249" s="1607"/>
      <c r="G249" s="1607"/>
      <c r="H249" s="1607"/>
      <c r="I249" s="1607"/>
      <c r="J249" s="1628"/>
      <c r="K249" s="1628"/>
      <c r="L249" s="1701"/>
      <c r="M249" s="1607"/>
      <c r="N249" s="1607"/>
      <c r="O249" s="1607"/>
    </row>
    <row r="250" customFormat="false" ht="25.5" hidden="false" customHeight="true" outlineLevel="0" collapsed="false">
      <c r="A250" s="1624" t="s">
        <v>415</v>
      </c>
      <c r="B250" s="1650" t="n">
        <f aca="false">'Saisie et Calculateur'!C330</f>
        <v>0</v>
      </c>
      <c r="C250" s="506" t="n">
        <v>0.4</v>
      </c>
      <c r="D250" s="1651" t="n">
        <f aca="false">B250*C250</f>
        <v>0</v>
      </c>
      <c r="E250" s="1627" t="n">
        <v>7</v>
      </c>
      <c r="F250" s="1607"/>
      <c r="G250" s="1607"/>
      <c r="H250" s="1607"/>
      <c r="I250" s="1607"/>
      <c r="J250" s="1628"/>
      <c r="K250" s="1628"/>
      <c r="L250" s="1701"/>
      <c r="M250" s="1607"/>
      <c r="N250" s="1607"/>
      <c r="O250" s="1607"/>
    </row>
    <row r="251" customFormat="false" ht="12.75" hidden="false" customHeight="true" outlineLevel="0" collapsed="false">
      <c r="A251" s="1624" t="s">
        <v>416</v>
      </c>
      <c r="B251" s="1650" t="n">
        <f aca="false">'Saisie et Calculateur'!C331</f>
        <v>0</v>
      </c>
      <c r="C251" s="506" t="n">
        <v>6.8</v>
      </c>
      <c r="D251" s="1651" t="n">
        <f aca="false">B251*C251</f>
        <v>0</v>
      </c>
      <c r="E251" s="1627" t="n">
        <v>7</v>
      </c>
      <c r="F251" s="1607"/>
      <c r="G251" s="1607"/>
      <c r="H251" s="1607"/>
      <c r="I251" s="1607"/>
      <c r="J251" s="1628"/>
      <c r="K251" s="1628"/>
      <c r="L251" s="1701"/>
      <c r="M251" s="1607"/>
      <c r="N251" s="1607"/>
      <c r="O251" s="1607"/>
    </row>
    <row r="252" customFormat="false" ht="12.75" hidden="false" customHeight="true" outlineLevel="0" collapsed="false">
      <c r="A252" s="1624" t="s">
        <v>417</v>
      </c>
      <c r="B252" s="1650" t="n">
        <f aca="false">'Saisie et Calculateur'!C332</f>
        <v>0</v>
      </c>
      <c r="C252" s="506" t="n">
        <v>22</v>
      </c>
      <c r="D252" s="1651" t="n">
        <f aca="false">B252*C252</f>
        <v>0</v>
      </c>
      <c r="E252" s="1627" t="n">
        <v>7</v>
      </c>
      <c r="F252" s="1607"/>
      <c r="G252" s="1607"/>
      <c r="H252" s="1607"/>
      <c r="I252" s="1607"/>
      <c r="J252" s="1628"/>
      <c r="K252" s="1628"/>
      <c r="L252" s="1701"/>
      <c r="M252" s="1607"/>
      <c r="N252" s="1607"/>
      <c r="O252" s="1607"/>
    </row>
    <row r="253" customFormat="false" ht="25.5" hidden="false" customHeight="true" outlineLevel="0" collapsed="false">
      <c r="A253" s="1624" t="s">
        <v>418</v>
      </c>
      <c r="B253" s="1650" t="n">
        <f aca="false">'Saisie et Calculateur'!C333</f>
        <v>0</v>
      </c>
      <c r="C253" s="506" t="n">
        <v>40</v>
      </c>
      <c r="D253" s="1651" t="n">
        <f aca="false">B253*C253</f>
        <v>0</v>
      </c>
      <c r="E253" s="1627" t="n">
        <v>7</v>
      </c>
      <c r="F253" s="1607"/>
      <c r="G253" s="1607"/>
      <c r="H253" s="1607"/>
      <c r="I253" s="1607"/>
      <c r="J253" s="1628"/>
      <c r="K253" s="1628"/>
      <c r="L253" s="1701"/>
      <c r="M253" s="1607"/>
      <c r="N253" s="1607"/>
      <c r="O253" s="1607"/>
    </row>
    <row r="254" customFormat="false" ht="25.5" hidden="false" customHeight="true" outlineLevel="0" collapsed="false">
      <c r="A254" s="1624" t="s">
        <v>419</v>
      </c>
      <c r="B254" s="1650" t="n">
        <f aca="false">'Saisie et Calculateur'!C334</f>
        <v>0</v>
      </c>
      <c r="C254" s="506" t="n">
        <v>22</v>
      </c>
      <c r="D254" s="1651" t="n">
        <f aca="false">B254*C254</f>
        <v>0</v>
      </c>
      <c r="E254" s="1627" t="n">
        <v>7</v>
      </c>
      <c r="F254" s="1607"/>
      <c r="G254" s="1607"/>
      <c r="H254" s="1607"/>
      <c r="I254" s="1607"/>
      <c r="J254" s="1628"/>
      <c r="K254" s="1628"/>
      <c r="L254" s="1701"/>
      <c r="M254" s="1607"/>
      <c r="N254" s="1607"/>
      <c r="O254" s="1607"/>
    </row>
    <row r="255" customFormat="false" ht="25.5" hidden="false" customHeight="true" outlineLevel="0" collapsed="false">
      <c r="A255" s="1624" t="s">
        <v>420</v>
      </c>
      <c r="B255" s="1650" t="n">
        <f aca="false">'Saisie et Calculateur'!C335</f>
        <v>0</v>
      </c>
      <c r="C255" s="506" t="n">
        <v>9.6</v>
      </c>
      <c r="D255" s="1651" t="n">
        <f aca="false">B255*C255</f>
        <v>0</v>
      </c>
      <c r="E255" s="1627" t="n">
        <v>7</v>
      </c>
      <c r="F255" s="1607"/>
      <c r="G255" s="1607"/>
      <c r="H255" s="1607"/>
      <c r="I255" s="1607"/>
      <c r="J255" s="1628"/>
      <c r="K255" s="1628"/>
      <c r="L255" s="1701"/>
      <c r="M255" s="1607"/>
      <c r="N255" s="1607"/>
      <c r="O255" s="1607"/>
    </row>
    <row r="256" customFormat="false" ht="25.5" hidden="false" customHeight="true" outlineLevel="0" collapsed="false">
      <c r="A256" s="1624" t="s">
        <v>421</v>
      </c>
      <c r="B256" s="1650" t="n">
        <f aca="false">'Saisie et Calculateur'!C336</f>
        <v>0</v>
      </c>
      <c r="C256" s="506" t="n">
        <v>4.3</v>
      </c>
      <c r="D256" s="1651" t="n">
        <f aca="false">B256*C256</f>
        <v>0</v>
      </c>
      <c r="E256" s="1627" t="n">
        <v>7</v>
      </c>
      <c r="F256" s="1607"/>
      <c r="G256" s="1607"/>
      <c r="H256" s="1607"/>
      <c r="I256" s="1607"/>
      <c r="J256" s="1628"/>
      <c r="K256" s="1628"/>
      <c r="L256" s="1701"/>
      <c r="M256" s="1607"/>
      <c r="N256" s="1607"/>
      <c r="O256" s="1607"/>
    </row>
    <row r="257" customFormat="false" ht="25.5" hidden="false" customHeight="true" outlineLevel="0" collapsed="false">
      <c r="A257" s="1624" t="s">
        <v>422</v>
      </c>
      <c r="B257" s="1650" t="n">
        <f aca="false">'Saisie et Calculateur'!C337</f>
        <v>0</v>
      </c>
      <c r="C257" s="506" t="n">
        <v>7.2</v>
      </c>
      <c r="D257" s="1651" t="n">
        <f aca="false">B257*C257</f>
        <v>0</v>
      </c>
      <c r="E257" s="1627" t="n">
        <v>7</v>
      </c>
      <c r="F257" s="1607"/>
      <c r="G257" s="1607"/>
      <c r="H257" s="1607"/>
      <c r="I257" s="1607"/>
      <c r="J257" s="1628"/>
      <c r="K257" s="1628"/>
      <c r="L257" s="1701"/>
      <c r="M257" s="1607"/>
      <c r="N257" s="1607"/>
      <c r="O257" s="1607"/>
    </row>
    <row r="258" customFormat="false" ht="25.5" hidden="false" customHeight="true" outlineLevel="0" collapsed="false">
      <c r="A258" s="1624" t="s">
        <v>423</v>
      </c>
      <c r="B258" s="1650" t="n">
        <f aca="false">'Saisie et Calculateur'!C338</f>
        <v>0</v>
      </c>
      <c r="C258" s="506" t="n">
        <v>9.1</v>
      </c>
      <c r="D258" s="1651" t="n">
        <f aca="false">B258*C258</f>
        <v>0</v>
      </c>
      <c r="E258" s="1627" t="n">
        <v>7</v>
      </c>
      <c r="F258" s="1607"/>
      <c r="G258" s="1607"/>
      <c r="H258" s="1607"/>
      <c r="I258" s="1607"/>
      <c r="J258" s="1628"/>
      <c r="K258" s="1628"/>
      <c r="L258" s="1701"/>
      <c r="M258" s="1607"/>
      <c r="N258" s="1607"/>
      <c r="O258" s="1607"/>
    </row>
    <row r="259" customFormat="false" ht="25.5" hidden="false" customHeight="true" outlineLevel="0" collapsed="false">
      <c r="A259" s="1624" t="s">
        <v>426</v>
      </c>
      <c r="B259" s="1650" t="n">
        <f aca="false">'Saisie et Calculateur'!C341</f>
        <v>0</v>
      </c>
      <c r="C259" s="506" t="n">
        <v>5.5</v>
      </c>
      <c r="D259" s="1651" t="n">
        <f aca="false">B259*C259</f>
        <v>0</v>
      </c>
      <c r="E259" s="1627" t="n">
        <v>0</v>
      </c>
      <c r="F259" s="1607"/>
      <c r="G259" s="1607"/>
      <c r="H259" s="1607"/>
      <c r="I259" s="1607"/>
      <c r="J259" s="1628"/>
      <c r="K259" s="1628"/>
      <c r="L259" s="1701"/>
      <c r="M259" s="1607"/>
      <c r="N259" s="1607"/>
      <c r="O259" s="1607"/>
    </row>
    <row r="260" customFormat="false" ht="25.5" hidden="false" customHeight="true" outlineLevel="0" collapsed="false">
      <c r="A260" s="1624" t="s">
        <v>427</v>
      </c>
      <c r="B260" s="1650" t="n">
        <f aca="false">'Saisie et Calculateur'!C342</f>
        <v>0</v>
      </c>
      <c r="C260" s="506" t="n">
        <v>18</v>
      </c>
      <c r="D260" s="1651" t="n">
        <f aca="false">B260*C260</f>
        <v>0</v>
      </c>
      <c r="E260" s="1627" t="n">
        <v>0</v>
      </c>
      <c r="F260" s="1607"/>
      <c r="G260" s="1607"/>
      <c r="H260" s="1607"/>
      <c r="I260" s="1607"/>
      <c r="J260" s="1628"/>
      <c r="K260" s="1628"/>
      <c r="L260" s="1701"/>
      <c r="M260" s="1607"/>
      <c r="N260" s="1607"/>
      <c r="O260" s="1607"/>
    </row>
    <row r="261" customFormat="false" ht="12.75" hidden="false" customHeight="true" outlineLevel="0" collapsed="false">
      <c r="A261" s="1624" t="s">
        <v>428</v>
      </c>
      <c r="B261" s="1650" t="n">
        <f aca="false">'Saisie et Calculateur'!C343</f>
        <v>0</v>
      </c>
      <c r="C261" s="506" t="n">
        <v>8</v>
      </c>
      <c r="D261" s="1651" t="n">
        <f aca="false">B261*C261</f>
        <v>0</v>
      </c>
      <c r="E261" s="1627" t="n">
        <v>0</v>
      </c>
      <c r="F261" s="1607"/>
      <c r="G261" s="1607"/>
      <c r="H261" s="1607"/>
      <c r="I261" s="1607"/>
      <c r="J261" s="1628"/>
      <c r="K261" s="1628"/>
      <c r="L261" s="1701"/>
      <c r="M261" s="1607"/>
      <c r="N261" s="1607"/>
      <c r="O261" s="1607"/>
    </row>
    <row r="262" customFormat="false" ht="25.5" hidden="false" customHeight="true" outlineLevel="0" collapsed="false">
      <c r="A262" s="1624" t="s">
        <v>429</v>
      </c>
      <c r="B262" s="1650" t="n">
        <f aca="false">'Saisie et Calculateur'!C344</f>
        <v>0</v>
      </c>
      <c r="C262" s="506" t="n">
        <v>20</v>
      </c>
      <c r="D262" s="1651" t="n">
        <f aca="false">B262*C262</f>
        <v>0</v>
      </c>
      <c r="E262" s="1627" t="n">
        <v>0</v>
      </c>
      <c r="F262" s="1607"/>
      <c r="G262" s="1607"/>
      <c r="H262" s="1607"/>
      <c r="I262" s="1607"/>
      <c r="J262" s="1628"/>
      <c r="K262" s="1628"/>
      <c r="L262" s="1701"/>
      <c r="M262" s="1607"/>
      <c r="N262" s="1607"/>
      <c r="O262" s="1607"/>
    </row>
    <row r="263" customFormat="false" ht="25.5" hidden="false" customHeight="true" outlineLevel="0" collapsed="false">
      <c r="A263" s="1624" t="s">
        <v>430</v>
      </c>
      <c r="B263" s="1650" t="n">
        <f aca="false">'Saisie et Calculateur'!C345</f>
        <v>0</v>
      </c>
      <c r="C263" s="506" t="n">
        <v>15</v>
      </c>
      <c r="D263" s="1651" t="n">
        <f aca="false">B263*C263</f>
        <v>0</v>
      </c>
      <c r="E263" s="1627" t="n">
        <v>0</v>
      </c>
      <c r="F263" s="1607"/>
      <c r="G263" s="1607"/>
      <c r="H263" s="1607"/>
      <c r="I263" s="1607"/>
      <c r="J263" s="1628"/>
      <c r="K263" s="1628"/>
      <c r="L263" s="1731"/>
      <c r="M263" s="1715"/>
      <c r="N263" s="1607"/>
      <c r="O263" s="1607"/>
    </row>
    <row r="264" customFormat="false" ht="25.5" hidden="false" customHeight="true" outlineLevel="0" collapsed="false">
      <c r="A264" s="1624" t="s">
        <v>1203</v>
      </c>
      <c r="B264" s="1650" t="n">
        <f aca="false">'Saisie et Calculateur'!C346</f>
        <v>0</v>
      </c>
      <c r="C264" s="506" t="n">
        <v>10</v>
      </c>
      <c r="D264" s="1651" t="n">
        <f aca="false">B264*C264</f>
        <v>0</v>
      </c>
      <c r="E264" s="1627" t="n">
        <v>0</v>
      </c>
      <c r="F264" s="1607"/>
      <c r="G264" s="1607"/>
      <c r="H264" s="1607"/>
      <c r="I264" s="1607"/>
      <c r="J264" s="1628"/>
      <c r="K264" s="1628"/>
      <c r="L264" s="1701"/>
      <c r="M264" s="1607"/>
      <c r="N264" s="1607"/>
      <c r="O264" s="1607"/>
    </row>
    <row r="265" customFormat="false" ht="25.5" hidden="false" customHeight="true" outlineLevel="0" collapsed="false">
      <c r="A265" s="1624" t="s">
        <v>432</v>
      </c>
      <c r="B265" s="1650" t="n">
        <f aca="false">'Saisie et Calculateur'!C347</f>
        <v>0</v>
      </c>
      <c r="C265" s="506" t="n">
        <v>6.5</v>
      </c>
      <c r="D265" s="1651" t="n">
        <f aca="false">B265*C265</f>
        <v>0</v>
      </c>
      <c r="E265" s="1627" t="n">
        <v>0</v>
      </c>
      <c r="F265" s="1607"/>
      <c r="G265" s="1607"/>
      <c r="H265" s="1607"/>
      <c r="I265" s="1607"/>
      <c r="J265" s="1628"/>
      <c r="K265" s="1628"/>
      <c r="L265" s="1604"/>
      <c r="M265" s="1607"/>
      <c r="N265" s="1607"/>
      <c r="O265" s="1607"/>
    </row>
    <row r="266" customFormat="false" ht="25.5" hidden="false" customHeight="true" outlineLevel="0" collapsed="false">
      <c r="A266" s="1624" t="s">
        <v>433</v>
      </c>
      <c r="B266" s="1650" t="n">
        <f aca="false">'Saisie et Calculateur'!C348</f>
        <v>0</v>
      </c>
      <c r="C266" s="506" t="n">
        <v>7.6</v>
      </c>
      <c r="D266" s="1651" t="n">
        <f aca="false">B266*C266</f>
        <v>0</v>
      </c>
      <c r="E266" s="1627" t="n">
        <v>5</v>
      </c>
      <c r="F266" s="1607"/>
      <c r="G266" s="1607"/>
      <c r="H266" s="1607"/>
      <c r="I266" s="1607"/>
      <c r="J266" s="1628"/>
      <c r="K266" s="1628"/>
      <c r="L266" s="1604"/>
      <c r="M266" s="1607"/>
      <c r="N266" s="1607"/>
      <c r="O266" s="1607"/>
    </row>
    <row r="267" customFormat="false" ht="25.5" hidden="false" customHeight="true" outlineLevel="0" collapsed="false">
      <c r="A267" s="1624" t="s">
        <v>434</v>
      </c>
      <c r="B267" s="1650" t="n">
        <f aca="false">'Saisie et Calculateur'!C349</f>
        <v>0</v>
      </c>
      <c r="C267" s="506" t="n">
        <v>11</v>
      </c>
      <c r="D267" s="1651" t="n">
        <f aca="false">B267*C267</f>
        <v>0</v>
      </c>
      <c r="E267" s="1627" t="n">
        <v>5</v>
      </c>
      <c r="F267" s="1607"/>
      <c r="G267" s="1607"/>
      <c r="H267" s="1607"/>
      <c r="I267" s="1607"/>
      <c r="J267" s="1628"/>
      <c r="K267" s="1628"/>
      <c r="L267" s="1604"/>
      <c r="M267" s="1607"/>
      <c r="N267" s="1607"/>
      <c r="O267" s="1607"/>
    </row>
    <row r="268" customFormat="false" ht="12.75" hidden="false" customHeight="true" outlineLevel="0" collapsed="false">
      <c r="A268" s="1624" t="s">
        <v>435</v>
      </c>
      <c r="B268" s="1650" t="n">
        <f aca="false">'Saisie et Calculateur'!C350</f>
        <v>0</v>
      </c>
      <c r="C268" s="506" t="n">
        <v>20</v>
      </c>
      <c r="D268" s="1651" t="n">
        <f aca="false">B268*C268</f>
        <v>0</v>
      </c>
      <c r="E268" s="1627" t="n">
        <v>0</v>
      </c>
      <c r="F268" s="1607"/>
      <c r="G268" s="1607"/>
      <c r="H268" s="1607"/>
      <c r="I268" s="1607"/>
      <c r="J268" s="1628"/>
      <c r="K268" s="1628"/>
      <c r="L268" s="1604"/>
      <c r="M268" s="1607"/>
      <c r="N268" s="1607"/>
      <c r="O268" s="1607"/>
    </row>
    <row r="269" customFormat="false" ht="38.25" hidden="false" customHeight="true" outlineLevel="0" collapsed="false">
      <c r="A269" s="1624" t="s">
        <v>1842</v>
      </c>
      <c r="B269" s="1650" t="n">
        <f aca="false">'Saisie et Calculateur'!C351</f>
        <v>0</v>
      </c>
      <c r="C269" s="506" t="n">
        <v>15</v>
      </c>
      <c r="D269" s="1651" t="n">
        <f aca="false">B269*C269</f>
        <v>0</v>
      </c>
      <c r="E269" s="1627" t="n">
        <v>0</v>
      </c>
      <c r="F269" s="1607"/>
      <c r="G269" s="1607"/>
      <c r="H269" s="1607"/>
      <c r="I269" s="1607"/>
      <c r="J269" s="1628"/>
      <c r="K269" s="1628"/>
      <c r="L269" s="1604"/>
      <c r="M269" s="1607"/>
      <c r="N269" s="1607"/>
      <c r="O269" s="1607"/>
    </row>
    <row r="270" customFormat="false" ht="12.75" hidden="false" customHeight="true" outlineLevel="0" collapsed="false">
      <c r="A270" s="1657" t="s">
        <v>437</v>
      </c>
      <c r="B270" s="1650" t="n">
        <f aca="false">'Saisie et Calculateur'!C352</f>
        <v>0</v>
      </c>
      <c r="C270" s="1732" t="n">
        <v>27.5</v>
      </c>
      <c r="D270" s="1651" t="n">
        <f aca="false">B270*C270</f>
        <v>0</v>
      </c>
      <c r="E270" s="1627" t="n">
        <v>6</v>
      </c>
      <c r="F270" s="1607"/>
      <c r="G270" s="1607"/>
      <c r="H270" s="1607"/>
      <c r="I270" s="1607"/>
      <c r="J270" s="1628"/>
      <c r="K270" s="1628"/>
      <c r="L270" s="1604"/>
      <c r="M270" s="1607"/>
      <c r="N270" s="1607"/>
      <c r="O270" s="1607"/>
    </row>
    <row r="271" customFormat="false" ht="12.75" hidden="false" customHeight="true" outlineLevel="0" collapsed="false">
      <c r="A271" s="1607"/>
      <c r="B271" s="1607"/>
      <c r="C271" s="1607"/>
      <c r="D271" s="1607"/>
      <c r="E271" s="1607"/>
      <c r="F271" s="1607"/>
      <c r="G271" s="1607"/>
      <c r="H271" s="1607"/>
      <c r="I271" s="1607"/>
      <c r="J271" s="1628"/>
      <c r="K271" s="1628"/>
      <c r="L271" s="1604"/>
      <c r="M271" s="1607"/>
      <c r="N271" s="1607"/>
      <c r="O271" s="1607"/>
    </row>
    <row r="272" customFormat="false" ht="12.75" hidden="false" customHeight="true" outlineLevel="0" collapsed="false">
      <c r="A272" s="1607"/>
      <c r="B272" s="1635" t="s">
        <v>1825</v>
      </c>
      <c r="C272" s="1636" t="s">
        <v>540</v>
      </c>
      <c r="D272" s="770" t="n">
        <f aca="false">SUM(D242:D270)</f>
        <v>0</v>
      </c>
      <c r="E272" s="1607"/>
      <c r="F272" s="1607"/>
      <c r="G272" s="1607"/>
      <c r="H272" s="1607"/>
      <c r="I272" s="1607"/>
      <c r="J272" s="1628"/>
      <c r="K272" s="1628"/>
      <c r="L272" s="1604"/>
      <c r="M272" s="1607"/>
      <c r="N272" s="1607"/>
      <c r="O272" s="1607"/>
    </row>
    <row r="273" customFormat="false" ht="12.75" hidden="false" customHeight="true" outlineLevel="0" collapsed="false">
      <c r="A273" s="1604"/>
      <c r="B273" s="1607"/>
      <c r="C273" s="1607"/>
      <c r="D273" s="1607"/>
      <c r="E273" s="1607"/>
      <c r="F273" s="1607"/>
      <c r="G273" s="1607"/>
      <c r="H273" s="1607"/>
      <c r="I273" s="1607"/>
      <c r="J273" s="1628"/>
      <c r="K273" s="1628"/>
      <c r="L273" s="1607"/>
      <c r="M273" s="1607"/>
      <c r="N273" s="1607"/>
      <c r="O273" s="1607"/>
    </row>
    <row r="274" customFormat="false" ht="12.75" hidden="false" customHeight="true" outlineLevel="0" collapsed="false">
      <c r="A274" s="1607"/>
      <c r="B274" s="1607"/>
      <c r="C274" s="1607"/>
      <c r="D274" s="1607"/>
      <c r="E274" s="1607"/>
      <c r="F274" s="1607"/>
      <c r="G274" s="1607"/>
      <c r="H274" s="1607"/>
      <c r="I274" s="1607"/>
      <c r="J274" s="1628"/>
      <c r="K274" s="1628"/>
      <c r="L274" s="1607"/>
      <c r="M274" s="1607"/>
      <c r="N274" s="1607"/>
      <c r="O274" s="1607"/>
    </row>
    <row r="275" customFormat="false" ht="12.75" hidden="false" customHeight="true" outlineLevel="0" collapsed="false">
      <c r="A275" s="1604"/>
      <c r="B275" s="1604"/>
      <c r="C275" s="1604"/>
      <c r="D275" s="1604"/>
      <c r="E275" s="1604"/>
      <c r="F275" s="1604"/>
      <c r="G275" s="1604"/>
      <c r="H275" s="1604"/>
      <c r="I275" s="1604"/>
      <c r="J275" s="1604"/>
      <c r="K275" s="1604"/>
      <c r="L275" s="1604"/>
      <c r="M275" s="1607"/>
      <c r="N275" s="1607"/>
      <c r="O275" s="1607"/>
    </row>
    <row r="276" customFormat="false" ht="20.25" hidden="false" customHeight="true" outlineLevel="0" collapsed="false">
      <c r="A276" s="1613" t="s">
        <v>1901</v>
      </c>
      <c r="B276" s="1613"/>
      <c r="C276" s="1613"/>
      <c r="D276" s="1613"/>
      <c r="E276" s="1613"/>
      <c r="F276" s="1613"/>
      <c r="G276" s="1613"/>
      <c r="H276" s="1613"/>
      <c r="I276" s="1613"/>
      <c r="J276" s="1604"/>
      <c r="K276" s="1604"/>
      <c r="L276" s="1604"/>
      <c r="M276" s="1607"/>
      <c r="N276" s="1607"/>
      <c r="O276" s="1607"/>
    </row>
    <row r="277" customFormat="false" ht="12.75" hidden="false" customHeight="true" outlineLevel="0" collapsed="false">
      <c r="A277" s="1604"/>
      <c r="B277" s="1604"/>
      <c r="C277" s="1604"/>
      <c r="D277" s="1604"/>
      <c r="E277" s="1604"/>
      <c r="F277" s="1604"/>
      <c r="G277" s="1604"/>
      <c r="H277" s="1604"/>
      <c r="I277" s="1604"/>
      <c r="J277" s="1604"/>
      <c r="K277" s="1604"/>
      <c r="L277" s="1604"/>
      <c r="M277" s="1607"/>
      <c r="N277" s="1607"/>
      <c r="O277" s="1607"/>
    </row>
    <row r="278" customFormat="false" ht="12.75" hidden="false" customHeight="true" outlineLevel="0" collapsed="false">
      <c r="A278" s="1733"/>
      <c r="B278" s="1734"/>
      <c r="C278" s="1734"/>
      <c r="D278" s="1734"/>
      <c r="E278" s="1735"/>
      <c r="F278" s="1734"/>
      <c r="G278" s="1736"/>
      <c r="H278" s="1607"/>
      <c r="I278" s="1607"/>
      <c r="J278" s="1607"/>
      <c r="K278" s="1607"/>
      <c r="L278" s="1604"/>
      <c r="M278" s="1607"/>
      <c r="N278" s="1607"/>
      <c r="O278" s="1607"/>
    </row>
    <row r="279" customFormat="false" ht="25.5" hidden="false" customHeight="true" outlineLevel="0" collapsed="false">
      <c r="A279" s="1737" t="s">
        <v>1902</v>
      </c>
      <c r="B279" s="479" t="s">
        <v>403</v>
      </c>
      <c r="C279" s="1635" t="s">
        <v>395</v>
      </c>
      <c r="D279" s="479" t="s">
        <v>395</v>
      </c>
      <c r="E279" s="1618" t="s">
        <v>1822</v>
      </c>
      <c r="F279" s="1604"/>
      <c r="G279" s="1607"/>
      <c r="H279" s="1607"/>
      <c r="I279" s="1607"/>
      <c r="J279" s="1607"/>
      <c r="K279" s="1607"/>
      <c r="L279" s="1607"/>
      <c r="M279" s="1607"/>
      <c r="N279" s="1607"/>
      <c r="O279" s="1607"/>
    </row>
    <row r="280" customFormat="false" ht="25.5" hidden="false" customHeight="true" outlineLevel="0" collapsed="false">
      <c r="A280" s="1737"/>
      <c r="B280" s="1636" t="s">
        <v>1903</v>
      </c>
      <c r="C280" s="1708" t="s">
        <v>1881</v>
      </c>
      <c r="D280" s="1708" t="s">
        <v>1202</v>
      </c>
      <c r="E280" s="1623"/>
      <c r="F280" s="1604"/>
      <c r="G280" s="1607"/>
      <c r="H280" s="1661"/>
      <c r="I280" s="1607"/>
      <c r="J280" s="1607"/>
      <c r="K280" s="1607"/>
      <c r="L280" s="1607"/>
      <c r="M280" s="1607"/>
      <c r="N280" s="1607"/>
      <c r="O280" s="1607"/>
    </row>
    <row r="281" customFormat="false" ht="14.25" hidden="false" customHeight="true" outlineLevel="0" collapsed="false">
      <c r="A281" s="1738" t="s">
        <v>331</v>
      </c>
      <c r="B281" s="1739" t="n">
        <f aca="false">'Saisie et Calculateur'!J251</f>
        <v>0</v>
      </c>
      <c r="C281" s="1740" t="n">
        <v>15.7</v>
      </c>
      <c r="D281" s="1741" t="n">
        <f aca="false">B281*C281</f>
        <v>0</v>
      </c>
      <c r="E281" s="1627" t="n">
        <v>0</v>
      </c>
      <c r="F281" s="1604"/>
      <c r="G281" s="1607"/>
      <c r="H281" s="1607"/>
      <c r="I281" s="1607"/>
      <c r="J281" s="1607"/>
      <c r="K281" s="1607"/>
      <c r="L281" s="1607"/>
      <c r="M281" s="1607"/>
      <c r="N281" s="1607"/>
      <c r="O281" s="1607"/>
    </row>
    <row r="282" customFormat="false" ht="14.25" hidden="false" customHeight="true" outlineLevel="0" collapsed="false">
      <c r="A282" s="1738" t="s">
        <v>332</v>
      </c>
      <c r="B282" s="1739" t="n">
        <f aca="false">'Saisie et Calculateur'!J252</f>
        <v>0</v>
      </c>
      <c r="C282" s="1740" t="n">
        <v>15.5</v>
      </c>
      <c r="D282" s="1741" t="n">
        <f aca="false">B282*C282</f>
        <v>0</v>
      </c>
      <c r="E282" s="1627" t="n">
        <v>0</v>
      </c>
      <c r="F282" s="1604"/>
      <c r="G282" s="1607"/>
      <c r="H282" s="1607"/>
      <c r="I282" s="1607"/>
      <c r="J282" s="1607"/>
      <c r="K282" s="1607"/>
      <c r="L282" s="1607"/>
      <c r="M282" s="1607"/>
      <c r="N282" s="1607"/>
      <c r="O282" s="1607"/>
    </row>
    <row r="283" customFormat="false" ht="14.25" hidden="false" customHeight="true" outlineLevel="0" collapsed="false">
      <c r="A283" s="1738" t="s">
        <v>333</v>
      </c>
      <c r="B283" s="1739" t="n">
        <f aca="false">'Saisie et Calculateur'!J253</f>
        <v>0</v>
      </c>
      <c r="C283" s="1740" t="n">
        <v>21.9</v>
      </c>
      <c r="D283" s="1741" t="n">
        <f aca="false">B283*C283</f>
        <v>0</v>
      </c>
      <c r="E283" s="1627" t="n">
        <v>0</v>
      </c>
      <c r="F283" s="1604"/>
      <c r="G283" s="1607"/>
      <c r="H283" s="1607"/>
      <c r="I283" s="1607"/>
      <c r="J283" s="1607"/>
      <c r="K283" s="1607"/>
      <c r="L283" s="1607"/>
      <c r="M283" s="1607"/>
      <c r="N283" s="1607"/>
      <c r="O283" s="1607"/>
    </row>
    <row r="284" customFormat="false" ht="14.25" hidden="false" customHeight="true" outlineLevel="0" collapsed="false">
      <c r="A284" s="1738" t="s">
        <v>334</v>
      </c>
      <c r="B284" s="1739" t="n">
        <f aca="false">'Saisie et Calculateur'!J254</f>
        <v>0</v>
      </c>
      <c r="C284" s="1740" t="n">
        <v>33.3</v>
      </c>
      <c r="D284" s="1741" t="n">
        <f aca="false">B284*C284</f>
        <v>0</v>
      </c>
      <c r="E284" s="1623" t="n">
        <v>4</v>
      </c>
      <c r="F284" s="1604"/>
      <c r="G284" s="1607"/>
      <c r="H284" s="1607"/>
      <c r="I284" s="1607"/>
      <c r="J284" s="1607"/>
      <c r="K284" s="1607"/>
      <c r="L284" s="1607"/>
      <c r="M284" s="1607"/>
      <c r="N284" s="1607"/>
      <c r="O284" s="1607"/>
    </row>
    <row r="285" customFormat="false" ht="14.25" hidden="false" customHeight="true" outlineLevel="0" collapsed="false">
      <c r="A285" s="1738" t="s">
        <v>335</v>
      </c>
      <c r="B285" s="1739" t="n">
        <f aca="false">'Saisie et Calculateur'!J255</f>
        <v>0</v>
      </c>
      <c r="C285" s="1740" t="n">
        <v>13</v>
      </c>
      <c r="D285" s="1741" t="n">
        <f aca="false">B285*C285</f>
        <v>0</v>
      </c>
      <c r="E285" s="1627" t="n">
        <v>0</v>
      </c>
      <c r="F285" s="1701"/>
      <c r="G285" s="1607"/>
      <c r="H285" s="1607"/>
      <c r="I285" s="1607"/>
      <c r="J285" s="1607"/>
      <c r="K285" s="1607"/>
      <c r="L285" s="1607"/>
      <c r="M285" s="1607"/>
      <c r="N285" s="1607"/>
      <c r="O285" s="1607"/>
    </row>
    <row r="286" customFormat="false" ht="14.25" hidden="false" customHeight="true" outlineLevel="0" collapsed="false">
      <c r="A286" s="1738" t="s">
        <v>336</v>
      </c>
      <c r="B286" s="1739" t="n">
        <f aca="false">'Saisie et Calculateur'!J256</f>
        <v>0</v>
      </c>
      <c r="C286" s="1740" t="n">
        <v>13</v>
      </c>
      <c r="D286" s="1741" t="n">
        <f aca="false">B286*C286</f>
        <v>0</v>
      </c>
      <c r="E286" s="1627" t="n">
        <v>0</v>
      </c>
      <c r="F286" s="1701"/>
      <c r="G286" s="1607"/>
      <c r="H286" s="1607"/>
      <c r="I286" s="1607"/>
      <c r="J286" s="1607"/>
      <c r="K286" s="1607"/>
      <c r="L286" s="1607"/>
      <c r="M286" s="1607"/>
      <c r="N286" s="1607"/>
      <c r="O286" s="1607"/>
    </row>
    <row r="287" customFormat="false" ht="14.25" hidden="false" customHeight="true" outlineLevel="0" collapsed="false">
      <c r="A287" s="1738" t="s">
        <v>337</v>
      </c>
      <c r="B287" s="1739" t="n">
        <f aca="false">'Saisie et Calculateur'!J257</f>
        <v>0</v>
      </c>
      <c r="C287" s="1740" t="n">
        <v>16.6</v>
      </c>
      <c r="D287" s="1741" t="n">
        <f aca="false">B287*C287</f>
        <v>0</v>
      </c>
      <c r="E287" s="1627" t="n">
        <v>0</v>
      </c>
      <c r="F287" s="1701"/>
      <c r="G287" s="1607"/>
      <c r="H287" s="1607"/>
      <c r="I287" s="1607"/>
      <c r="J287" s="1607"/>
      <c r="K287" s="1607"/>
      <c r="L287" s="1607"/>
      <c r="M287" s="1607"/>
      <c r="N287" s="1607"/>
      <c r="O287" s="1607"/>
    </row>
    <row r="288" customFormat="false" ht="14.25" hidden="false" customHeight="true" outlineLevel="0" collapsed="false">
      <c r="A288" s="1738" t="s">
        <v>338</v>
      </c>
      <c r="B288" s="1739" t="n">
        <f aca="false">'Saisie et Calculateur'!J258</f>
        <v>0</v>
      </c>
      <c r="C288" s="1740" t="n">
        <v>15.7</v>
      </c>
      <c r="D288" s="1741" t="n">
        <f aca="false">B288*C288</f>
        <v>0</v>
      </c>
      <c r="E288" s="1627" t="n">
        <v>0</v>
      </c>
      <c r="F288" s="1701"/>
      <c r="G288" s="1607"/>
      <c r="H288" s="1607"/>
      <c r="I288" s="1607"/>
      <c r="J288" s="1607"/>
      <c r="K288" s="1607"/>
      <c r="L288" s="1607"/>
      <c r="M288" s="1607"/>
      <c r="N288" s="1607"/>
      <c r="O288" s="1607"/>
    </row>
    <row r="289" customFormat="false" ht="14.25" hidden="false" customHeight="true" outlineLevel="0" collapsed="false">
      <c r="A289" s="1738" t="s">
        <v>339</v>
      </c>
      <c r="B289" s="1739" t="n">
        <f aca="false">'Saisie et Calculateur'!J259</f>
        <v>0</v>
      </c>
      <c r="C289" s="1740" t="n">
        <v>34.5</v>
      </c>
      <c r="D289" s="1741" t="n">
        <f aca="false">B289*C289</f>
        <v>0</v>
      </c>
      <c r="E289" s="1627" t="n">
        <v>0</v>
      </c>
      <c r="F289" s="1701"/>
      <c r="G289" s="1607"/>
      <c r="H289" s="1607"/>
      <c r="I289" s="1607"/>
      <c r="J289" s="1607"/>
      <c r="K289" s="1607"/>
      <c r="L289" s="1607"/>
      <c r="M289" s="1607"/>
      <c r="N289" s="1607"/>
      <c r="O289" s="1607"/>
    </row>
    <row r="290" customFormat="false" ht="14.25" hidden="false" customHeight="true" outlineLevel="0" collapsed="false">
      <c r="A290" s="1738" t="s">
        <v>340</v>
      </c>
      <c r="B290" s="1739" t="n">
        <f aca="false">'Saisie et Calculateur'!J260</f>
        <v>0</v>
      </c>
      <c r="C290" s="1740" t="n">
        <v>16.5</v>
      </c>
      <c r="D290" s="1741" t="n">
        <f aca="false">B290*C290</f>
        <v>0</v>
      </c>
      <c r="E290" s="1627" t="n">
        <v>0</v>
      </c>
      <c r="F290" s="1701"/>
      <c r="G290" s="1607"/>
      <c r="H290" s="1607"/>
      <c r="I290" s="1607"/>
      <c r="J290" s="1607"/>
      <c r="K290" s="1607"/>
      <c r="L290" s="1607"/>
      <c r="M290" s="1607"/>
      <c r="N290" s="1607"/>
      <c r="O290" s="1588"/>
    </row>
    <row r="291" customFormat="false" ht="14.25" hidden="false" customHeight="true" outlineLevel="0" collapsed="false">
      <c r="A291" s="1738" t="s">
        <v>341</v>
      </c>
      <c r="B291" s="1739" t="n">
        <f aca="false">'Saisie et Calculateur'!J261</f>
        <v>0</v>
      </c>
      <c r="C291" s="1740" t="n">
        <v>3.1</v>
      </c>
      <c r="D291" s="1741" t="n">
        <f aca="false">B291*C291</f>
        <v>0</v>
      </c>
      <c r="E291" s="1627" t="n">
        <v>0</v>
      </c>
      <c r="F291" s="1701"/>
      <c r="G291" s="1607"/>
      <c r="H291" s="1607"/>
      <c r="I291" s="1607"/>
      <c r="J291" s="1607"/>
      <c r="K291" s="1607"/>
      <c r="L291" s="1607"/>
      <c r="M291" s="1607"/>
      <c r="N291" s="1607"/>
      <c r="O291" s="1607"/>
    </row>
    <row r="292" customFormat="false" ht="14.25" hidden="false" customHeight="true" outlineLevel="0" collapsed="false">
      <c r="A292" s="1738" t="s">
        <v>1904</v>
      </c>
      <c r="B292" s="1739" t="n">
        <f aca="false">'Saisie et Calculateur'!J262</f>
        <v>0</v>
      </c>
      <c r="C292" s="1742"/>
      <c r="D292" s="1741" t="n">
        <f aca="false">B292*C292</f>
        <v>0</v>
      </c>
      <c r="E292" s="1627"/>
      <c r="F292" s="1701"/>
      <c r="G292" s="1607"/>
      <c r="H292" s="1607"/>
      <c r="I292" s="1607"/>
      <c r="J292" s="1607"/>
      <c r="K292" s="1607"/>
      <c r="L292" s="1607"/>
      <c r="M292" s="1607"/>
      <c r="N292" s="1607"/>
      <c r="O292" s="1607"/>
    </row>
    <row r="293" customFormat="false" ht="14.25" hidden="false" customHeight="true" outlineLevel="0" collapsed="false">
      <c r="A293" s="1738" t="s">
        <v>1154</v>
      </c>
      <c r="B293" s="1739" t="n">
        <f aca="false">'Saisie et Calculateur'!J263</f>
        <v>0</v>
      </c>
      <c r="C293" s="1742"/>
      <c r="D293" s="1741" t="n">
        <f aca="false">B293*C293</f>
        <v>0</v>
      </c>
      <c r="E293" s="1627"/>
      <c r="F293" s="1701"/>
      <c r="G293" s="1607"/>
      <c r="H293" s="1607"/>
      <c r="I293" s="1607"/>
      <c r="J293" s="1607"/>
      <c r="K293" s="1607"/>
      <c r="L293" s="1607"/>
      <c r="M293" s="1607"/>
      <c r="N293" s="1607"/>
      <c r="O293" s="1607"/>
    </row>
    <row r="294" customFormat="false" ht="14.25" hidden="false" customHeight="true" outlineLevel="0" collapsed="false">
      <c r="A294" s="1738" t="s">
        <v>1155</v>
      </c>
      <c r="B294" s="1739" t="n">
        <f aca="false">'Saisie et Calculateur'!J264</f>
        <v>0</v>
      </c>
      <c r="C294" s="1742"/>
      <c r="D294" s="1741" t="n">
        <f aca="false">B294*C294</f>
        <v>0</v>
      </c>
      <c r="E294" s="1627"/>
      <c r="F294" s="1701"/>
      <c r="G294" s="1607"/>
      <c r="H294" s="1607"/>
      <c r="I294" s="1607"/>
      <c r="J294" s="1607"/>
      <c r="K294" s="1607"/>
      <c r="L294" s="1607"/>
      <c r="M294" s="1607"/>
      <c r="N294" s="1607"/>
      <c r="O294" s="1607"/>
    </row>
    <row r="295" customFormat="false" ht="14.25" hidden="false" customHeight="true" outlineLevel="0" collapsed="false">
      <c r="A295" s="1738" t="s">
        <v>1156</v>
      </c>
      <c r="B295" s="1739" t="n">
        <f aca="false">'Saisie et Calculateur'!J265</f>
        <v>0</v>
      </c>
      <c r="C295" s="1742"/>
      <c r="D295" s="1741" t="n">
        <f aca="false">B295*C295</f>
        <v>0</v>
      </c>
      <c r="E295" s="1627" t="n">
        <v>0</v>
      </c>
      <c r="F295" s="1701"/>
      <c r="G295" s="1607"/>
      <c r="H295" s="1607"/>
      <c r="I295" s="1607"/>
      <c r="J295" s="1607"/>
      <c r="K295" s="1607"/>
      <c r="L295" s="1607"/>
      <c r="M295" s="1607"/>
      <c r="N295" s="1607"/>
      <c r="O295" s="1607"/>
    </row>
    <row r="296" customFormat="false" ht="14.25" hidden="false" customHeight="true" outlineLevel="0" collapsed="false">
      <c r="A296" s="1738" t="s">
        <v>1157</v>
      </c>
      <c r="B296" s="1739" t="n">
        <f aca="false">'Saisie et Calculateur'!J266</f>
        <v>0</v>
      </c>
      <c r="C296" s="1742"/>
      <c r="D296" s="1741" t="n">
        <f aca="false">B296*C296</f>
        <v>0</v>
      </c>
      <c r="E296" s="1627" t="n">
        <v>0</v>
      </c>
      <c r="F296" s="1701"/>
      <c r="G296" s="1607"/>
      <c r="H296" s="1607"/>
      <c r="I296" s="1607"/>
      <c r="J296" s="1607"/>
      <c r="K296" s="1607"/>
      <c r="L296" s="1607"/>
      <c r="M296" s="1607"/>
      <c r="N296" s="1607"/>
      <c r="O296" s="1607"/>
    </row>
    <row r="297" customFormat="false" ht="14.25" hidden="false" customHeight="true" outlineLevel="0" collapsed="false">
      <c r="A297" s="1738" t="s">
        <v>345</v>
      </c>
      <c r="B297" s="1739" t="n">
        <f aca="false">'Saisie et Calculateur'!J268</f>
        <v>0</v>
      </c>
      <c r="C297" s="1740" t="n">
        <v>32.9</v>
      </c>
      <c r="D297" s="1741" t="n">
        <f aca="false">B297*C297</f>
        <v>0</v>
      </c>
      <c r="E297" s="1627" t="n">
        <v>0</v>
      </c>
      <c r="F297" s="1701"/>
      <c r="G297" s="1607"/>
      <c r="H297" s="1607"/>
      <c r="I297" s="1607"/>
      <c r="J297" s="1607"/>
      <c r="K297" s="1607"/>
      <c r="L297" s="1607"/>
      <c r="M297" s="1607"/>
      <c r="N297" s="1607"/>
      <c r="O297" s="1607"/>
    </row>
    <row r="298" customFormat="false" ht="14.25" hidden="false" customHeight="true" outlineLevel="0" collapsed="false">
      <c r="A298" s="1738" t="s">
        <v>346</v>
      </c>
      <c r="B298" s="1739" t="n">
        <f aca="false">'Saisie et Calculateur'!J269</f>
        <v>0</v>
      </c>
      <c r="C298" s="1740" t="n">
        <v>35.5</v>
      </c>
      <c r="D298" s="1741" t="n">
        <f aca="false">B298*C298</f>
        <v>0</v>
      </c>
      <c r="E298" s="1627" t="n">
        <v>0</v>
      </c>
      <c r="F298" s="1701"/>
      <c r="G298" s="1607"/>
      <c r="H298" s="1607"/>
      <c r="I298" s="1607"/>
      <c r="J298" s="1607"/>
      <c r="K298" s="1607"/>
      <c r="L298" s="1607"/>
      <c r="M298" s="1607"/>
      <c r="N298" s="1607"/>
      <c r="O298" s="1607"/>
      <c r="Q298" s="1717"/>
      <c r="R298" s="1717"/>
      <c r="S298" s="1717"/>
    </row>
    <row r="299" customFormat="false" ht="14.25" hidden="false" customHeight="true" outlineLevel="0" collapsed="false">
      <c r="A299" s="1738" t="s">
        <v>347</v>
      </c>
      <c r="B299" s="1739" t="n">
        <f aca="false">'Saisie et Calculateur'!J270</f>
        <v>0</v>
      </c>
      <c r="C299" s="1740" t="n">
        <v>55.5</v>
      </c>
      <c r="D299" s="1741" t="n">
        <f aca="false">B299*C299</f>
        <v>0</v>
      </c>
      <c r="E299" s="1627" t="n">
        <v>0</v>
      </c>
      <c r="F299" s="1701"/>
      <c r="G299" s="1607"/>
      <c r="H299" s="1607"/>
      <c r="I299" s="1607"/>
      <c r="J299" s="1607"/>
      <c r="K299" s="1607"/>
      <c r="L299" s="1607"/>
      <c r="M299" s="1607"/>
      <c r="N299" s="1607"/>
      <c r="O299" s="1607"/>
    </row>
    <row r="300" customFormat="false" ht="14.25" hidden="false" customHeight="true" outlineLevel="0" collapsed="false">
      <c r="A300" s="1738" t="s">
        <v>348</v>
      </c>
      <c r="B300" s="1739" t="n">
        <f aca="false">'Saisie et Calculateur'!J271</f>
        <v>0</v>
      </c>
      <c r="C300" s="1740" t="n">
        <v>32.5</v>
      </c>
      <c r="D300" s="1741" t="n">
        <f aca="false">B300*C300</f>
        <v>0</v>
      </c>
      <c r="E300" s="1627" t="n">
        <v>0</v>
      </c>
      <c r="F300" s="1701"/>
      <c r="G300" s="1607"/>
      <c r="H300" s="1607"/>
      <c r="I300" s="1607"/>
      <c r="J300" s="1607"/>
      <c r="K300" s="1607"/>
      <c r="L300" s="1607"/>
      <c r="M300" s="1607"/>
      <c r="N300" s="1607"/>
      <c r="O300" s="1607"/>
    </row>
    <row r="301" customFormat="false" ht="14.25" hidden="false" customHeight="true" outlineLevel="0" collapsed="false">
      <c r="A301" s="1738" t="s">
        <v>349</v>
      </c>
      <c r="B301" s="1739" t="n">
        <f aca="false">'Saisie et Calculateur'!J272</f>
        <v>0</v>
      </c>
      <c r="C301" s="1740" t="n">
        <v>56.5</v>
      </c>
      <c r="D301" s="1741" t="n">
        <f aca="false">B301*C301</f>
        <v>0</v>
      </c>
      <c r="E301" s="1627" t="n">
        <v>0</v>
      </c>
      <c r="F301" s="1701"/>
      <c r="G301" s="1607"/>
      <c r="H301" s="1607"/>
      <c r="I301" s="1607"/>
      <c r="J301" s="1607"/>
      <c r="K301" s="1607"/>
      <c r="L301" s="1607"/>
      <c r="M301" s="1607"/>
      <c r="N301" s="1607"/>
      <c r="O301" s="1607"/>
    </row>
    <row r="302" customFormat="false" ht="14.25" hidden="false" customHeight="true" outlineLevel="0" collapsed="false">
      <c r="A302" s="1738" t="s">
        <v>1116</v>
      </c>
      <c r="B302" s="1739" t="n">
        <f aca="false">'Saisie et Calculateur'!J273</f>
        <v>0</v>
      </c>
      <c r="C302" s="1742"/>
      <c r="D302" s="1741" t="n">
        <f aca="false">B302*C302</f>
        <v>0</v>
      </c>
      <c r="E302" s="1627"/>
      <c r="F302" s="1701"/>
      <c r="G302" s="1607"/>
      <c r="H302" s="1607"/>
      <c r="I302" s="1607"/>
      <c r="J302" s="1607"/>
      <c r="K302" s="1607"/>
      <c r="L302" s="1607"/>
      <c r="M302" s="1607"/>
      <c r="N302" s="1607"/>
      <c r="O302" s="1607"/>
    </row>
    <row r="303" customFormat="false" ht="14.25" hidden="false" customHeight="true" outlineLevel="0" collapsed="false">
      <c r="A303" s="1738"/>
      <c r="B303" s="1636" t="s">
        <v>1905</v>
      </c>
      <c r="C303" s="1636" t="s">
        <v>1884</v>
      </c>
      <c r="D303" s="1636" t="s">
        <v>540</v>
      </c>
      <c r="E303" s="1627"/>
      <c r="F303" s="1701"/>
      <c r="G303" s="1607"/>
      <c r="H303" s="1607"/>
      <c r="I303" s="1607"/>
      <c r="J303" s="1607"/>
      <c r="K303" s="1607"/>
      <c r="L303" s="1607"/>
      <c r="M303" s="1607"/>
      <c r="N303" s="1607"/>
      <c r="O303" s="1607"/>
    </row>
    <row r="304" customFormat="false" ht="14.25" hidden="false" customHeight="true" outlineLevel="0" collapsed="false">
      <c r="A304" s="1738" t="s">
        <v>1906</v>
      </c>
      <c r="B304" s="1739" t="n">
        <f aca="false">'Saisie et Calculateur'!J202</f>
        <v>0</v>
      </c>
      <c r="C304" s="1740" t="n">
        <v>12.5</v>
      </c>
      <c r="D304" s="1741" t="n">
        <f aca="false">B304*C304</f>
        <v>0</v>
      </c>
      <c r="E304" s="1627" t="n">
        <v>0</v>
      </c>
      <c r="F304" s="1701"/>
      <c r="G304" s="1607"/>
      <c r="H304" s="1607"/>
      <c r="I304" s="1607"/>
      <c r="J304" s="1607"/>
      <c r="K304" s="1607"/>
      <c r="L304" s="1607"/>
      <c r="M304" s="1607"/>
      <c r="N304" s="1607"/>
      <c r="O304" s="1607"/>
    </row>
    <row r="305" customFormat="false" ht="14.25" hidden="false" customHeight="true" outlineLevel="0" collapsed="false">
      <c r="A305" s="1738" t="s">
        <v>191</v>
      </c>
      <c r="B305" s="1739" t="n">
        <f aca="false">'Saisie et Calculateur'!J203</f>
        <v>0</v>
      </c>
      <c r="C305" s="1740" t="n">
        <v>15</v>
      </c>
      <c r="D305" s="1741" t="n">
        <f aca="false">B305*C305</f>
        <v>0</v>
      </c>
      <c r="E305" s="1627" t="n">
        <v>0</v>
      </c>
      <c r="F305" s="1701"/>
      <c r="G305" s="1607"/>
      <c r="H305" s="1607"/>
      <c r="I305" s="1607"/>
      <c r="J305" s="1607"/>
      <c r="K305" s="1607"/>
      <c r="L305" s="1607"/>
      <c r="M305" s="1607"/>
      <c r="N305" s="1607"/>
      <c r="O305" s="1607"/>
    </row>
    <row r="306" customFormat="false" ht="14.25" hidden="false" customHeight="true" outlineLevel="0" collapsed="false">
      <c r="A306" s="1738" t="s">
        <v>195</v>
      </c>
      <c r="B306" s="1739" t="n">
        <f aca="false">'Saisie et Calculateur'!J204</f>
        <v>0</v>
      </c>
      <c r="C306" s="1740" t="n">
        <v>16</v>
      </c>
      <c r="D306" s="1741" t="n">
        <f aca="false">B306*C306</f>
        <v>0</v>
      </c>
      <c r="E306" s="1627" t="n">
        <v>0</v>
      </c>
      <c r="F306" s="1701"/>
      <c r="G306" s="1607"/>
      <c r="H306" s="1607"/>
      <c r="I306" s="1607"/>
      <c r="J306" s="1607"/>
      <c r="K306" s="1607"/>
      <c r="L306" s="1607"/>
      <c r="M306" s="1607"/>
      <c r="N306" s="1607"/>
      <c r="O306" s="1607"/>
    </row>
    <row r="307" customFormat="false" ht="14.25" hidden="false" customHeight="true" outlineLevel="0" collapsed="false">
      <c r="A307" s="1738" t="s">
        <v>299</v>
      </c>
      <c r="B307" s="1739" t="n">
        <f aca="false">'Saisie et Calculateur'!J205</f>
        <v>0</v>
      </c>
      <c r="C307" s="1740" t="n">
        <v>25</v>
      </c>
      <c r="D307" s="1741" t="n">
        <f aca="false">B307*C307</f>
        <v>0</v>
      </c>
      <c r="E307" s="1627" t="n">
        <v>0</v>
      </c>
      <c r="F307" s="1701"/>
      <c r="G307" s="1607"/>
      <c r="H307" s="1607"/>
      <c r="I307" s="1607"/>
      <c r="J307" s="1607"/>
      <c r="K307" s="1607"/>
      <c r="L307" s="1607"/>
      <c r="M307" s="1607"/>
      <c r="N307" s="1607"/>
      <c r="O307" s="1607"/>
    </row>
    <row r="308" s="1717" customFormat="true" ht="14.25" hidden="false" customHeight="true" outlineLevel="0" collapsed="false">
      <c r="A308" s="1738" t="s">
        <v>193</v>
      </c>
      <c r="B308" s="1739" t="n">
        <f aca="false">'Saisie et Calculateur'!J206</f>
        <v>0</v>
      </c>
      <c r="C308" s="1740" t="n">
        <v>35</v>
      </c>
      <c r="D308" s="1741" t="n">
        <f aca="false">B308*C308</f>
        <v>0</v>
      </c>
      <c r="E308" s="1623" t="n">
        <v>3</v>
      </c>
      <c r="F308" s="1701"/>
      <c r="G308" s="1607"/>
      <c r="H308" s="1607"/>
      <c r="I308" s="1607"/>
      <c r="J308" s="1607"/>
      <c r="K308" s="1607"/>
      <c r="L308" s="1607"/>
      <c r="M308" s="1607"/>
      <c r="N308" s="1607"/>
      <c r="O308" s="1607"/>
    </row>
    <row r="309" s="1717" customFormat="true" ht="14.25" hidden="false" customHeight="true" outlineLevel="0" collapsed="false">
      <c r="A309" s="1738" t="s">
        <v>1907</v>
      </c>
      <c r="B309" s="1739" t="n">
        <f aca="false">'Saisie et Calculateur'!J224</f>
        <v>0</v>
      </c>
      <c r="C309" s="1740" t="n">
        <v>26</v>
      </c>
      <c r="D309" s="1741" t="n">
        <f aca="false">B309*C309</f>
        <v>0</v>
      </c>
      <c r="E309" s="1623"/>
      <c r="F309" s="1701"/>
      <c r="G309" s="1607"/>
      <c r="H309" s="1607"/>
      <c r="I309" s="1607"/>
      <c r="J309" s="1607"/>
      <c r="K309" s="1607"/>
      <c r="L309" s="1607"/>
      <c r="M309" s="1607"/>
      <c r="N309" s="1607"/>
      <c r="O309" s="1607"/>
    </row>
    <row r="310" s="1717" customFormat="true" ht="14.25" hidden="false" customHeight="true" outlineLevel="0" collapsed="false">
      <c r="A310" s="1738" t="s">
        <v>185</v>
      </c>
      <c r="B310" s="1739" t="n">
        <f aca="false">'Saisie et Calculateur'!J237</f>
        <v>0</v>
      </c>
      <c r="C310" s="1740" t="n">
        <v>15</v>
      </c>
      <c r="D310" s="1741" t="n">
        <f aca="false">B310*C310</f>
        <v>0</v>
      </c>
      <c r="E310" s="1623"/>
      <c r="F310" s="1701"/>
      <c r="G310" s="1607"/>
      <c r="H310" s="1607"/>
      <c r="I310" s="1607"/>
      <c r="J310" s="1607"/>
      <c r="K310" s="1607"/>
      <c r="L310" s="1607"/>
      <c r="M310" s="1607"/>
      <c r="N310" s="1607"/>
      <c r="O310" s="1607"/>
    </row>
    <row r="311" customFormat="false" ht="14.25" hidden="false" customHeight="true" outlineLevel="0" collapsed="false">
      <c r="A311" s="1738" t="s">
        <v>187</v>
      </c>
      <c r="B311" s="1739" t="n">
        <f aca="false">'Saisie et Calculateur'!J238</f>
        <v>0</v>
      </c>
      <c r="C311" s="1743" t="n">
        <v>28</v>
      </c>
      <c r="D311" s="1741" t="n">
        <f aca="false">B311*C311</f>
        <v>0</v>
      </c>
      <c r="E311" s="1627"/>
      <c r="F311" s="1701"/>
      <c r="G311" s="1607"/>
      <c r="H311" s="1607"/>
      <c r="I311" s="1607"/>
      <c r="J311" s="1607"/>
      <c r="K311" s="1607"/>
      <c r="L311" s="1607"/>
      <c r="M311" s="1607"/>
      <c r="N311" s="1607"/>
      <c r="O311" s="1607"/>
    </row>
    <row r="312" customFormat="false" ht="14.25" hidden="false" customHeight="true" outlineLevel="0" collapsed="false">
      <c r="A312" s="1738" t="s">
        <v>305</v>
      </c>
      <c r="B312" s="1739" t="n">
        <f aca="false">'Saisie et Calculateur'!J215</f>
        <v>0</v>
      </c>
      <c r="C312" s="1743" t="n">
        <v>16</v>
      </c>
      <c r="D312" s="1741" t="n">
        <f aca="false">B312*C312</f>
        <v>0</v>
      </c>
      <c r="E312" s="1676"/>
      <c r="F312" s="1701"/>
      <c r="G312" s="1607"/>
      <c r="H312" s="1607"/>
      <c r="I312" s="1607"/>
      <c r="J312" s="1607"/>
      <c r="K312" s="1607"/>
      <c r="L312" s="1607"/>
      <c r="M312" s="1607"/>
      <c r="N312" s="1607"/>
      <c r="O312" s="1607"/>
    </row>
    <row r="313" customFormat="false" ht="14.25" hidden="false" customHeight="true" outlineLevel="0" collapsed="false">
      <c r="A313" s="1744" t="s">
        <v>304</v>
      </c>
      <c r="B313" s="1739" t="n">
        <f aca="false">'Saisie et Calculateur'!J214</f>
        <v>0</v>
      </c>
      <c r="C313" s="1743" t="n">
        <v>6</v>
      </c>
      <c r="D313" s="1741" t="n">
        <f aca="false">B313*C313</f>
        <v>0</v>
      </c>
      <c r="E313" s="1734"/>
      <c r="F313" s="1607"/>
      <c r="G313" s="1607"/>
      <c r="H313" s="1607"/>
      <c r="I313" s="1607"/>
      <c r="J313" s="1701"/>
      <c r="K313" s="1607"/>
      <c r="L313" s="1607"/>
      <c r="M313" s="1607"/>
      <c r="N313" s="1607"/>
      <c r="O313" s="1607"/>
    </row>
    <row r="314" customFormat="false" ht="12.75" hidden="false" customHeight="true" outlineLevel="0" collapsed="false">
      <c r="A314" s="1604"/>
      <c r="B314" s="1604"/>
      <c r="C314" s="1604"/>
      <c r="D314" s="1607"/>
      <c r="E314" s="1607"/>
      <c r="F314" s="1607"/>
      <c r="G314" s="1604"/>
      <c r="H314" s="1604"/>
      <c r="I314" s="1604"/>
      <c r="J314" s="1604"/>
      <c r="K314" s="1604"/>
      <c r="L314" s="1701"/>
      <c r="M314" s="1607"/>
      <c r="N314" s="1607"/>
      <c r="O314" s="1607"/>
    </row>
    <row r="315" customFormat="false" ht="12.75" hidden="false" customHeight="true" outlineLevel="0" collapsed="false">
      <c r="A315" s="1604"/>
      <c r="B315" s="1635" t="s">
        <v>1220</v>
      </c>
      <c r="C315" s="1636" t="s">
        <v>540</v>
      </c>
      <c r="D315" s="770" t="n">
        <f aca="false">SUM(D304:D313,D281:D301)</f>
        <v>0</v>
      </c>
      <c r="E315" s="1604"/>
      <c r="F315" s="1604"/>
      <c r="G315" s="1604"/>
      <c r="H315" s="1604"/>
      <c r="I315" s="1604"/>
      <c r="J315" s="1604"/>
      <c r="K315" s="1604"/>
      <c r="L315" s="1701"/>
      <c r="M315" s="1607"/>
      <c r="N315" s="1607"/>
      <c r="O315" s="1607"/>
    </row>
    <row r="316" customFormat="false" ht="12.75" hidden="false" customHeight="true" outlineLevel="0" collapsed="false">
      <c r="A316" s="1604"/>
      <c r="B316" s="1604"/>
      <c r="C316" s="1604"/>
      <c r="D316" s="1604"/>
      <c r="E316" s="1604"/>
      <c r="F316" s="1604"/>
      <c r="G316" s="1604"/>
      <c r="H316" s="1604"/>
      <c r="I316" s="1604"/>
      <c r="J316" s="1604"/>
      <c r="K316" s="1604"/>
      <c r="L316" s="1701"/>
      <c r="M316" s="1607"/>
      <c r="N316" s="1607"/>
      <c r="O316" s="1607"/>
    </row>
    <row r="317" customFormat="false" ht="12.75" hidden="false" customHeight="true" outlineLevel="0" collapsed="false">
      <c r="A317" s="1604"/>
      <c r="B317" s="1604"/>
      <c r="C317" s="1604"/>
      <c r="D317" s="1604"/>
      <c r="E317" s="1604"/>
      <c r="F317" s="1604"/>
      <c r="G317" s="1604"/>
      <c r="H317" s="1604"/>
      <c r="I317" s="1604"/>
      <c r="J317" s="1604"/>
      <c r="K317" s="1604"/>
      <c r="L317" s="1701"/>
      <c r="M317" s="1607"/>
      <c r="N317" s="1607"/>
      <c r="O317" s="1607"/>
    </row>
    <row r="318" customFormat="false" ht="12.75" hidden="false" customHeight="true" outlineLevel="0" collapsed="false">
      <c r="A318" s="1604"/>
      <c r="B318" s="1604"/>
      <c r="C318" s="1604"/>
      <c r="D318" s="1604"/>
      <c r="E318" s="1604"/>
      <c r="F318" s="1604"/>
      <c r="G318" s="1604"/>
      <c r="H318" s="1604"/>
      <c r="I318" s="1604"/>
      <c r="J318" s="1604"/>
      <c r="K318" s="1604"/>
      <c r="L318" s="1701"/>
      <c r="M318" s="1607"/>
      <c r="N318" s="1607"/>
      <c r="O318" s="1607"/>
    </row>
    <row r="319" customFormat="false" ht="20.25" hidden="false" customHeight="true" outlineLevel="0" collapsed="false">
      <c r="A319" s="1613" t="s">
        <v>1908</v>
      </c>
      <c r="B319" s="1613"/>
      <c r="C319" s="1613"/>
      <c r="D319" s="1613"/>
      <c r="E319" s="1613"/>
      <c r="F319" s="1613"/>
      <c r="G319" s="1613"/>
      <c r="H319" s="1613"/>
      <c r="I319" s="1613"/>
      <c r="J319" s="1604"/>
      <c r="K319" s="1604"/>
      <c r="L319" s="1701"/>
      <c r="M319" s="1607"/>
      <c r="N319" s="1607"/>
      <c r="O319" s="1607"/>
    </row>
    <row r="320" customFormat="false" ht="12.75" hidden="false" customHeight="true" outlineLevel="0" collapsed="false">
      <c r="A320" s="1604"/>
      <c r="B320" s="1604"/>
      <c r="C320" s="1604"/>
      <c r="D320" s="1604"/>
      <c r="E320" s="1604"/>
      <c r="F320" s="1604"/>
      <c r="G320" s="1604"/>
      <c r="H320" s="1604"/>
      <c r="I320" s="1604"/>
      <c r="J320" s="1604"/>
      <c r="K320" s="1604"/>
      <c r="L320" s="1701"/>
      <c r="M320" s="1607"/>
      <c r="N320" s="1607"/>
      <c r="O320" s="1607"/>
    </row>
    <row r="321" customFormat="false" ht="12.75" hidden="false" customHeight="true" outlineLevel="0" collapsed="false">
      <c r="A321" s="1745"/>
      <c r="B321" s="1746"/>
      <c r="C321" s="1747"/>
      <c r="D321" s="1747"/>
      <c r="E321" s="1604"/>
      <c r="F321" s="1604"/>
      <c r="G321" s="1604"/>
      <c r="H321" s="1604"/>
      <c r="I321" s="1604"/>
      <c r="J321" s="1604"/>
      <c r="K321" s="1604"/>
      <c r="L321" s="1701"/>
      <c r="M321" s="1607"/>
      <c r="N321" s="1607"/>
      <c r="O321" s="1607"/>
    </row>
    <row r="322" customFormat="false" ht="25.5" hidden="false" customHeight="true" outlineLevel="0" collapsed="false">
      <c r="A322" s="1669" t="s">
        <v>1909</v>
      </c>
      <c r="B322" s="1669" t="s">
        <v>1910</v>
      </c>
      <c r="C322" s="1635" t="s">
        <v>395</v>
      </c>
      <c r="D322" s="1635" t="s">
        <v>395</v>
      </c>
      <c r="E322" s="1618" t="s">
        <v>1822</v>
      </c>
      <c r="F322" s="1604"/>
      <c r="G322" s="1604"/>
      <c r="H322" s="1701"/>
      <c r="I322" s="1607"/>
      <c r="J322" s="1607"/>
      <c r="K322" s="1607"/>
      <c r="L322" s="1607"/>
      <c r="M322" s="1607"/>
      <c r="N322" s="1607"/>
      <c r="O322" s="1607"/>
    </row>
    <row r="323" customFormat="false" ht="54" hidden="false" customHeight="true" outlineLevel="0" collapsed="false">
      <c r="A323" s="1748"/>
      <c r="B323" s="1708" t="s">
        <v>1911</v>
      </c>
      <c r="C323" s="1749" t="s">
        <v>1912</v>
      </c>
      <c r="D323" s="1636" t="s">
        <v>1855</v>
      </c>
      <c r="E323" s="1623"/>
      <c r="F323" s="1604"/>
      <c r="G323" s="1604"/>
      <c r="H323" s="1701"/>
      <c r="I323" s="1607"/>
      <c r="J323" s="1607"/>
      <c r="K323" s="1607"/>
      <c r="L323" s="1607"/>
      <c r="M323" s="1607"/>
      <c r="N323" s="1607"/>
      <c r="O323" s="1607"/>
    </row>
    <row r="324" customFormat="false" ht="12.75" hidden="false" customHeight="true" outlineLevel="0" collapsed="false">
      <c r="A324" s="1624" t="s">
        <v>1913</v>
      </c>
      <c r="B324" s="1750"/>
      <c r="C324" s="1751" t="n">
        <v>4.5</v>
      </c>
      <c r="D324" s="1752" t="n">
        <f aca="false">$B324*C324</f>
        <v>0</v>
      </c>
      <c r="E324" s="1627" t="n">
        <v>0</v>
      </c>
      <c r="F324" s="1628"/>
      <c r="G324" s="1701"/>
      <c r="H324" s="1661"/>
      <c r="I324" s="1607"/>
      <c r="J324" s="1607"/>
      <c r="K324" s="1607"/>
      <c r="L324" s="1607"/>
      <c r="M324" s="1607"/>
      <c r="N324" s="1607"/>
      <c r="O324" s="1607"/>
    </row>
    <row r="325" customFormat="false" ht="15.75" hidden="false" customHeight="true" outlineLevel="0" collapsed="false">
      <c r="A325" s="1624" t="s">
        <v>1914</v>
      </c>
      <c r="B325" s="1750"/>
      <c r="C325" s="1751" t="n">
        <v>0.800000011920929</v>
      </c>
      <c r="D325" s="1752" t="n">
        <f aca="false">$B325*C325</f>
        <v>0</v>
      </c>
      <c r="E325" s="1627" t="n">
        <v>0</v>
      </c>
      <c r="F325" s="1628"/>
      <c r="G325" s="1701"/>
      <c r="H325" s="1701"/>
      <c r="I325" s="1607"/>
      <c r="J325" s="1607"/>
      <c r="K325" s="1607"/>
      <c r="L325" s="1607"/>
      <c r="M325" s="1607"/>
      <c r="N325" s="1607"/>
      <c r="O325" s="1607"/>
    </row>
    <row r="326" customFormat="false" ht="12.75" hidden="false" customHeight="true" outlineLevel="0" collapsed="false">
      <c r="A326" s="1624" t="s">
        <v>1915</v>
      </c>
      <c r="B326" s="1750"/>
      <c r="C326" s="1751" t="n">
        <v>5</v>
      </c>
      <c r="D326" s="1752" t="n">
        <f aca="false">$B326*C326</f>
        <v>0</v>
      </c>
      <c r="E326" s="1627" t="n">
        <v>0</v>
      </c>
      <c r="F326" s="1628"/>
      <c r="G326" s="1701"/>
      <c r="H326" s="1701"/>
      <c r="I326" s="1607"/>
      <c r="J326" s="1607"/>
      <c r="K326" s="1607"/>
      <c r="L326" s="1607"/>
      <c r="M326" s="1607"/>
      <c r="N326" s="1607"/>
      <c r="O326" s="1607"/>
    </row>
    <row r="327" customFormat="false" ht="12.75" hidden="false" customHeight="true" outlineLevel="0" collapsed="false">
      <c r="A327" s="1624" t="s">
        <v>1916</v>
      </c>
      <c r="B327" s="1750"/>
      <c r="C327" s="1751" t="n">
        <v>6.09999990463257</v>
      </c>
      <c r="D327" s="1752" t="n">
        <f aca="false">$B327*C327</f>
        <v>0</v>
      </c>
      <c r="E327" s="1627" t="n">
        <v>0</v>
      </c>
      <c r="F327" s="1628"/>
      <c r="G327" s="1701"/>
      <c r="H327" s="1701"/>
      <c r="I327" s="1607"/>
      <c r="J327" s="1607"/>
      <c r="K327" s="1607"/>
      <c r="L327" s="1607"/>
      <c r="M327" s="1607"/>
      <c r="N327" s="1607"/>
      <c r="O327" s="1607"/>
    </row>
    <row r="328" customFormat="false" ht="12.75" hidden="false" customHeight="true" outlineLevel="0" collapsed="false">
      <c r="A328" s="1624" t="s">
        <v>1917</v>
      </c>
      <c r="B328" s="1750"/>
      <c r="C328" s="1751" t="n">
        <v>1.6</v>
      </c>
      <c r="D328" s="1752" t="n">
        <f aca="false">$B328*C328</f>
        <v>0</v>
      </c>
      <c r="E328" s="1627" t="n">
        <v>0</v>
      </c>
      <c r="F328" s="1628"/>
      <c r="G328" s="1701"/>
      <c r="H328" s="1701"/>
      <c r="I328" s="1607"/>
      <c r="J328" s="1607"/>
      <c r="K328" s="1607"/>
      <c r="L328" s="1607"/>
      <c r="M328" s="1607"/>
      <c r="N328" s="1607"/>
      <c r="O328" s="1607"/>
    </row>
    <row r="329" customFormat="false" ht="12.75" hidden="false" customHeight="true" outlineLevel="0" collapsed="false">
      <c r="A329" s="1624" t="s">
        <v>1918</v>
      </c>
      <c r="B329" s="1750"/>
      <c r="C329" s="1751" t="n">
        <v>1.7</v>
      </c>
      <c r="D329" s="1752" t="n">
        <f aca="false">$B329*C329</f>
        <v>0</v>
      </c>
      <c r="E329" s="1627" t="n">
        <v>0</v>
      </c>
      <c r="F329" s="1628"/>
      <c r="G329" s="1701"/>
      <c r="H329" s="1701"/>
      <c r="I329" s="1607"/>
      <c r="J329" s="1607"/>
      <c r="K329" s="1607"/>
      <c r="L329" s="1607"/>
      <c r="M329" s="1607"/>
      <c r="N329" s="1607"/>
      <c r="O329" s="1607"/>
    </row>
    <row r="330" customFormat="false" ht="12.75" hidden="false" customHeight="true" outlineLevel="0" collapsed="false">
      <c r="A330" s="1624" t="s">
        <v>1919</v>
      </c>
      <c r="B330" s="1750"/>
      <c r="C330" s="1751" t="n">
        <v>1.1</v>
      </c>
      <c r="D330" s="1752" t="n">
        <f aca="false">$B330*C330</f>
        <v>0</v>
      </c>
      <c r="E330" s="1627" t="n">
        <v>0</v>
      </c>
      <c r="F330" s="1628"/>
      <c r="G330" s="1701"/>
      <c r="H330" s="1731"/>
      <c r="I330" s="1715"/>
      <c r="J330" s="1715"/>
      <c r="K330" s="1715"/>
      <c r="L330" s="1715"/>
      <c r="M330" s="1715"/>
      <c r="N330" s="1715"/>
      <c r="O330" s="1715"/>
      <c r="P330" s="1717"/>
      <c r="Q330" s="1717"/>
      <c r="R330" s="1717"/>
    </row>
    <row r="331" customFormat="false" ht="12.75" hidden="false" customHeight="true" outlineLevel="0" collapsed="false">
      <c r="A331" s="1624" t="s">
        <v>1920</v>
      </c>
      <c r="B331" s="1750"/>
      <c r="C331" s="1751" t="n">
        <v>1.20000004768372</v>
      </c>
      <c r="D331" s="1752" t="n">
        <f aca="false">$B331*C331</f>
        <v>0</v>
      </c>
      <c r="E331" s="1627" t="n">
        <v>0</v>
      </c>
      <c r="F331" s="1628"/>
      <c r="G331" s="1701"/>
      <c r="H331" s="1701"/>
      <c r="I331" s="1607"/>
      <c r="J331" s="1607"/>
      <c r="K331" s="1607"/>
      <c r="L331" s="1607"/>
      <c r="M331" s="1607"/>
      <c r="N331" s="1607"/>
      <c r="O331" s="1607"/>
    </row>
    <row r="332" customFormat="false" ht="12.75" hidden="false" customHeight="true" outlineLevel="0" collapsed="false">
      <c r="A332" s="1624" t="s">
        <v>1921</v>
      </c>
      <c r="B332" s="1750"/>
      <c r="C332" s="1751" t="n">
        <v>1.79999995231628</v>
      </c>
      <c r="D332" s="1752" t="n">
        <f aca="false">$B332*C332</f>
        <v>0</v>
      </c>
      <c r="E332" s="1627" t="n">
        <v>0</v>
      </c>
      <c r="F332" s="1628"/>
      <c r="G332" s="1701"/>
      <c r="H332" s="1604"/>
      <c r="I332" s="1607"/>
      <c r="J332" s="1607"/>
      <c r="K332" s="1607"/>
      <c r="L332" s="1607"/>
      <c r="M332" s="1607"/>
      <c r="N332" s="1607"/>
      <c r="O332" s="1607"/>
    </row>
    <row r="333" customFormat="false" ht="25.5" hidden="false" customHeight="true" outlineLevel="0" collapsed="false">
      <c r="A333" s="1624" t="s">
        <v>1922</v>
      </c>
      <c r="B333" s="1750"/>
      <c r="C333" s="1751" t="n">
        <v>2.6</v>
      </c>
      <c r="D333" s="1752" t="n">
        <f aca="false">$B333*C333</f>
        <v>0</v>
      </c>
      <c r="E333" s="1627" t="n">
        <v>0</v>
      </c>
      <c r="F333" s="1628"/>
      <c r="G333" s="1701"/>
      <c r="H333" s="1604"/>
      <c r="I333" s="1607"/>
      <c r="J333" s="1607"/>
      <c r="K333" s="1607"/>
      <c r="L333" s="1607"/>
      <c r="M333" s="1607"/>
      <c r="N333" s="1607"/>
      <c r="O333" s="1607"/>
    </row>
    <row r="334" customFormat="false" ht="28.5" hidden="false" customHeight="true" outlineLevel="0" collapsed="false">
      <c r="A334" s="1624" t="s">
        <v>1923</v>
      </c>
      <c r="B334" s="1750"/>
      <c r="C334" s="1751" t="n">
        <v>11.1</v>
      </c>
      <c r="D334" s="1752" t="n">
        <f aca="false">$B334*C334</f>
        <v>0</v>
      </c>
      <c r="E334" s="1627" t="n">
        <v>0</v>
      </c>
      <c r="F334" s="1628"/>
      <c r="G334" s="1701"/>
      <c r="H334" s="1604"/>
      <c r="I334" s="1607"/>
      <c r="J334" s="1607"/>
      <c r="K334" s="1607"/>
      <c r="L334" s="1607"/>
      <c r="M334" s="1607"/>
      <c r="N334" s="1607"/>
      <c r="O334" s="1607"/>
    </row>
    <row r="335" customFormat="false" ht="28.5" hidden="false" customHeight="true" outlineLevel="0" collapsed="false">
      <c r="A335" s="1624" t="s">
        <v>1924</v>
      </c>
      <c r="B335" s="1750"/>
      <c r="C335" s="1751" t="n">
        <v>5.9</v>
      </c>
      <c r="D335" s="1752" t="n">
        <f aca="false">$B335*C335</f>
        <v>0</v>
      </c>
      <c r="E335" s="1627" t="n">
        <v>0</v>
      </c>
      <c r="F335" s="1628"/>
      <c r="G335" s="1701"/>
      <c r="H335" s="1604"/>
      <c r="I335" s="1607"/>
      <c r="J335" s="1607"/>
      <c r="K335" s="1607"/>
      <c r="L335" s="1607"/>
      <c r="M335" s="1607"/>
      <c r="N335" s="1607"/>
      <c r="O335" s="1607"/>
    </row>
    <row r="336" customFormat="false" ht="12.75" hidden="false" customHeight="true" outlineLevel="0" collapsed="false">
      <c r="A336" s="1624" t="s">
        <v>1925</v>
      </c>
      <c r="B336" s="1750"/>
      <c r="C336" s="1751" t="n">
        <v>2.6</v>
      </c>
      <c r="D336" s="1752" t="n">
        <f aca="false">$B336*C336</f>
        <v>0</v>
      </c>
      <c r="E336" s="1627" t="n">
        <v>0</v>
      </c>
      <c r="F336" s="1628"/>
      <c r="G336" s="1701"/>
      <c r="H336" s="1604"/>
      <c r="I336" s="1607"/>
      <c r="J336" s="1607"/>
      <c r="K336" s="1607"/>
      <c r="L336" s="1607"/>
      <c r="M336" s="1607"/>
      <c r="N336" s="1607"/>
      <c r="O336" s="1607"/>
    </row>
    <row r="337" customFormat="false" ht="12.75" hidden="false" customHeight="true" outlineLevel="0" collapsed="false">
      <c r="A337" s="1624" t="s">
        <v>1926</v>
      </c>
      <c r="B337" s="1750"/>
      <c r="C337" s="1751" t="n">
        <v>2.1</v>
      </c>
      <c r="D337" s="1752" t="n">
        <f aca="false">$B337*C337</f>
        <v>0</v>
      </c>
      <c r="E337" s="1627" t="n">
        <v>0</v>
      </c>
      <c r="F337" s="1628"/>
      <c r="G337" s="1701"/>
      <c r="H337" s="1604"/>
      <c r="I337" s="1607"/>
      <c r="J337" s="1607"/>
      <c r="K337" s="1607"/>
      <c r="L337" s="1607"/>
      <c r="M337" s="1607"/>
      <c r="N337" s="1607"/>
      <c r="O337" s="1607"/>
    </row>
    <row r="338" customFormat="false" ht="15" hidden="false" customHeight="true" outlineLevel="0" collapsed="false">
      <c r="A338" s="1624" t="s">
        <v>1927</v>
      </c>
      <c r="B338" s="1750"/>
      <c r="C338" s="1751" t="n">
        <v>2.29999995231628</v>
      </c>
      <c r="D338" s="1752" t="n">
        <f aca="false">$B338*C338</f>
        <v>0</v>
      </c>
      <c r="E338" s="1627" t="n">
        <v>0</v>
      </c>
      <c r="F338" s="1628"/>
      <c r="G338" s="1701"/>
      <c r="J338" s="1607"/>
      <c r="K338" s="1607"/>
      <c r="L338" s="1607"/>
      <c r="M338" s="1607"/>
      <c r="N338" s="1607"/>
      <c r="O338" s="1607"/>
    </row>
    <row r="339" customFormat="false" ht="15" hidden="false" customHeight="true" outlineLevel="0" collapsed="false">
      <c r="A339" s="1624" t="s">
        <v>1928</v>
      </c>
      <c r="B339" s="1750"/>
      <c r="C339" s="1751" t="n">
        <v>1.83469626844343</v>
      </c>
      <c r="D339" s="1752" t="n">
        <f aca="false">$B339*C339</f>
        <v>0</v>
      </c>
      <c r="E339" s="1627" t="n">
        <v>0</v>
      </c>
      <c r="F339" s="1628"/>
      <c r="G339" s="1701"/>
      <c r="J339" s="1607"/>
      <c r="K339" s="1607"/>
      <c r="L339" s="1607"/>
      <c r="M339" s="1607"/>
      <c r="N339" s="1607"/>
      <c r="O339" s="1607"/>
    </row>
    <row r="340" customFormat="false" ht="15" hidden="false" customHeight="true" outlineLevel="0" collapsed="false">
      <c r="A340" s="1624" t="s">
        <v>1929</v>
      </c>
      <c r="B340" s="1750"/>
      <c r="C340" s="1751" t="n">
        <v>1.24118055555556</v>
      </c>
      <c r="D340" s="1752" t="n">
        <f aca="false">$B340*C340</f>
        <v>0</v>
      </c>
      <c r="E340" s="1627" t="n">
        <v>0</v>
      </c>
      <c r="F340" s="1628"/>
      <c r="G340" s="1701"/>
      <c r="J340" s="1607"/>
      <c r="K340" s="1607"/>
      <c r="L340" s="1607"/>
      <c r="M340" s="1607"/>
      <c r="N340" s="1607"/>
      <c r="O340" s="1607"/>
    </row>
    <row r="341" customFormat="false" ht="12.75" hidden="false" customHeight="true" outlineLevel="0" collapsed="false">
      <c r="A341" s="1624" t="s">
        <v>1930</v>
      </c>
      <c r="B341" s="1750"/>
      <c r="C341" s="1751" t="n">
        <v>3.59999990463257</v>
      </c>
      <c r="D341" s="1752" t="n">
        <f aca="false">$B341*C341</f>
        <v>0</v>
      </c>
      <c r="E341" s="1627" t="n">
        <v>0</v>
      </c>
      <c r="F341" s="1628"/>
      <c r="G341" s="1701"/>
      <c r="H341" s="1604"/>
      <c r="I341" s="1607"/>
      <c r="J341" s="1607"/>
      <c r="K341" s="1607"/>
      <c r="L341" s="1607"/>
      <c r="M341" s="1607"/>
      <c r="N341" s="1607"/>
      <c r="O341" s="1607"/>
    </row>
    <row r="342" customFormat="false" ht="12.75" hidden="false" customHeight="true" outlineLevel="0" collapsed="false">
      <c r="A342" s="1624" t="s">
        <v>1931</v>
      </c>
      <c r="B342" s="1750"/>
      <c r="C342" s="1751" t="n">
        <v>3.59999990463257</v>
      </c>
      <c r="D342" s="1752" t="n">
        <f aca="false">$B342*C342</f>
        <v>0</v>
      </c>
      <c r="E342" s="1627" t="n">
        <v>0</v>
      </c>
      <c r="F342" s="1628"/>
      <c r="G342" s="1701"/>
      <c r="H342" s="1604"/>
      <c r="I342" s="1607"/>
      <c r="J342" s="1607"/>
      <c r="K342" s="1607"/>
      <c r="L342" s="1607"/>
      <c r="M342" s="1607"/>
      <c r="N342" s="1607"/>
      <c r="O342" s="1607"/>
    </row>
    <row r="343" customFormat="false" ht="12.75" hidden="false" customHeight="true" outlineLevel="0" collapsed="false">
      <c r="A343" s="1624" t="s">
        <v>1932</v>
      </c>
      <c r="B343" s="1750"/>
      <c r="C343" s="1751" t="n">
        <v>10.8000001907349</v>
      </c>
      <c r="D343" s="1752" t="n">
        <f aca="false">$B343*C343</f>
        <v>0</v>
      </c>
      <c r="E343" s="1627" t="n">
        <v>0</v>
      </c>
      <c r="F343" s="1628"/>
      <c r="G343" s="1701"/>
      <c r="H343" s="1753"/>
      <c r="I343" s="1715"/>
      <c r="J343" s="1715"/>
      <c r="K343" s="1715"/>
      <c r="L343" s="1715"/>
      <c r="M343" s="1715"/>
      <c r="N343" s="1715"/>
      <c r="O343" s="1715"/>
      <c r="P343" s="1717"/>
      <c r="Q343" s="1717"/>
      <c r="R343" s="1717"/>
    </row>
    <row r="344" customFormat="false" ht="25.5" hidden="false" customHeight="true" outlineLevel="0" collapsed="false">
      <c r="A344" s="1624" t="s">
        <v>1933</v>
      </c>
      <c r="B344" s="1750"/>
      <c r="C344" s="1751" t="n">
        <v>1.29999995231628</v>
      </c>
      <c r="D344" s="1752" t="n">
        <f aca="false">$B344*C344</f>
        <v>0</v>
      </c>
      <c r="E344" s="1627" t="n">
        <v>0</v>
      </c>
      <c r="F344" s="1628"/>
      <c r="G344" s="1701"/>
      <c r="H344" s="1604"/>
      <c r="I344" s="1607"/>
      <c r="J344" s="1607"/>
      <c r="K344" s="1607"/>
      <c r="L344" s="1607"/>
      <c r="M344" s="1607"/>
      <c r="N344" s="1607"/>
      <c r="O344" s="1607"/>
    </row>
    <row r="345" customFormat="false" ht="12.75" hidden="false" customHeight="true" outlineLevel="0" collapsed="false">
      <c r="A345" s="1624" t="s">
        <v>1163</v>
      </c>
      <c r="B345" s="1750"/>
      <c r="C345" s="1751" t="n">
        <v>2.9</v>
      </c>
      <c r="D345" s="1752" t="n">
        <f aca="false">$B345*C345</f>
        <v>0</v>
      </c>
      <c r="E345" s="1627" t="n">
        <v>0</v>
      </c>
      <c r="F345" s="1628"/>
      <c r="G345" s="1701"/>
      <c r="H345" s="1604"/>
      <c r="I345" s="1607"/>
      <c r="J345" s="1607"/>
      <c r="K345" s="1607"/>
      <c r="L345" s="1607"/>
      <c r="M345" s="1607"/>
      <c r="N345" s="1607"/>
      <c r="O345" s="1607"/>
    </row>
    <row r="346" customFormat="false" ht="12.75" hidden="false" customHeight="true" outlineLevel="0" collapsed="false">
      <c r="A346" s="1624" t="s">
        <v>1934</v>
      </c>
      <c r="B346" s="1750"/>
      <c r="C346" s="1751" t="n">
        <v>3</v>
      </c>
      <c r="D346" s="1752" t="n">
        <f aca="false">$B346*C346</f>
        <v>0</v>
      </c>
      <c r="E346" s="1627" t="n">
        <v>0</v>
      </c>
      <c r="F346" s="1628"/>
      <c r="G346" s="1701"/>
      <c r="H346" s="1604"/>
      <c r="I346" s="1607"/>
      <c r="J346" s="1607"/>
      <c r="K346" s="1607"/>
      <c r="L346" s="1607"/>
      <c r="M346" s="1607"/>
      <c r="N346" s="1607"/>
      <c r="O346" s="1607"/>
    </row>
    <row r="347" customFormat="false" ht="12.75" hidden="false" customHeight="true" outlineLevel="0" collapsed="false">
      <c r="A347" s="1624" t="s">
        <v>1935</v>
      </c>
      <c r="B347" s="1750"/>
      <c r="C347" s="1751" t="n">
        <v>33</v>
      </c>
      <c r="D347" s="1752" t="n">
        <f aca="false">$B347*C347</f>
        <v>0</v>
      </c>
      <c r="E347" s="1627" t="n">
        <v>0</v>
      </c>
      <c r="F347" s="1628"/>
      <c r="G347" s="1701"/>
      <c r="H347" s="1604"/>
      <c r="I347" s="1607"/>
      <c r="J347" s="1607"/>
      <c r="K347" s="1607"/>
      <c r="L347" s="1607"/>
      <c r="M347" s="1607"/>
      <c r="N347" s="1607"/>
      <c r="O347" s="1607"/>
    </row>
    <row r="348" customFormat="false" ht="15.75" hidden="false" customHeight="true" outlineLevel="0" collapsed="false">
      <c r="A348" s="1624" t="s">
        <v>1936</v>
      </c>
      <c r="B348" s="1750"/>
      <c r="C348" s="1751" t="n">
        <v>2</v>
      </c>
      <c r="D348" s="1752" t="n">
        <f aca="false">$B348*C348</f>
        <v>0</v>
      </c>
      <c r="E348" s="1627" t="n">
        <v>0</v>
      </c>
      <c r="F348" s="1628"/>
      <c r="G348" s="1701"/>
      <c r="H348" s="1604"/>
      <c r="I348" s="1607"/>
      <c r="J348" s="1607"/>
      <c r="K348" s="1607"/>
      <c r="L348" s="1607"/>
      <c r="M348" s="1607"/>
      <c r="N348" s="1607"/>
      <c r="O348" s="1607"/>
    </row>
    <row r="349" customFormat="false" ht="12.75" hidden="false" customHeight="true" outlineLevel="0" collapsed="false">
      <c r="A349" s="1624" t="s">
        <v>1937</v>
      </c>
      <c r="B349" s="1750"/>
      <c r="C349" s="1751" t="n">
        <v>2.79999995231628</v>
      </c>
      <c r="D349" s="1752" t="n">
        <f aca="false">$B349*C349</f>
        <v>0</v>
      </c>
      <c r="E349" s="1627" t="n">
        <v>0</v>
      </c>
      <c r="F349" s="1628"/>
      <c r="G349" s="1701"/>
      <c r="H349" s="1701"/>
      <c r="I349" s="1607"/>
      <c r="J349" s="1607"/>
      <c r="K349" s="1607"/>
      <c r="L349" s="1607"/>
      <c r="M349" s="1607"/>
      <c r="N349" s="1607"/>
      <c r="O349" s="1607"/>
    </row>
    <row r="350" customFormat="false" ht="12.75" hidden="false" customHeight="true" outlineLevel="0" collapsed="false">
      <c r="A350" s="1624" t="s">
        <v>1938</v>
      </c>
      <c r="B350" s="1750"/>
      <c r="C350" s="1751" t="n">
        <v>2.6</v>
      </c>
      <c r="D350" s="1752" t="n">
        <f aca="false">$B350*C350</f>
        <v>0</v>
      </c>
      <c r="E350" s="1627" t="n">
        <v>0</v>
      </c>
      <c r="F350" s="1628"/>
      <c r="G350" s="1701"/>
      <c r="H350" s="1701"/>
      <c r="I350" s="1607"/>
      <c r="J350" s="1607"/>
      <c r="K350" s="1607"/>
      <c r="L350" s="1607"/>
      <c r="M350" s="1607"/>
      <c r="N350" s="1607"/>
      <c r="O350" s="1607"/>
    </row>
    <row r="351" customFormat="false" ht="12.75" hidden="false" customHeight="true" outlineLevel="0" collapsed="false">
      <c r="A351" s="1624" t="s">
        <v>1939</v>
      </c>
      <c r="B351" s="1750"/>
      <c r="C351" s="1751" t="n">
        <v>2.29999995231628</v>
      </c>
      <c r="D351" s="1752" t="n">
        <f aca="false">$B351*C351</f>
        <v>0</v>
      </c>
      <c r="E351" s="1627" t="n">
        <v>0</v>
      </c>
      <c r="F351" s="1628"/>
      <c r="G351" s="1701"/>
      <c r="H351" s="1701"/>
      <c r="I351" s="1607"/>
      <c r="J351" s="1607"/>
      <c r="K351" s="1607"/>
      <c r="L351" s="1607"/>
      <c r="M351" s="1607"/>
      <c r="N351" s="1607"/>
      <c r="O351" s="1607"/>
    </row>
    <row r="352" customFormat="false" ht="12.75" hidden="false" customHeight="true" outlineLevel="0" collapsed="false">
      <c r="A352" s="1624" t="s">
        <v>1940</v>
      </c>
      <c r="B352" s="1750"/>
      <c r="C352" s="1751" t="n">
        <v>3.29999995231628</v>
      </c>
      <c r="D352" s="1752" t="n">
        <f aca="false">$B352*C352</f>
        <v>0</v>
      </c>
      <c r="E352" s="1627" t="n">
        <v>0</v>
      </c>
      <c r="F352" s="1628"/>
      <c r="G352" s="1701"/>
      <c r="H352" s="1701"/>
      <c r="I352" s="1607"/>
      <c r="J352" s="1607"/>
      <c r="K352" s="1607"/>
      <c r="L352" s="1607"/>
      <c r="M352" s="1607"/>
      <c r="N352" s="1607"/>
      <c r="O352" s="1607"/>
    </row>
    <row r="353" customFormat="false" ht="12.75" hidden="false" customHeight="true" outlineLevel="0" collapsed="false">
      <c r="A353" s="1624" t="s">
        <v>1941</v>
      </c>
      <c r="B353" s="1750"/>
      <c r="C353" s="1751" t="n">
        <v>10.7</v>
      </c>
      <c r="D353" s="1752" t="n">
        <f aca="false">$B353*C353</f>
        <v>0</v>
      </c>
      <c r="E353" s="1627" t="n">
        <v>0</v>
      </c>
      <c r="F353" s="1628"/>
      <c r="G353" s="1701"/>
      <c r="H353" s="1731"/>
      <c r="I353" s="1715"/>
      <c r="J353" s="1715"/>
      <c r="K353" s="1715"/>
      <c r="L353" s="1715"/>
      <c r="M353" s="1715"/>
      <c r="N353" s="1715"/>
      <c r="O353" s="1715"/>
      <c r="P353" s="1717"/>
      <c r="Q353" s="1717"/>
      <c r="R353" s="1717"/>
      <c r="S353" s="1717"/>
      <c r="T353" s="1717"/>
      <c r="U353" s="1717"/>
    </row>
    <row r="354" customFormat="false" ht="25.5" hidden="false" customHeight="true" outlineLevel="0" collapsed="false">
      <c r="A354" s="1624" t="s">
        <v>1942</v>
      </c>
      <c r="B354" s="1750"/>
      <c r="C354" s="1751" t="n">
        <v>3.2</v>
      </c>
      <c r="D354" s="1752" t="n">
        <f aca="false">$B354*C354</f>
        <v>0</v>
      </c>
      <c r="E354" s="1627" t="n">
        <v>0</v>
      </c>
      <c r="F354" s="1628"/>
      <c r="G354" s="1701"/>
      <c r="H354" s="1701"/>
      <c r="I354" s="1607"/>
      <c r="J354" s="1607"/>
      <c r="K354" s="1607"/>
      <c r="L354" s="1607"/>
      <c r="M354" s="1607"/>
      <c r="N354" s="1607"/>
      <c r="O354" s="1607"/>
    </row>
    <row r="355" customFormat="false" ht="12.75" hidden="false" customHeight="true" outlineLevel="0" collapsed="false">
      <c r="A355" s="1624" t="s">
        <v>1943</v>
      </c>
      <c r="B355" s="1750"/>
      <c r="C355" s="1751" t="n">
        <v>3.2</v>
      </c>
      <c r="D355" s="1752" t="n">
        <f aca="false">$B355*C355</f>
        <v>0</v>
      </c>
      <c r="E355" s="1627" t="n">
        <v>0</v>
      </c>
      <c r="F355" s="1628"/>
      <c r="G355" s="1701"/>
      <c r="H355" s="1604"/>
      <c r="I355" s="1607"/>
      <c r="J355" s="1607"/>
      <c r="K355" s="1607"/>
      <c r="L355" s="1607"/>
      <c r="M355" s="1607"/>
      <c r="N355" s="1607"/>
      <c r="O355" s="1607"/>
    </row>
    <row r="356" customFormat="false" ht="14.75" hidden="false" customHeight="true" outlineLevel="0" collapsed="false">
      <c r="A356" s="1624" t="s">
        <v>1944</v>
      </c>
      <c r="B356" s="1750"/>
      <c r="C356" s="1751" t="n">
        <v>1.8</v>
      </c>
      <c r="D356" s="1752" t="n">
        <f aca="false">$B356*C356</f>
        <v>0</v>
      </c>
      <c r="E356" s="1627" t="n">
        <v>0</v>
      </c>
      <c r="F356" s="1628"/>
      <c r="G356" s="1701"/>
      <c r="H356" s="1604"/>
      <c r="I356" s="1607"/>
      <c r="J356" s="1607"/>
      <c r="K356" s="1607"/>
      <c r="L356" s="1607"/>
      <c r="M356" s="1607"/>
      <c r="N356" s="1607"/>
      <c r="O356" s="1607"/>
    </row>
    <row r="357" customFormat="false" ht="25.25" hidden="false" customHeight="true" outlineLevel="0" collapsed="false">
      <c r="A357" s="1624" t="s">
        <v>1945</v>
      </c>
      <c r="B357" s="1750"/>
      <c r="C357" s="1751" t="n">
        <v>1.6</v>
      </c>
      <c r="D357" s="1752" t="n">
        <f aca="false">$B357*C357</f>
        <v>0</v>
      </c>
      <c r="E357" s="1623" t="n">
        <v>2</v>
      </c>
      <c r="F357" s="1754" t="s">
        <v>1946</v>
      </c>
      <c r="G357" s="1754"/>
      <c r="H357" s="1754"/>
      <c r="I357" s="1754"/>
      <c r="J357" s="1754"/>
      <c r="K357" s="1607"/>
      <c r="L357" s="1607"/>
      <c r="M357" s="1607"/>
      <c r="N357" s="1607"/>
      <c r="O357" s="1607"/>
    </row>
    <row r="358" customFormat="false" ht="42" hidden="false" customHeight="false" outlineLevel="0" collapsed="false">
      <c r="A358" s="1624" t="s">
        <v>1947</v>
      </c>
      <c r="B358" s="1750"/>
      <c r="C358" s="1750"/>
      <c r="D358" s="1752" t="n">
        <f aca="false">$B358*C358</f>
        <v>0</v>
      </c>
      <c r="E358" s="1623"/>
      <c r="F358" s="1754" t="s">
        <v>1948</v>
      </c>
      <c r="G358" s="1628"/>
      <c r="H358" s="1628"/>
      <c r="I358" s="1607"/>
      <c r="J358" s="1607"/>
      <c r="K358" s="1607"/>
      <c r="L358" s="1607"/>
      <c r="M358" s="1755" t="s">
        <v>1949</v>
      </c>
      <c r="N358" s="1607"/>
      <c r="O358" s="1607"/>
    </row>
    <row r="359" customFormat="false" ht="42" hidden="false" customHeight="false" outlineLevel="0" collapsed="false">
      <c r="A359" s="1624" t="s">
        <v>1950</v>
      </c>
      <c r="B359" s="1750"/>
      <c r="C359" s="1750"/>
      <c r="D359" s="1752" t="n">
        <f aca="false">$B359*C359</f>
        <v>0</v>
      </c>
      <c r="E359" s="1623"/>
      <c r="F359" s="1754" t="s">
        <v>1951</v>
      </c>
      <c r="G359" s="1628"/>
      <c r="H359" s="1628"/>
      <c r="I359" s="1607"/>
      <c r="J359" s="1607"/>
      <c r="K359" s="1607"/>
      <c r="L359" s="1607"/>
      <c r="M359" s="1755" t="s">
        <v>1949</v>
      </c>
      <c r="N359" s="1607"/>
      <c r="O359" s="1607"/>
    </row>
    <row r="360" customFormat="false" ht="15.5" hidden="false" customHeight="true" outlineLevel="0" collapsed="false">
      <c r="A360" s="1624" t="s">
        <v>1952</v>
      </c>
      <c r="B360" s="1750"/>
      <c r="C360" s="1751" t="n">
        <v>0.7</v>
      </c>
      <c r="D360" s="1752" t="n">
        <f aca="false">$B360*C360</f>
        <v>0</v>
      </c>
      <c r="E360" s="1627" t="n">
        <v>0</v>
      </c>
      <c r="F360" s="1628"/>
      <c r="G360" s="1701"/>
      <c r="H360" s="1604"/>
      <c r="I360" s="1607"/>
      <c r="J360" s="1607"/>
      <c r="K360" s="1607"/>
      <c r="L360" s="1607"/>
      <c r="M360" s="1607"/>
      <c r="N360" s="1607"/>
      <c r="O360" s="1607"/>
    </row>
    <row r="361" customFormat="false" ht="12.75" hidden="false" customHeight="true" outlineLevel="0" collapsed="false">
      <c r="A361" s="1624" t="s">
        <v>1870</v>
      </c>
      <c r="B361" s="1750"/>
      <c r="C361" s="1751" t="n">
        <v>71</v>
      </c>
      <c r="D361" s="1752" t="n">
        <f aca="false">$B361*C361</f>
        <v>0</v>
      </c>
      <c r="E361" s="1627" t="n">
        <v>0</v>
      </c>
      <c r="F361" s="1628"/>
      <c r="G361" s="1701"/>
      <c r="H361" s="1604"/>
      <c r="I361" s="1607"/>
      <c r="J361" s="1607"/>
      <c r="K361" s="1607"/>
      <c r="L361" s="1607"/>
      <c r="M361" s="1607"/>
      <c r="N361" s="1607"/>
      <c r="O361" s="1607"/>
    </row>
    <row r="362" customFormat="false" ht="12.75" hidden="false" customHeight="true" outlineLevel="0" collapsed="false">
      <c r="A362" s="1624" t="s">
        <v>1953</v>
      </c>
      <c r="B362" s="1750"/>
      <c r="C362" s="1751" t="n">
        <v>23</v>
      </c>
      <c r="D362" s="1752" t="n">
        <f aca="false">$B362*C362</f>
        <v>0</v>
      </c>
      <c r="E362" s="1627" t="n">
        <v>0</v>
      </c>
      <c r="F362" s="1628"/>
      <c r="G362" s="1701"/>
      <c r="H362" s="1604"/>
      <c r="I362" s="1607"/>
      <c r="J362" s="1607"/>
      <c r="K362" s="1607"/>
      <c r="L362" s="1607"/>
      <c r="M362" s="1607"/>
      <c r="N362" s="1607"/>
      <c r="O362" s="1607"/>
    </row>
    <row r="363" customFormat="false" ht="12.75" hidden="false" customHeight="true" outlineLevel="0" collapsed="false">
      <c r="A363" s="1624" t="s">
        <v>353</v>
      </c>
      <c r="B363" s="1750"/>
      <c r="C363" s="1750"/>
      <c r="D363" s="1752" t="n">
        <f aca="false">$B363*C363</f>
        <v>0</v>
      </c>
      <c r="E363" s="1627"/>
      <c r="F363" s="1628"/>
      <c r="G363" s="1701"/>
      <c r="H363" s="1604"/>
      <c r="I363" s="1607"/>
      <c r="J363" s="1607"/>
      <c r="K363" s="1607"/>
      <c r="L363" s="1607"/>
      <c r="M363" s="1607"/>
      <c r="N363" s="1607"/>
      <c r="O363" s="1607"/>
    </row>
    <row r="364" customFormat="false" ht="14.75" hidden="false" customHeight="true" outlineLevel="0" collapsed="false">
      <c r="A364" s="1624" t="s">
        <v>354</v>
      </c>
      <c r="B364" s="1750"/>
      <c r="C364" s="1750"/>
      <c r="D364" s="1752" t="n">
        <f aca="false">$B364*C364</f>
        <v>0</v>
      </c>
      <c r="E364" s="1627"/>
      <c r="F364" s="1628"/>
      <c r="G364" s="1701"/>
      <c r="H364" s="1604"/>
      <c r="I364" s="1607"/>
      <c r="J364" s="1607"/>
      <c r="K364" s="1607"/>
      <c r="L364" s="1607"/>
      <c r="M364" s="1607"/>
      <c r="N364" s="1607"/>
      <c r="O364" s="1607"/>
    </row>
    <row r="365" customFormat="false" ht="12.75" hidden="false" customHeight="true" outlineLevel="0" collapsed="false">
      <c r="A365" s="1624" t="s">
        <v>355</v>
      </c>
      <c r="B365" s="1750"/>
      <c r="C365" s="1750"/>
      <c r="D365" s="1752" t="n">
        <f aca="false">$B365*C365</f>
        <v>0</v>
      </c>
      <c r="E365" s="1627"/>
      <c r="F365" s="1628"/>
      <c r="G365" s="1701"/>
      <c r="H365" s="1604"/>
      <c r="I365" s="1607"/>
      <c r="J365" s="1607"/>
      <c r="K365" s="1607"/>
      <c r="L365" s="1607"/>
      <c r="M365" s="1607"/>
      <c r="N365" s="1607"/>
      <c r="O365" s="1607"/>
    </row>
    <row r="366" customFormat="false" ht="14.75" hidden="false" customHeight="true" outlineLevel="0" collapsed="false">
      <c r="A366" s="1624" t="s">
        <v>1954</v>
      </c>
      <c r="B366" s="1750"/>
      <c r="C366" s="1750"/>
      <c r="D366" s="1752" t="n">
        <f aca="false">$B366*C366</f>
        <v>0</v>
      </c>
      <c r="E366" s="1627"/>
      <c r="F366" s="1607" t="s">
        <v>1955</v>
      </c>
      <c r="G366" s="1701"/>
      <c r="H366" s="1755" t="s">
        <v>1949</v>
      </c>
      <c r="I366" s="1607" t="s">
        <v>1956</v>
      </c>
      <c r="J366" s="1607"/>
      <c r="K366" s="1607"/>
      <c r="L366" s="1607"/>
      <c r="M366" s="1607"/>
      <c r="N366" s="1607"/>
      <c r="O366" s="1607"/>
    </row>
    <row r="367" customFormat="false" ht="25.5" hidden="false" customHeight="true" outlineLevel="0" collapsed="false">
      <c r="A367" s="1624" t="s">
        <v>1957</v>
      </c>
      <c r="B367" s="1750"/>
      <c r="C367" s="1750"/>
      <c r="D367" s="1752" t="n">
        <f aca="false">$B367*C367</f>
        <v>0</v>
      </c>
      <c r="E367" s="1627"/>
      <c r="F367" s="1607" t="s">
        <v>1955</v>
      </c>
      <c r="G367" s="1701"/>
      <c r="H367" s="1755" t="s">
        <v>1949</v>
      </c>
      <c r="I367" s="1607" t="s">
        <v>1956</v>
      </c>
      <c r="J367" s="1607"/>
      <c r="K367" s="1607"/>
      <c r="L367" s="1607"/>
      <c r="M367" s="1607"/>
      <c r="N367" s="1607"/>
      <c r="O367" s="1607"/>
    </row>
    <row r="368" s="1717" customFormat="true" ht="12.75" hidden="false" customHeight="true" outlineLevel="0" collapsed="false">
      <c r="A368" s="1630" t="s">
        <v>1116</v>
      </c>
      <c r="B368" s="1750"/>
      <c r="C368" s="1750"/>
      <c r="D368" s="1756" t="n">
        <f aca="false">$B368*C368</f>
        <v>0</v>
      </c>
      <c r="E368" s="1627" t="s">
        <v>686</v>
      </c>
      <c r="F368" s="1716"/>
      <c r="G368" s="1731"/>
      <c r="H368" s="1604"/>
      <c r="I368" s="1607"/>
      <c r="J368" s="1607"/>
      <c r="K368" s="1607"/>
      <c r="L368" s="1607"/>
      <c r="M368" s="1607"/>
      <c r="N368" s="1607"/>
      <c r="O368" s="1607"/>
    </row>
    <row r="369" customFormat="false" ht="12.75" hidden="false" customHeight="true" outlineLevel="0" collapsed="false">
      <c r="A369" s="1630" t="s">
        <v>1116</v>
      </c>
      <c r="B369" s="1750"/>
      <c r="C369" s="1750"/>
      <c r="D369" s="1756" t="n">
        <f aca="false">$B369*C369</f>
        <v>0</v>
      </c>
      <c r="E369" s="1627" t="s">
        <v>686</v>
      </c>
      <c r="F369" s="1628"/>
      <c r="G369" s="1701"/>
      <c r="H369" s="1607"/>
      <c r="I369" s="1607"/>
      <c r="J369" s="1607"/>
      <c r="K369" s="1607"/>
      <c r="L369" s="1607"/>
      <c r="M369" s="1607"/>
      <c r="N369" s="1607"/>
      <c r="O369" s="1607"/>
    </row>
    <row r="370" customFormat="false" ht="12.75" hidden="false" customHeight="true" outlineLevel="0" collapsed="false">
      <c r="A370" s="1746"/>
      <c r="B370" s="1734"/>
      <c r="C370" s="1604"/>
      <c r="D370" s="1607"/>
      <c r="E370" s="1607"/>
      <c r="F370" s="1607"/>
      <c r="G370" s="1604"/>
      <c r="H370" s="1604"/>
      <c r="I370" s="1604"/>
      <c r="J370" s="1607"/>
      <c r="K370" s="1607"/>
      <c r="L370" s="1607"/>
      <c r="M370" s="1607"/>
      <c r="N370" s="1607"/>
      <c r="O370" s="1607"/>
    </row>
    <row r="371" customFormat="false" ht="12.75" hidden="false" customHeight="true" outlineLevel="0" collapsed="false">
      <c r="A371" s="1604"/>
      <c r="B371" s="1635" t="s">
        <v>1220</v>
      </c>
      <c r="C371" s="1636" t="s">
        <v>540</v>
      </c>
      <c r="D371" s="770" t="n">
        <f aca="false">SUM(D324:D369)</f>
        <v>0</v>
      </c>
      <c r="E371" s="1604"/>
      <c r="F371" s="1604"/>
      <c r="G371" s="1604"/>
      <c r="H371" s="1604"/>
      <c r="I371" s="1604"/>
      <c r="J371" s="1604"/>
      <c r="K371" s="1604"/>
      <c r="L371" s="1607"/>
      <c r="M371" s="1607"/>
      <c r="N371" s="1607"/>
      <c r="O371" s="1607"/>
    </row>
    <row r="372" customFormat="false" ht="12.75" hidden="false" customHeight="true" outlineLevel="0" collapsed="false">
      <c r="A372" s="1604"/>
      <c r="B372" s="1757"/>
      <c r="C372" s="1757"/>
      <c r="D372" s="1758"/>
      <c r="E372" s="1604"/>
      <c r="F372" s="1604"/>
      <c r="G372" s="1604"/>
      <c r="H372" s="1604"/>
      <c r="I372" s="1604"/>
      <c r="J372" s="1604"/>
      <c r="K372" s="1604"/>
      <c r="L372" s="1607"/>
      <c r="M372" s="1607"/>
      <c r="N372" s="1607"/>
      <c r="O372" s="1607"/>
    </row>
    <row r="373" customFormat="false" ht="12.75" hidden="false" customHeight="true" outlineLevel="0" collapsed="false">
      <c r="A373" s="1604"/>
      <c r="B373" s="1604"/>
      <c r="C373" s="1604"/>
      <c r="D373" s="1604"/>
      <c r="E373" s="1604"/>
      <c r="F373" s="1604"/>
      <c r="G373" s="1604"/>
      <c r="H373" s="1604"/>
      <c r="I373" s="1604"/>
      <c r="J373" s="1604"/>
      <c r="K373" s="1604"/>
      <c r="L373" s="1607"/>
      <c r="M373" s="1607"/>
      <c r="N373" s="1607"/>
      <c r="O373" s="1607"/>
    </row>
    <row r="374" s="1760" customFormat="true" ht="20.25" hidden="false" customHeight="true" outlineLevel="0" collapsed="false">
      <c r="A374" s="1613" t="s">
        <v>1958</v>
      </c>
      <c r="B374" s="1613"/>
      <c r="C374" s="1613"/>
      <c r="D374" s="1613"/>
      <c r="E374" s="1613"/>
      <c r="F374" s="1613"/>
      <c r="G374" s="1613"/>
      <c r="H374" s="1613"/>
      <c r="I374" s="1613"/>
      <c r="J374" s="1759"/>
      <c r="K374" s="1759"/>
    </row>
    <row r="375" customFormat="false" ht="12.75" hidden="false" customHeight="true" outlineLevel="0" collapsed="false">
      <c r="A375" s="1615"/>
      <c r="B375" s="1604"/>
      <c r="C375" s="1604"/>
      <c r="D375" s="1604"/>
      <c r="E375" s="1604"/>
      <c r="F375" s="1604"/>
      <c r="G375" s="1604"/>
      <c r="H375" s="1604"/>
      <c r="I375" s="1604"/>
      <c r="J375" s="1604"/>
      <c r="K375" s="1604"/>
      <c r="L375" s="1607"/>
      <c r="M375" s="1607"/>
      <c r="N375" s="1607"/>
      <c r="O375" s="1607"/>
    </row>
    <row r="376" customFormat="false" ht="12.75" hidden="false" customHeight="true" outlineLevel="0" collapsed="false">
      <c r="A376" s="1604"/>
      <c r="B376" s="1604"/>
      <c r="C376" s="1604"/>
      <c r="D376" s="1604"/>
      <c r="E376" s="1604"/>
      <c r="F376" s="1604"/>
      <c r="G376" s="1604"/>
      <c r="H376" s="1604"/>
      <c r="I376" s="1604"/>
      <c r="J376" s="1604"/>
      <c r="K376" s="1604"/>
      <c r="L376" s="1607"/>
      <c r="M376" s="1607"/>
      <c r="N376" s="1607"/>
      <c r="O376" s="1607"/>
    </row>
    <row r="377" customFormat="false" ht="25.5" hidden="false" customHeight="true" outlineLevel="0" collapsed="false">
      <c r="A377" s="1662" t="s">
        <v>1959</v>
      </c>
      <c r="B377" s="479" t="s">
        <v>1960</v>
      </c>
      <c r="C377" s="1635" t="s">
        <v>1961</v>
      </c>
      <c r="D377" s="1635" t="s">
        <v>395</v>
      </c>
      <c r="E377" s="1635" t="s">
        <v>395</v>
      </c>
      <c r="F377" s="1618" t="s">
        <v>1822</v>
      </c>
      <c r="G377" s="1604"/>
      <c r="H377" s="1607"/>
      <c r="I377" s="1607"/>
      <c r="J377" s="1607"/>
      <c r="K377" s="1607"/>
      <c r="L377" s="1607"/>
      <c r="M377" s="1607"/>
      <c r="N377" s="1607"/>
      <c r="O377" s="1607"/>
    </row>
    <row r="378" customFormat="false" ht="12.75" hidden="false" customHeight="true" outlineLevel="0" collapsed="false">
      <c r="A378" s="1662"/>
      <c r="B378" s="1761" t="s">
        <v>1962</v>
      </c>
      <c r="C378" s="1761" t="s">
        <v>1963</v>
      </c>
      <c r="D378" s="1636" t="s">
        <v>1964</v>
      </c>
      <c r="E378" s="1636" t="s">
        <v>1855</v>
      </c>
      <c r="F378" s="1623"/>
      <c r="G378" s="1604"/>
      <c r="H378" s="1607"/>
      <c r="I378" s="1607"/>
      <c r="J378" s="1607"/>
      <c r="K378" s="1607"/>
      <c r="L378" s="1607"/>
      <c r="M378" s="1607"/>
      <c r="N378" s="1607"/>
      <c r="O378" s="1607"/>
    </row>
    <row r="379" customFormat="false" ht="12.75" hidden="false" customHeight="true" outlineLevel="0" collapsed="false">
      <c r="A379" s="1730" t="s">
        <v>1965</v>
      </c>
      <c r="B379" s="1739" t="n">
        <f aca="false">'Saisie et Calculateur'!C91</f>
        <v>0</v>
      </c>
      <c r="C379" s="1739" t="n">
        <f aca="false">'Saisie et Calculateur'!F91</f>
        <v>0</v>
      </c>
      <c r="D379" s="1762" t="n">
        <f aca="false">C379/6.06</f>
        <v>0</v>
      </c>
      <c r="E379" s="1651" t="n">
        <f aca="false">D379*$B379/1000</f>
        <v>0</v>
      </c>
      <c r="F379" s="1627" t="n">
        <v>0</v>
      </c>
      <c r="G379" s="1604"/>
      <c r="H379" s="1607"/>
      <c r="I379" s="1607"/>
      <c r="J379" s="1607"/>
      <c r="K379" s="1607"/>
      <c r="L379" s="1607"/>
      <c r="M379" s="1607"/>
      <c r="N379" s="1607"/>
      <c r="O379" s="1607"/>
    </row>
    <row r="380" customFormat="false" ht="12.75" hidden="false" customHeight="true" outlineLevel="0" collapsed="false">
      <c r="A380" s="1763" t="s">
        <v>1966</v>
      </c>
      <c r="B380" s="1739" t="n">
        <f aca="false">'Saisie et Calculateur'!C93</f>
        <v>0</v>
      </c>
      <c r="C380" s="1739" t="n">
        <f aca="false">'Saisie et Calculateur'!F93</f>
        <v>0</v>
      </c>
      <c r="D380" s="1762" t="n">
        <f aca="false">C380/6.06</f>
        <v>0</v>
      </c>
      <c r="E380" s="1651" t="n">
        <f aca="false">D380*$B380/1000</f>
        <v>0</v>
      </c>
      <c r="F380" s="1627" t="n">
        <v>0</v>
      </c>
      <c r="G380" s="1604"/>
      <c r="H380" s="1607"/>
      <c r="I380" s="1607"/>
      <c r="J380" s="1607"/>
      <c r="K380" s="1607"/>
      <c r="L380" s="1607"/>
      <c r="M380" s="1607"/>
      <c r="N380" s="1607"/>
      <c r="O380" s="1607"/>
    </row>
    <row r="381" customFormat="false" ht="12.75" hidden="false" customHeight="true" outlineLevel="0" collapsed="false">
      <c r="A381" s="1763" t="s">
        <v>1967</v>
      </c>
      <c r="B381" s="1739" t="n">
        <f aca="false">'Saisie et Calculateur'!C92</f>
        <v>0</v>
      </c>
      <c r="C381" s="1739" t="n">
        <f aca="false">'Saisie et Calculateur'!F92</f>
        <v>0</v>
      </c>
      <c r="D381" s="1762" t="n">
        <f aca="false">C381/5.74</f>
        <v>0</v>
      </c>
      <c r="E381" s="1651" t="n">
        <f aca="false">D381*$B381/1000</f>
        <v>0</v>
      </c>
      <c r="F381" s="1627" t="n">
        <v>0</v>
      </c>
      <c r="G381" s="1604"/>
      <c r="K381" s="1607"/>
      <c r="L381" s="1607"/>
      <c r="M381" s="1607"/>
      <c r="N381" s="1607"/>
      <c r="O381" s="1607"/>
    </row>
    <row r="382" s="1717" customFormat="true" ht="12.75" hidden="false" customHeight="true" outlineLevel="0" collapsed="false">
      <c r="A382" s="1764"/>
      <c r="B382" s="1765"/>
      <c r="C382" s="1765"/>
      <c r="D382" s="1766"/>
      <c r="E382" s="1767"/>
      <c r="F382" s="1700"/>
      <c r="G382" s="1753"/>
      <c r="H382" s="1607"/>
      <c r="I382" s="1607"/>
      <c r="J382" s="1607"/>
      <c r="K382" s="1607"/>
      <c r="L382" s="1715"/>
      <c r="M382" s="1715"/>
      <c r="N382" s="1715"/>
      <c r="O382" s="1715"/>
    </row>
    <row r="383" customFormat="false" ht="12.75" hidden="false" customHeight="true" outlineLevel="0" collapsed="false">
      <c r="A383" s="1764" t="s">
        <v>1116</v>
      </c>
      <c r="B383" s="1739" t="n">
        <f aca="false">'Saisie et Calculateur'!C94</f>
        <v>0</v>
      </c>
      <c r="C383" s="1739" t="n">
        <f aca="false">'Saisie et Calculateur'!F94</f>
        <v>0</v>
      </c>
      <c r="D383" s="1768" t="n">
        <f aca="false">C383/5.74</f>
        <v>0</v>
      </c>
      <c r="E383" s="1668" t="n">
        <f aca="false">D383*$B383/1000</f>
        <v>0</v>
      </c>
      <c r="F383" s="1627" t="s">
        <v>686</v>
      </c>
      <c r="G383" s="1604"/>
      <c r="H383" s="1607"/>
      <c r="I383" s="1607"/>
      <c r="J383" s="1607"/>
      <c r="K383" s="1607"/>
      <c r="L383" s="1607"/>
      <c r="M383" s="1607"/>
      <c r="N383" s="1607"/>
      <c r="O383" s="1607"/>
    </row>
    <row r="384" customFormat="false" ht="12.75" hidden="false" customHeight="true" outlineLevel="0" collapsed="false">
      <c r="A384" s="1604"/>
      <c r="B384" s="1604"/>
      <c r="C384" s="1635" t="s">
        <v>1220</v>
      </c>
      <c r="D384" s="1659" t="s">
        <v>540</v>
      </c>
      <c r="E384" s="770" t="n">
        <f aca="false">SUM(E379:E383)</f>
        <v>0</v>
      </c>
      <c r="F384" s="1607"/>
      <c r="G384" s="1607"/>
      <c r="H384" s="1604"/>
      <c r="I384" s="1604"/>
      <c r="J384" s="1607"/>
      <c r="K384" s="1607"/>
      <c r="L384" s="1607"/>
      <c r="M384" s="1607"/>
      <c r="N384" s="1607"/>
      <c r="O384" s="1607"/>
    </row>
    <row r="385" customFormat="false" ht="12.75" hidden="false" customHeight="true" outlineLevel="0" collapsed="false">
      <c r="A385" s="1769"/>
      <c r="B385" s="1769"/>
      <c r="C385" s="1604"/>
      <c r="D385" s="1770"/>
      <c r="E385" s="1770"/>
      <c r="F385" s="1604"/>
      <c r="G385" s="1604"/>
      <c r="H385" s="1604"/>
      <c r="I385" s="1604"/>
      <c r="J385" s="1604"/>
      <c r="K385" s="1604"/>
      <c r="L385" s="1607"/>
      <c r="M385" s="1607"/>
      <c r="N385" s="1607"/>
      <c r="O385" s="1607"/>
    </row>
    <row r="386" customFormat="false" ht="25.5" hidden="false" customHeight="true" outlineLevel="0" collapsed="false">
      <c r="A386" s="1662" t="s">
        <v>1968</v>
      </c>
      <c r="B386" s="479" t="s">
        <v>1969</v>
      </c>
      <c r="C386" s="1500" t="s">
        <v>1970</v>
      </c>
      <c r="D386" s="1635" t="s">
        <v>395</v>
      </c>
      <c r="E386" s="1635" t="s">
        <v>395</v>
      </c>
      <c r="F386" s="1618" t="s">
        <v>1822</v>
      </c>
      <c r="G386" s="1604"/>
      <c r="H386" s="1607"/>
      <c r="I386" s="1607"/>
      <c r="J386" s="1607"/>
      <c r="K386" s="1607"/>
      <c r="L386" s="1607"/>
      <c r="M386" s="1607"/>
      <c r="N386" s="1607"/>
      <c r="O386" s="1607"/>
    </row>
    <row r="387" customFormat="false" ht="25.5" hidden="false" customHeight="true" outlineLevel="0" collapsed="false">
      <c r="A387" s="1662"/>
      <c r="B387" s="1636" t="s">
        <v>1971</v>
      </c>
      <c r="C387" s="1708" t="s">
        <v>540</v>
      </c>
      <c r="D387" s="1708" t="s">
        <v>1972</v>
      </c>
      <c r="E387" s="1636" t="s">
        <v>1855</v>
      </c>
      <c r="F387" s="1623"/>
      <c r="G387" s="1604"/>
      <c r="H387" s="1607"/>
      <c r="I387" s="1607"/>
      <c r="J387" s="1607"/>
      <c r="K387" s="1607"/>
      <c r="L387" s="1607"/>
      <c r="M387" s="1607"/>
      <c r="N387" s="1607"/>
      <c r="O387" s="1607"/>
    </row>
    <row r="388" customFormat="false" ht="12.75" hidden="false" customHeight="true" outlineLevel="0" collapsed="false">
      <c r="A388" s="1657" t="s">
        <v>1973</v>
      </c>
      <c r="B388" s="1771"/>
      <c r="C388" s="1772" t="n">
        <v>0.0750000029802322</v>
      </c>
      <c r="D388" s="1773" t="n">
        <v>21.2999992370605</v>
      </c>
      <c r="E388" s="1752" t="n">
        <f aca="false">($B388*$C388)/1000*D388</f>
        <v>0</v>
      </c>
      <c r="F388" s="1627" t="n">
        <v>0</v>
      </c>
      <c r="G388" s="1628"/>
      <c r="H388" s="1661"/>
      <c r="I388" s="1607"/>
      <c r="J388" s="1607"/>
      <c r="K388" s="1607"/>
      <c r="L388" s="1607"/>
      <c r="M388" s="1607"/>
      <c r="N388" s="1607"/>
      <c r="O388" s="1607"/>
    </row>
    <row r="389" customFormat="false" ht="12.75" hidden="false" customHeight="true" outlineLevel="0" collapsed="false">
      <c r="A389" s="1657" t="s">
        <v>1974</v>
      </c>
      <c r="B389" s="1771"/>
      <c r="C389" s="1772" t="n">
        <v>0.0750000029802322</v>
      </c>
      <c r="D389" s="1773" t="n">
        <v>21</v>
      </c>
      <c r="E389" s="1752" t="n">
        <f aca="false">($B389*$C389)/1000*D389</f>
        <v>0</v>
      </c>
      <c r="F389" s="1627" t="n">
        <v>0</v>
      </c>
      <c r="G389" s="1628"/>
      <c r="H389" s="1607"/>
      <c r="I389" s="1607"/>
      <c r="J389" s="1607"/>
      <c r="K389" s="1607"/>
      <c r="L389" s="1607"/>
      <c r="M389" s="1607"/>
      <c r="N389" s="1607"/>
      <c r="O389" s="1607"/>
    </row>
    <row r="390" customFormat="false" ht="12.75" hidden="false" customHeight="true" outlineLevel="0" collapsed="false">
      <c r="A390" s="1657" t="s">
        <v>1975</v>
      </c>
      <c r="B390" s="1771"/>
      <c r="C390" s="1772" t="n">
        <v>0.0599999986588955</v>
      </c>
      <c r="D390" s="1773" t="n">
        <v>19.2000007629395</v>
      </c>
      <c r="E390" s="1752" t="n">
        <f aca="false">($B390*$C390)/1000*D390</f>
        <v>0</v>
      </c>
      <c r="F390" s="1627" t="n">
        <v>0</v>
      </c>
      <c r="G390" s="1628"/>
      <c r="H390" s="1607"/>
      <c r="I390" s="1607"/>
      <c r="J390" s="1607"/>
      <c r="K390" s="1607"/>
      <c r="L390" s="1607"/>
      <c r="M390" s="1607"/>
      <c r="N390" s="1607"/>
      <c r="O390" s="1607"/>
    </row>
    <row r="391" customFormat="false" ht="12.75" hidden="false" customHeight="true" outlineLevel="0" collapsed="false">
      <c r="A391" s="1657" t="s">
        <v>1976</v>
      </c>
      <c r="B391" s="1771"/>
      <c r="C391" s="1772" t="n">
        <v>0.100000001490116</v>
      </c>
      <c r="D391" s="1773" t="n">
        <v>22.2000007629395</v>
      </c>
      <c r="E391" s="1752" t="n">
        <f aca="false">($B391*$C391)/1000*D391</f>
        <v>0</v>
      </c>
      <c r="F391" s="1627" t="n">
        <v>0</v>
      </c>
      <c r="G391" s="1628"/>
      <c r="H391" s="1607"/>
      <c r="I391" s="1607"/>
      <c r="J391" s="1607"/>
      <c r="K391" s="1607"/>
      <c r="L391" s="1607"/>
      <c r="M391" s="1607"/>
      <c r="N391" s="1607"/>
      <c r="O391" s="1607"/>
    </row>
    <row r="392" s="1717" customFormat="true" ht="12.75" hidden="false" customHeight="true" outlineLevel="0" collapsed="false">
      <c r="A392" s="1774" t="s">
        <v>1116</v>
      </c>
      <c r="B392" s="1771"/>
      <c r="C392" s="1771"/>
      <c r="D392" s="1771"/>
      <c r="E392" s="1752" t="n">
        <f aca="false">($B392*$C392)/1000*D392</f>
        <v>0</v>
      </c>
      <c r="F392" s="1627" t="s">
        <v>686</v>
      </c>
      <c r="G392" s="1716"/>
      <c r="H392" s="1607"/>
      <c r="I392" s="1607"/>
      <c r="J392" s="1607"/>
      <c r="K392" s="1607"/>
      <c r="L392" s="1715"/>
      <c r="M392" s="1715"/>
      <c r="N392" s="1715"/>
      <c r="O392" s="1715"/>
    </row>
    <row r="393" customFormat="false" ht="13.5" hidden="false" customHeight="true" outlineLevel="0" collapsed="false">
      <c r="A393" s="1774" t="s">
        <v>1116</v>
      </c>
      <c r="B393" s="1775"/>
      <c r="C393" s="1771"/>
      <c r="D393" s="1771"/>
      <c r="E393" s="1756" t="n">
        <f aca="false">($B393*$C393)/1000*D393</f>
        <v>0</v>
      </c>
      <c r="F393" s="1627" t="s">
        <v>686</v>
      </c>
      <c r="G393" s="1628"/>
      <c r="H393" s="1607"/>
      <c r="I393" s="1607"/>
      <c r="J393" s="1607"/>
      <c r="K393" s="1607"/>
      <c r="L393" s="1607"/>
      <c r="M393" s="1607"/>
      <c r="N393" s="1607"/>
      <c r="O393" s="1607"/>
    </row>
    <row r="394" customFormat="false" ht="13.5" hidden="false" customHeight="true" outlineLevel="0" collapsed="false">
      <c r="A394" s="1769"/>
      <c r="B394" s="1776" t="n">
        <f aca="false">'Saisie et Calculateur'!H119</f>
        <v>0</v>
      </c>
      <c r="C394" s="1777" t="s">
        <v>1220</v>
      </c>
      <c r="D394" s="1636" t="s">
        <v>540</v>
      </c>
      <c r="E394" s="770" t="n">
        <f aca="false">SUM(E388:E393)</f>
        <v>0</v>
      </c>
      <c r="F394" s="1607"/>
      <c r="G394" s="1607"/>
      <c r="H394" s="1604"/>
      <c r="I394" s="1604"/>
      <c r="J394" s="1607"/>
      <c r="K394" s="1607"/>
      <c r="L394" s="1607"/>
      <c r="M394" s="1607"/>
      <c r="N394" s="1607"/>
      <c r="O394" s="1607"/>
    </row>
    <row r="395" customFormat="false" ht="12.75" hidden="false" customHeight="true" outlineLevel="0" collapsed="false">
      <c r="A395" s="1769"/>
      <c r="B395" s="1769"/>
      <c r="C395" s="1604"/>
      <c r="D395" s="1778"/>
      <c r="E395" s="1770"/>
      <c r="F395" s="1604"/>
      <c r="G395" s="1604"/>
      <c r="H395" s="1604"/>
      <c r="I395" s="1604"/>
      <c r="J395" s="1604"/>
      <c r="K395" s="1604"/>
      <c r="L395" s="1607"/>
      <c r="M395" s="1607"/>
      <c r="N395" s="1607"/>
      <c r="O395" s="1607"/>
    </row>
    <row r="396" customFormat="false" ht="12.75" hidden="false" customHeight="true" outlineLevel="0" collapsed="false">
      <c r="A396" s="1769"/>
      <c r="B396" s="1679" t="s">
        <v>1977</v>
      </c>
      <c r="C396" s="1679"/>
      <c r="D396" s="1680" t="s">
        <v>540</v>
      </c>
      <c r="E396" s="770" t="n">
        <f aca="false">E384+E394</f>
        <v>0</v>
      </c>
      <c r="F396" s="1607"/>
      <c r="G396" s="1607"/>
      <c r="H396" s="1604"/>
      <c r="I396" s="1604"/>
      <c r="J396" s="1607"/>
      <c r="K396" s="1607"/>
      <c r="L396" s="1607"/>
      <c r="M396" s="1607"/>
      <c r="N396" s="1607"/>
      <c r="O396" s="1607"/>
    </row>
    <row r="397" customFormat="false" ht="12.75" hidden="false" customHeight="true" outlineLevel="0" collapsed="false">
      <c r="A397" s="1769"/>
      <c r="B397" s="1769"/>
      <c r="C397" s="1604"/>
      <c r="D397" s="1770"/>
      <c r="E397" s="1770"/>
      <c r="F397" s="1604"/>
      <c r="G397" s="1604"/>
      <c r="H397" s="1604"/>
      <c r="I397" s="1604"/>
      <c r="J397" s="1604"/>
      <c r="K397" s="1604"/>
      <c r="L397" s="1607"/>
      <c r="M397" s="1607"/>
      <c r="N397" s="1607"/>
      <c r="O397" s="1607"/>
    </row>
    <row r="398" customFormat="false" ht="12.75" hidden="false" customHeight="true" outlineLevel="0" collapsed="false">
      <c r="A398" s="1604"/>
      <c r="B398" s="1604"/>
      <c r="C398" s="1604"/>
      <c r="D398" s="1604"/>
      <c r="E398" s="1604"/>
      <c r="F398" s="1604"/>
      <c r="G398" s="1604"/>
      <c r="H398" s="1604"/>
      <c r="I398" s="1604"/>
      <c r="J398" s="1604"/>
      <c r="K398" s="1604"/>
      <c r="L398" s="1607"/>
      <c r="M398" s="1607"/>
      <c r="N398" s="1607"/>
      <c r="O398" s="1607"/>
    </row>
    <row r="399" customFormat="false" ht="20.25" hidden="false" customHeight="true" outlineLevel="0" collapsed="false">
      <c r="A399" s="1613" t="s">
        <v>1978</v>
      </c>
      <c r="B399" s="1613"/>
      <c r="C399" s="1613"/>
      <c r="D399" s="1613"/>
      <c r="E399" s="1613"/>
      <c r="F399" s="1613"/>
      <c r="G399" s="1613"/>
      <c r="H399" s="1613"/>
      <c r="I399" s="1613"/>
      <c r="J399" s="1604" t="s">
        <v>1979</v>
      </c>
      <c r="K399" s="1604"/>
      <c r="L399" s="1607"/>
      <c r="M399" s="1607"/>
      <c r="N399" s="1607"/>
      <c r="O399" s="1607"/>
    </row>
    <row r="400" customFormat="false" ht="13.5" hidden="false" customHeight="true" outlineLevel="0" collapsed="false">
      <c r="A400" s="1604"/>
      <c r="B400" s="1604"/>
      <c r="C400" s="1604"/>
      <c r="D400" s="1604"/>
      <c r="E400" s="1604"/>
      <c r="F400" s="1604"/>
      <c r="G400" s="1604"/>
      <c r="H400" s="1604"/>
      <c r="I400" s="1604"/>
      <c r="J400" s="1604"/>
      <c r="K400" s="1604"/>
      <c r="L400" s="1607"/>
      <c r="M400" s="1607"/>
      <c r="N400" s="1607"/>
      <c r="O400" s="1607"/>
    </row>
    <row r="401" customFormat="false" ht="45" hidden="false" customHeight="true" outlineLevel="0" collapsed="false">
      <c r="A401" s="1779" t="s">
        <v>1980</v>
      </c>
      <c r="B401" s="477" t="s">
        <v>1981</v>
      </c>
      <c r="C401" s="477" t="s">
        <v>1888</v>
      </c>
      <c r="D401" s="1780" t="s">
        <v>1982</v>
      </c>
      <c r="E401" s="1705" t="s">
        <v>395</v>
      </c>
      <c r="F401" s="1706" t="s">
        <v>395</v>
      </c>
      <c r="G401" s="1607"/>
      <c r="H401" s="1607"/>
      <c r="I401" s="1607"/>
      <c r="J401" s="1607"/>
      <c r="K401" s="1607"/>
      <c r="L401" s="1607"/>
      <c r="M401" s="1607"/>
      <c r="N401" s="1607"/>
      <c r="O401" s="1607"/>
    </row>
    <row r="402" customFormat="false" ht="25.5" hidden="false" customHeight="true" outlineLevel="0" collapsed="false">
      <c r="A402" s="1707"/>
      <c r="B402" s="1708"/>
      <c r="C402" s="1709" t="s">
        <v>1889</v>
      </c>
      <c r="D402" s="1708" t="s">
        <v>1031</v>
      </c>
      <c r="E402" s="1708" t="s">
        <v>1890</v>
      </c>
      <c r="F402" s="1710" t="s">
        <v>1855</v>
      </c>
      <c r="G402" s="1607"/>
      <c r="H402" s="1607"/>
      <c r="I402" s="1607"/>
      <c r="J402" s="1607"/>
      <c r="K402" s="1607"/>
      <c r="L402" s="1607"/>
      <c r="M402" s="1607"/>
      <c r="N402" s="1607"/>
      <c r="O402" s="1607"/>
    </row>
    <row r="403" customFormat="false" ht="12.75" hidden="false" customHeight="true" outlineLevel="0" collapsed="false">
      <c r="A403" s="1781" t="s">
        <v>1033</v>
      </c>
      <c r="B403" s="1650" t="n">
        <f aca="false">'Saisie et Calculateur'!H99</f>
        <v>18</v>
      </c>
      <c r="C403" s="1650" t="n">
        <f aca="false">'Saisie et Calculateur'!I99</f>
        <v>430</v>
      </c>
      <c r="D403" s="634" t="n">
        <f aca="false">C403*B403/1000</f>
        <v>7.74</v>
      </c>
      <c r="E403" s="1686" t="n">
        <v>24</v>
      </c>
      <c r="F403" s="1712" t="n">
        <f aca="false">D403*E403</f>
        <v>185.76</v>
      </c>
      <c r="G403" s="1607"/>
      <c r="H403" s="1607"/>
      <c r="I403" s="1607"/>
      <c r="J403" s="1607"/>
      <c r="K403" s="1607"/>
      <c r="L403" s="1607"/>
      <c r="M403" s="1607"/>
      <c r="N403" s="1607"/>
      <c r="O403" s="1607"/>
    </row>
    <row r="404" customFormat="false" ht="12.75" hidden="false" customHeight="true" outlineLevel="0" collapsed="false">
      <c r="A404" s="1781" t="s">
        <v>1035</v>
      </c>
      <c r="B404" s="1650" t="n">
        <f aca="false">'Saisie et Calculateur'!H100</f>
        <v>35</v>
      </c>
      <c r="C404" s="1650" t="n">
        <f aca="false">'Saisie et Calculateur'!I100</f>
        <v>400</v>
      </c>
      <c r="D404" s="634" t="n">
        <f aca="false">C404*B404/1000</f>
        <v>14</v>
      </c>
      <c r="E404" s="1686" t="n">
        <v>24</v>
      </c>
      <c r="F404" s="1712" t="n">
        <f aca="false">D404*E404</f>
        <v>336</v>
      </c>
      <c r="G404" s="1607"/>
      <c r="H404" s="1607"/>
      <c r="I404" s="1661"/>
      <c r="J404" s="1607"/>
      <c r="K404" s="1607"/>
      <c r="L404" s="1607"/>
      <c r="M404" s="1607"/>
      <c r="N404" s="1607"/>
      <c r="O404" s="1607"/>
    </row>
    <row r="405" customFormat="false" ht="12.75" hidden="false" customHeight="true" outlineLevel="0" collapsed="false">
      <c r="A405" s="1781" t="s">
        <v>1036</v>
      </c>
      <c r="B405" s="1650" t="n">
        <f aca="false">'Saisie et Calculateur'!H101</f>
        <v>45</v>
      </c>
      <c r="C405" s="1650" t="n">
        <f aca="false">'Saisie et Calculateur'!I101</f>
        <v>380</v>
      </c>
      <c r="D405" s="634" t="n">
        <f aca="false">C405*B405/1000</f>
        <v>17.1</v>
      </c>
      <c r="E405" s="1686" t="n">
        <v>24</v>
      </c>
      <c r="F405" s="1712" t="n">
        <f aca="false">D405*E405</f>
        <v>410.4</v>
      </c>
      <c r="G405" s="1607"/>
      <c r="H405" s="1607"/>
      <c r="I405" s="1607"/>
      <c r="J405" s="1607"/>
      <c r="K405" s="1607"/>
      <c r="L405" s="1607"/>
      <c r="M405" s="1607"/>
      <c r="N405" s="1607"/>
      <c r="O405" s="1607"/>
    </row>
    <row r="406" customFormat="false" ht="12.75" hidden="false" customHeight="true" outlineLevel="0" collapsed="false">
      <c r="A406" s="1781" t="s">
        <v>1037</v>
      </c>
      <c r="B406" s="1650" t="n">
        <f aca="false">'Saisie et Calculateur'!H102</f>
        <v>0</v>
      </c>
      <c r="C406" s="1650" t="n">
        <f aca="false">'Saisie et Calculateur'!I102</f>
        <v>0</v>
      </c>
      <c r="D406" s="634" t="n">
        <f aca="false">C406*B406/1000</f>
        <v>0</v>
      </c>
      <c r="E406" s="1686" t="n">
        <v>24</v>
      </c>
      <c r="F406" s="1712" t="n">
        <f aca="false">D406*E406</f>
        <v>0</v>
      </c>
      <c r="G406" s="1607"/>
      <c r="H406" s="1607"/>
      <c r="I406" s="1607"/>
      <c r="J406" s="1607"/>
      <c r="K406" s="1607"/>
      <c r="L406" s="1607"/>
      <c r="M406" s="1607"/>
      <c r="N406" s="1607"/>
      <c r="O406" s="1607"/>
    </row>
    <row r="407" customFormat="false" ht="12.75" hidden="false" customHeight="true" outlineLevel="0" collapsed="false">
      <c r="A407" s="1781" t="s">
        <v>1038</v>
      </c>
      <c r="B407" s="1650" t="n">
        <f aca="false">'Saisie et Calculateur'!H103</f>
        <v>0</v>
      </c>
      <c r="C407" s="1650" t="n">
        <f aca="false">'Saisie et Calculateur'!I103</f>
        <v>0</v>
      </c>
      <c r="D407" s="634" t="n">
        <f aca="false">C407*B407/1000</f>
        <v>0</v>
      </c>
      <c r="E407" s="1686" t="n">
        <v>24</v>
      </c>
      <c r="F407" s="1712" t="n">
        <f aca="false">D407*E407</f>
        <v>0</v>
      </c>
      <c r="G407" s="1607"/>
      <c r="H407" s="1607"/>
      <c r="I407" s="1607"/>
      <c r="J407" s="1607"/>
      <c r="K407" s="1607"/>
      <c r="L407" s="1607"/>
      <c r="M407" s="1607"/>
      <c r="N407" s="1607"/>
      <c r="O407" s="1607"/>
    </row>
    <row r="408" customFormat="false" ht="12.75" hidden="false" customHeight="true" outlineLevel="0" collapsed="false">
      <c r="A408" s="1781" t="s">
        <v>1040</v>
      </c>
      <c r="B408" s="1650" t="n">
        <f aca="false">'Saisie et Calculateur'!H104</f>
        <v>0</v>
      </c>
      <c r="C408" s="1650" t="n">
        <f aca="false">'Saisie et Calculateur'!I104</f>
        <v>0</v>
      </c>
      <c r="D408" s="634" t="n">
        <f aca="false">C408*B408/1000</f>
        <v>0</v>
      </c>
      <c r="E408" s="1686" t="n">
        <v>24</v>
      </c>
      <c r="F408" s="1712" t="n">
        <f aca="false">D408*E408</f>
        <v>0</v>
      </c>
      <c r="G408" s="1607"/>
      <c r="H408" s="1607"/>
      <c r="I408" s="1607"/>
      <c r="J408" s="1607"/>
      <c r="K408" s="1607"/>
      <c r="L408" s="1607"/>
      <c r="M408" s="1607"/>
      <c r="N408" s="1607"/>
      <c r="O408" s="1607"/>
    </row>
    <row r="409" customFormat="false" ht="12.75" hidden="false" customHeight="true" outlineLevel="0" collapsed="false">
      <c r="A409" s="1781" t="s">
        <v>1041</v>
      </c>
      <c r="B409" s="1650" t="n">
        <f aca="false">'Saisie et Calculateur'!H105</f>
        <v>0</v>
      </c>
      <c r="C409" s="1650" t="n">
        <f aca="false">'Saisie et Calculateur'!I105</f>
        <v>0</v>
      </c>
      <c r="D409" s="634" t="n">
        <f aca="false">C409*B409/1000</f>
        <v>0</v>
      </c>
      <c r="E409" s="1686" t="n">
        <v>24</v>
      </c>
      <c r="F409" s="1712" t="n">
        <f aca="false">D409*E409</f>
        <v>0</v>
      </c>
      <c r="G409" s="1607"/>
      <c r="H409" s="1607"/>
      <c r="I409" s="1607"/>
      <c r="J409" s="1607"/>
      <c r="K409" s="1607"/>
      <c r="L409" s="1607"/>
      <c r="M409" s="1607"/>
      <c r="N409" s="1607"/>
      <c r="O409" s="1607"/>
    </row>
    <row r="410" customFormat="false" ht="12.75" hidden="false" customHeight="true" outlineLevel="0" collapsed="false">
      <c r="A410" s="1781" t="s">
        <v>1042</v>
      </c>
      <c r="B410" s="1650" t="n">
        <f aca="false">'Saisie et Calculateur'!H106</f>
        <v>0</v>
      </c>
      <c r="C410" s="1650" t="n">
        <f aca="false">'Saisie et Calculateur'!I106</f>
        <v>0</v>
      </c>
      <c r="D410" s="634" t="n">
        <f aca="false">C410*B410/1000</f>
        <v>0</v>
      </c>
      <c r="E410" s="1686" t="n">
        <v>24</v>
      </c>
      <c r="F410" s="1712" t="n">
        <f aca="false">D410*E410</f>
        <v>0</v>
      </c>
      <c r="G410" s="1607"/>
      <c r="H410" s="1607"/>
      <c r="I410" s="1607"/>
      <c r="J410" s="1607"/>
      <c r="K410" s="1607"/>
      <c r="L410" s="1607"/>
      <c r="M410" s="1607"/>
      <c r="N410" s="1607"/>
      <c r="O410" s="1607"/>
    </row>
    <row r="411" customFormat="false" ht="12.75" hidden="false" customHeight="true" outlineLevel="0" collapsed="false">
      <c r="A411" s="1781" t="s">
        <v>1044</v>
      </c>
      <c r="B411" s="1650" t="n">
        <f aca="false">'Saisie et Calculateur'!H108</f>
        <v>0</v>
      </c>
      <c r="C411" s="1650" t="n">
        <f aca="false">'Saisie et Calculateur'!I108</f>
        <v>0</v>
      </c>
      <c r="D411" s="634" t="n">
        <f aca="false">C411*B411/1000</f>
        <v>0</v>
      </c>
      <c r="E411" s="1686" t="n">
        <v>24</v>
      </c>
      <c r="F411" s="1712" t="n">
        <f aca="false">D411*E411</f>
        <v>0</v>
      </c>
      <c r="G411" s="1607"/>
      <c r="H411" s="1607"/>
      <c r="I411" s="1607"/>
      <c r="J411" s="1607"/>
      <c r="K411" s="1607"/>
      <c r="L411" s="1607"/>
      <c r="M411" s="1607"/>
      <c r="N411" s="1607"/>
      <c r="O411" s="1607"/>
    </row>
    <row r="412" customFormat="false" ht="12.75" hidden="false" customHeight="true" outlineLevel="0" collapsed="false">
      <c r="A412" s="1781" t="s">
        <v>1045</v>
      </c>
      <c r="B412" s="1650" t="n">
        <f aca="false">'Saisie et Calculateur'!H109</f>
        <v>80</v>
      </c>
      <c r="C412" s="1650" t="n">
        <f aca="false">'Saisie et Calculateur'!I109</f>
        <v>19</v>
      </c>
      <c r="D412" s="634" t="n">
        <f aca="false">C412*B412/1000</f>
        <v>1.52</v>
      </c>
      <c r="E412" s="1686" t="n">
        <v>24</v>
      </c>
      <c r="F412" s="1712" t="n">
        <f aca="false">D412*E412</f>
        <v>36.48</v>
      </c>
      <c r="G412" s="1607"/>
      <c r="H412" s="1607"/>
      <c r="I412" s="1607"/>
      <c r="J412" s="1607"/>
      <c r="K412" s="1607"/>
      <c r="L412" s="1607"/>
      <c r="M412" s="1607"/>
      <c r="N412" s="1607"/>
      <c r="O412" s="1607"/>
    </row>
    <row r="413" customFormat="false" ht="12.75" hidden="false" customHeight="true" outlineLevel="0" collapsed="false">
      <c r="A413" s="1781" t="s">
        <v>1046</v>
      </c>
      <c r="B413" s="1650" t="n">
        <f aca="false">'Saisie et Calculateur'!H110</f>
        <v>0</v>
      </c>
      <c r="C413" s="1650" t="n">
        <f aca="false">'Saisie et Calculateur'!I110</f>
        <v>0</v>
      </c>
      <c r="D413" s="634" t="n">
        <f aca="false">C413*B413/1000</f>
        <v>0</v>
      </c>
      <c r="E413" s="1686" t="n">
        <v>24</v>
      </c>
      <c r="F413" s="1712" t="n">
        <f aca="false">D413*E413</f>
        <v>0</v>
      </c>
      <c r="G413" s="1607"/>
      <c r="H413" s="1607"/>
      <c r="I413" s="1607"/>
      <c r="J413" s="1607"/>
      <c r="K413" s="1607"/>
      <c r="L413" s="1607"/>
      <c r="M413" s="1607"/>
      <c r="N413" s="1607"/>
      <c r="O413" s="1607"/>
    </row>
    <row r="414" customFormat="false" ht="12.75" hidden="false" customHeight="true" outlineLevel="0" collapsed="false">
      <c r="A414" s="1782" t="s">
        <v>1047</v>
      </c>
      <c r="B414" s="1650" t="n">
        <f aca="false">'Saisie et Calculateur'!H111</f>
        <v>0</v>
      </c>
      <c r="C414" s="1650" t="n">
        <f aca="false">'Saisie et Calculateur'!I111</f>
        <v>0</v>
      </c>
      <c r="D414" s="634" t="n">
        <f aca="false">C414*B414/1000</f>
        <v>0</v>
      </c>
      <c r="E414" s="1686" t="n">
        <v>24</v>
      </c>
      <c r="F414" s="1712" t="n">
        <f aca="false">D414*E414</f>
        <v>0</v>
      </c>
      <c r="G414" s="1607"/>
      <c r="H414" s="1607"/>
      <c r="I414" s="1607"/>
      <c r="J414" s="1607"/>
      <c r="K414" s="1607"/>
      <c r="L414" s="1607"/>
      <c r="M414" s="1607"/>
      <c r="N414" s="1607"/>
      <c r="O414" s="1607"/>
    </row>
    <row r="415" customFormat="false" ht="12.75" hidden="false" customHeight="true" outlineLevel="0" collapsed="false">
      <c r="A415" s="1781" t="s">
        <v>131</v>
      </c>
      <c r="B415" s="1650" t="n">
        <f aca="false">'Saisie et Calculateur'!H113</f>
        <v>0</v>
      </c>
      <c r="C415" s="1650" t="n">
        <f aca="false">'Saisie et Calculateur'!I113</f>
        <v>0</v>
      </c>
      <c r="D415" s="634" t="n">
        <f aca="false">C415*B415/1000</f>
        <v>0</v>
      </c>
      <c r="E415" s="1686" t="n">
        <v>24</v>
      </c>
      <c r="F415" s="1712" t="n">
        <f aca="false">D415*E415</f>
        <v>0</v>
      </c>
      <c r="G415" s="1607"/>
      <c r="H415" s="1607"/>
      <c r="I415" s="1607"/>
      <c r="J415" s="1607"/>
      <c r="K415" s="1607"/>
      <c r="L415" s="1607"/>
      <c r="M415" s="1607"/>
      <c r="N415" s="1607"/>
      <c r="O415" s="1607"/>
    </row>
    <row r="416" customFormat="false" ht="12.75" hidden="false" customHeight="true" outlineLevel="0" collapsed="false">
      <c r="A416" s="1781" t="s">
        <v>1049</v>
      </c>
      <c r="B416" s="1650" t="n">
        <f aca="false">'Saisie et Calculateur'!H114</f>
        <v>0</v>
      </c>
      <c r="C416" s="1650" t="n">
        <f aca="false">'Saisie et Calculateur'!I114</f>
        <v>0</v>
      </c>
      <c r="D416" s="634" t="n">
        <f aca="false">C416*B416/1000</f>
        <v>0</v>
      </c>
      <c r="E416" s="1686" t="n">
        <v>24</v>
      </c>
      <c r="F416" s="1712" t="n">
        <f aca="false">D416*E416</f>
        <v>0</v>
      </c>
      <c r="G416" s="1607"/>
      <c r="H416" s="1607"/>
      <c r="I416" s="1607"/>
      <c r="J416" s="1607"/>
      <c r="K416" s="1607"/>
      <c r="L416" s="1607"/>
      <c r="M416" s="1607"/>
      <c r="N416" s="1607"/>
      <c r="O416" s="1607"/>
    </row>
    <row r="417" customFormat="false" ht="12.75" hidden="false" customHeight="true" outlineLevel="0" collapsed="false">
      <c r="A417" s="1781" t="s">
        <v>133</v>
      </c>
      <c r="B417" s="1650" t="n">
        <f aca="false">'Saisie et Calculateur'!H115</f>
        <v>0</v>
      </c>
      <c r="C417" s="1650" t="n">
        <f aca="false">'Saisie et Calculateur'!I115</f>
        <v>0</v>
      </c>
      <c r="D417" s="634" t="n">
        <f aca="false">C417*B417/1000</f>
        <v>0</v>
      </c>
      <c r="E417" s="1686" t="n">
        <v>24</v>
      </c>
      <c r="F417" s="1712" t="n">
        <f aca="false">D417*E417</f>
        <v>0</v>
      </c>
      <c r="G417" s="1607"/>
      <c r="H417" s="1607"/>
      <c r="I417" s="1607"/>
      <c r="J417" s="1607"/>
      <c r="K417" s="1607"/>
      <c r="L417" s="1607"/>
      <c r="M417" s="1607"/>
      <c r="N417" s="1607"/>
      <c r="O417" s="1607"/>
    </row>
    <row r="418" customFormat="false" ht="12.75" hidden="false" customHeight="true" outlineLevel="0" collapsed="false">
      <c r="A418" s="1781" t="s">
        <v>1050</v>
      </c>
      <c r="B418" s="1650" t="n">
        <f aca="false">'Saisie et Calculateur'!H116</f>
        <v>0</v>
      </c>
      <c r="C418" s="1650" t="n">
        <f aca="false">'Saisie et Calculateur'!I116</f>
        <v>0</v>
      </c>
      <c r="D418" s="634" t="n">
        <f aca="false">C418*B418/1000</f>
        <v>0</v>
      </c>
      <c r="E418" s="1686" t="n">
        <v>24</v>
      </c>
      <c r="F418" s="1712" t="n">
        <f aca="false">D418*E418</f>
        <v>0</v>
      </c>
      <c r="G418" s="1607"/>
      <c r="H418" s="1607"/>
      <c r="I418" s="1607"/>
      <c r="J418" s="1607"/>
      <c r="K418" s="1607"/>
      <c r="L418" s="1607"/>
      <c r="M418" s="1607"/>
      <c r="N418" s="1607"/>
      <c r="O418" s="1607"/>
    </row>
    <row r="419" customFormat="false" ht="12.75" hidden="false" customHeight="true" outlineLevel="0" collapsed="false">
      <c r="A419" s="1781" t="s">
        <v>1051</v>
      </c>
      <c r="B419" s="1650" t="n">
        <f aca="false">'Saisie et Calculateur'!H117</f>
        <v>0</v>
      </c>
      <c r="C419" s="1650" t="n">
        <f aca="false">'Saisie et Calculateur'!I117</f>
        <v>0</v>
      </c>
      <c r="D419" s="634" t="n">
        <f aca="false">C419*B419/1000</f>
        <v>0</v>
      </c>
      <c r="E419" s="1686" t="n">
        <v>24</v>
      </c>
      <c r="F419" s="1712" t="n">
        <f aca="false">D419*E419</f>
        <v>0</v>
      </c>
      <c r="G419" s="1607"/>
      <c r="H419" s="1607"/>
      <c r="I419" s="1607"/>
      <c r="J419" s="1607"/>
      <c r="K419" s="1607"/>
      <c r="L419" s="1607"/>
      <c r="M419" s="1607"/>
      <c r="N419" s="1607"/>
      <c r="O419" s="1607"/>
    </row>
    <row r="420" customFormat="false" ht="12.75" hidden="false" customHeight="true" outlineLevel="0" collapsed="false">
      <c r="A420" s="1782" t="s">
        <v>1052</v>
      </c>
      <c r="B420" s="1650" t="n">
        <f aca="false">'Saisie et Calculateur'!H120</f>
        <v>0</v>
      </c>
      <c r="C420" s="1650" t="n">
        <f aca="false">'Saisie et Calculateur'!I120</f>
        <v>0</v>
      </c>
      <c r="D420" s="634" t="n">
        <f aca="false">C420*B420/1000</f>
        <v>0</v>
      </c>
      <c r="E420" s="1686" t="n">
        <v>22.4</v>
      </c>
      <c r="F420" s="1712" t="n">
        <f aca="false">D420*E420</f>
        <v>0</v>
      </c>
      <c r="G420" s="1607"/>
      <c r="H420" s="1607"/>
      <c r="I420" s="1607"/>
      <c r="J420" s="1607"/>
      <c r="K420" s="1607"/>
      <c r="L420" s="1607"/>
      <c r="M420" s="1607"/>
      <c r="N420" s="1607"/>
      <c r="O420" s="1607"/>
    </row>
    <row r="421" customFormat="false" ht="12.75" hidden="false" customHeight="true" outlineLevel="0" collapsed="false">
      <c r="A421" s="1782" t="s">
        <v>1053</v>
      </c>
      <c r="B421" s="1650" t="n">
        <f aca="false">'Saisie et Calculateur'!H121</f>
        <v>0</v>
      </c>
      <c r="C421" s="1650" t="n">
        <f aca="false">'Saisie et Calculateur'!I121</f>
        <v>0</v>
      </c>
      <c r="D421" s="634" t="n">
        <f aca="false">C421*B421/1000</f>
        <v>0</v>
      </c>
      <c r="E421" s="1686" t="n">
        <v>32</v>
      </c>
      <c r="F421" s="1712" t="n">
        <f aca="false">D421*E421</f>
        <v>0</v>
      </c>
      <c r="G421" s="1607"/>
      <c r="H421" s="1607"/>
      <c r="I421" s="1607"/>
      <c r="J421" s="1607"/>
      <c r="K421" s="1607"/>
      <c r="L421" s="1607"/>
      <c r="M421" s="1607"/>
      <c r="N421" s="1607"/>
      <c r="O421" s="1607"/>
    </row>
    <row r="422" customFormat="false" ht="12.75" hidden="false" customHeight="true" outlineLevel="0" collapsed="false">
      <c r="A422" s="1782" t="s">
        <v>1054</v>
      </c>
      <c r="B422" s="1650" t="n">
        <f aca="false">'Saisie et Calculateur'!H122</f>
        <v>0</v>
      </c>
      <c r="C422" s="1650" t="n">
        <f aca="false">'Saisie et Calculateur'!I122</f>
        <v>0</v>
      </c>
      <c r="D422" s="634" t="n">
        <f aca="false">C422*B422/1000</f>
        <v>0</v>
      </c>
      <c r="E422" s="1686" t="n">
        <v>20.7</v>
      </c>
      <c r="F422" s="1712" t="n">
        <f aca="false">D422*E422</f>
        <v>0</v>
      </c>
      <c r="G422" s="1607"/>
      <c r="H422" s="1607"/>
      <c r="I422" s="1607"/>
      <c r="J422" s="1607"/>
      <c r="K422" s="1607"/>
      <c r="L422" s="1607"/>
      <c r="M422" s="1607"/>
      <c r="N422" s="1607"/>
      <c r="O422" s="1607"/>
    </row>
    <row r="423" customFormat="false" ht="12.75" hidden="false" customHeight="true" outlineLevel="0" collapsed="false">
      <c r="A423" s="1782" t="s">
        <v>1055</v>
      </c>
      <c r="B423" s="1650" t="n">
        <f aca="false">'Saisie et Calculateur'!H123</f>
        <v>0</v>
      </c>
      <c r="C423" s="1650" t="n">
        <f aca="false">'Saisie et Calculateur'!I123</f>
        <v>0</v>
      </c>
      <c r="D423" s="634" t="n">
        <f aca="false">C423*B423/1000</f>
        <v>0</v>
      </c>
      <c r="E423" s="1686" t="n">
        <v>37.6</v>
      </c>
      <c r="F423" s="1712" t="n">
        <f aca="false">D423*E423</f>
        <v>0</v>
      </c>
      <c r="G423" s="1607"/>
      <c r="H423" s="1607"/>
      <c r="I423" s="1607"/>
      <c r="J423" s="1607"/>
      <c r="K423" s="1607"/>
      <c r="L423" s="1607"/>
      <c r="M423" s="1607"/>
      <c r="N423" s="1607"/>
      <c r="O423" s="1607"/>
    </row>
    <row r="424" customFormat="false" ht="12.75" hidden="false" customHeight="true" outlineLevel="0" collapsed="false">
      <c r="A424" s="1782" t="s">
        <v>1056</v>
      </c>
      <c r="B424" s="1650" t="n">
        <f aca="false">'Saisie et Calculateur'!H124</f>
        <v>0</v>
      </c>
      <c r="C424" s="1650" t="n">
        <f aca="false">'Saisie et Calculateur'!I124</f>
        <v>0</v>
      </c>
      <c r="D424" s="634" t="n">
        <f aca="false">C424*B424/1000</f>
        <v>0</v>
      </c>
      <c r="E424" s="1686" t="n">
        <v>18.9</v>
      </c>
      <c r="F424" s="1712" t="n">
        <f aca="false">D424*E424</f>
        <v>0</v>
      </c>
      <c r="G424" s="1607"/>
      <c r="H424" s="1607"/>
      <c r="I424" s="1607"/>
      <c r="J424" s="1607"/>
      <c r="K424" s="1607"/>
      <c r="L424" s="1607"/>
      <c r="M424" s="1607"/>
      <c r="N424" s="1607"/>
      <c r="O424" s="1607"/>
    </row>
    <row r="425" customFormat="false" ht="12.75" hidden="false" customHeight="true" outlineLevel="0" collapsed="false">
      <c r="A425" s="1782" t="s">
        <v>1057</v>
      </c>
      <c r="B425" s="1650" t="n">
        <f aca="false">'Saisie et Calculateur'!H125</f>
        <v>0</v>
      </c>
      <c r="C425" s="1650" t="n">
        <f aca="false">'Saisie et Calculateur'!I125</f>
        <v>0</v>
      </c>
      <c r="D425" s="634" t="n">
        <f aca="false">C425*B425/1000</f>
        <v>0</v>
      </c>
      <c r="E425" s="1686" t="n">
        <v>30.5</v>
      </c>
      <c r="F425" s="1712" t="n">
        <f aca="false">D425*E425</f>
        <v>0</v>
      </c>
      <c r="G425" s="1607"/>
      <c r="H425" s="1607"/>
      <c r="I425" s="1607"/>
      <c r="J425" s="1607"/>
      <c r="K425" s="1607"/>
      <c r="L425" s="1607"/>
      <c r="M425" s="1607"/>
      <c r="N425" s="1607"/>
      <c r="O425" s="1607"/>
    </row>
    <row r="426" customFormat="false" ht="12.75" hidden="false" customHeight="true" outlineLevel="0" collapsed="false">
      <c r="A426" s="1782" t="s">
        <v>1058</v>
      </c>
      <c r="B426" s="1650" t="n">
        <f aca="false">'Saisie et Calculateur'!H126</f>
        <v>0</v>
      </c>
      <c r="C426" s="1650" t="n">
        <f aca="false">'Saisie et Calculateur'!I126</f>
        <v>0</v>
      </c>
      <c r="D426" s="634" t="n">
        <f aca="false">C426*B426/1000</f>
        <v>0</v>
      </c>
      <c r="E426" s="1686" t="n">
        <v>20</v>
      </c>
      <c r="F426" s="1712" t="n">
        <f aca="false">D426*E426</f>
        <v>0</v>
      </c>
      <c r="G426" s="1607"/>
      <c r="H426" s="1607"/>
      <c r="I426" s="1607"/>
      <c r="J426" s="1607"/>
      <c r="K426" s="1607"/>
      <c r="L426" s="1607"/>
      <c r="M426" s="1607"/>
      <c r="N426" s="1607"/>
      <c r="O426" s="1607"/>
    </row>
    <row r="427" customFormat="false" ht="12.75" hidden="false" customHeight="true" outlineLevel="0" collapsed="false">
      <c r="A427" s="1782" t="s">
        <v>1059</v>
      </c>
      <c r="B427" s="1650" t="n">
        <f aca="false">'Saisie et Calculateur'!H127</f>
        <v>0</v>
      </c>
      <c r="C427" s="1650" t="n">
        <f aca="false">'Saisie et Calculateur'!I127</f>
        <v>0</v>
      </c>
      <c r="D427" s="634" t="n">
        <f aca="false">C427*B427/1000</f>
        <v>0</v>
      </c>
      <c r="E427" s="1686" t="n">
        <v>37.6</v>
      </c>
      <c r="F427" s="1712" t="n">
        <f aca="false">D427*E427</f>
        <v>0</v>
      </c>
      <c r="G427" s="1607"/>
      <c r="H427" s="1607"/>
      <c r="I427" s="1607"/>
      <c r="J427" s="1607"/>
      <c r="K427" s="1607"/>
      <c r="L427" s="1607"/>
      <c r="M427" s="1607"/>
      <c r="N427" s="1607"/>
      <c r="O427" s="1607"/>
    </row>
    <row r="428" customFormat="false" ht="12.75" hidden="false" customHeight="true" outlineLevel="0" collapsed="false">
      <c r="A428" s="1781" t="s">
        <v>1060</v>
      </c>
      <c r="B428" s="1650" t="n">
        <f aca="false">'Saisie et Calculateur'!H128</f>
        <v>0</v>
      </c>
      <c r="C428" s="1650" t="n">
        <f aca="false">'Saisie et Calculateur'!I128</f>
        <v>0</v>
      </c>
      <c r="D428" s="634" t="n">
        <f aca="false">C428*B428/1000</f>
        <v>0</v>
      </c>
      <c r="E428" s="1686" t="n">
        <v>35.6</v>
      </c>
      <c r="F428" s="1712" t="n">
        <f aca="false">D428*E428</f>
        <v>0</v>
      </c>
      <c r="G428" s="1607"/>
      <c r="H428" s="1607"/>
      <c r="I428" s="1607"/>
      <c r="J428" s="1607"/>
      <c r="K428" s="1607"/>
      <c r="L428" s="1607"/>
      <c r="M428" s="1607"/>
      <c r="N428" s="1607"/>
      <c r="O428" s="1607"/>
    </row>
    <row r="429" customFormat="false" ht="12.75" hidden="false" customHeight="true" outlineLevel="0" collapsed="false">
      <c r="A429" s="1783" t="s">
        <v>1983</v>
      </c>
      <c r="B429" s="1650" t="n">
        <f aca="false">'Saisie et Calculateur'!H130</f>
        <v>0</v>
      </c>
      <c r="C429" s="1650" t="n">
        <f aca="false">'Saisie et Calculateur'!I130</f>
        <v>0</v>
      </c>
      <c r="D429" s="634" t="n">
        <f aca="false">C429*B429/1000</f>
        <v>0</v>
      </c>
      <c r="E429" s="1686" t="n">
        <v>24</v>
      </c>
      <c r="F429" s="1712" t="n">
        <f aca="false">D429*E429</f>
        <v>0</v>
      </c>
      <c r="G429" s="1607"/>
      <c r="H429" s="1607"/>
      <c r="I429" s="1607"/>
      <c r="J429" s="1607"/>
      <c r="K429" s="1607"/>
      <c r="L429" s="1607"/>
      <c r="M429" s="1607"/>
      <c r="N429" s="1607"/>
      <c r="O429" s="1607"/>
    </row>
    <row r="430" customFormat="false" ht="12.5" hidden="false" customHeight="true" outlineLevel="0" collapsed="false">
      <c r="A430" s="1781" t="s">
        <v>1984</v>
      </c>
      <c r="B430" s="1650" t="n">
        <f aca="false">'Saisie et Calculateur'!H131</f>
        <v>0</v>
      </c>
      <c r="C430" s="1650" t="n">
        <f aca="false">'Saisie et Calculateur'!I131</f>
        <v>0</v>
      </c>
      <c r="D430" s="634" t="n">
        <f aca="false">C430*B430/1000</f>
        <v>0</v>
      </c>
      <c r="E430" s="1686" t="n">
        <v>24</v>
      </c>
      <c r="F430" s="1712" t="n">
        <f aca="false">D430*E430</f>
        <v>0</v>
      </c>
      <c r="G430" s="1607"/>
      <c r="H430" s="1607"/>
      <c r="I430" s="1607"/>
      <c r="J430" s="1607"/>
      <c r="K430" s="1607"/>
      <c r="L430" s="1607"/>
      <c r="M430" s="1607"/>
      <c r="N430" s="1607"/>
      <c r="O430" s="1607"/>
    </row>
    <row r="431" customFormat="false" ht="13" hidden="false" customHeight="false" outlineLevel="0" collapsed="false">
      <c r="A431" s="1782" t="s">
        <v>1893</v>
      </c>
      <c r="B431" s="1650" t="n">
        <f aca="false">'Saisie et Calculateur'!H132</f>
        <v>0</v>
      </c>
      <c r="C431" s="1650" t="n">
        <f aca="false">'Saisie et Calculateur'!I132</f>
        <v>0</v>
      </c>
      <c r="D431" s="634" t="n">
        <f aca="false">C431*B431/1000</f>
        <v>0</v>
      </c>
      <c r="E431" s="1771"/>
      <c r="F431" s="1712" t="n">
        <f aca="false">D431*E431</f>
        <v>0</v>
      </c>
      <c r="G431" s="1607"/>
      <c r="H431" s="1607"/>
      <c r="I431" s="1607"/>
      <c r="J431" s="1607"/>
      <c r="K431" s="1607"/>
      <c r="L431" s="1607"/>
      <c r="M431" s="1607"/>
      <c r="N431" s="1607"/>
      <c r="O431" s="1607"/>
    </row>
    <row r="432" customFormat="false" ht="13" hidden="false" customHeight="false" outlineLevel="0" collapsed="false">
      <c r="A432" s="1784"/>
      <c r="B432" s="1650" t="n">
        <f aca="false">'Saisie et Calculateur'!H133</f>
        <v>0</v>
      </c>
      <c r="C432" s="1650" t="n">
        <f aca="false">'Saisie et Calculateur'!I133</f>
        <v>0</v>
      </c>
      <c r="D432" s="634" t="n">
        <f aca="false">C432*B432/1000</f>
        <v>0</v>
      </c>
      <c r="E432" s="1771"/>
      <c r="F432" s="1712" t="n">
        <f aca="false">D432*E432</f>
        <v>0</v>
      </c>
      <c r="G432" s="1607"/>
      <c r="H432" s="1607"/>
      <c r="I432" s="1607"/>
      <c r="J432" s="1607"/>
      <c r="K432" s="1607"/>
      <c r="L432" s="1607"/>
      <c r="M432" s="1607"/>
      <c r="N432" s="1607"/>
      <c r="O432" s="1607"/>
    </row>
    <row r="433" customFormat="false" ht="13.5" hidden="false" customHeight="true" outlineLevel="0" collapsed="false">
      <c r="A433" s="1785"/>
      <c r="B433" s="1724" t="n">
        <f aca="false">'Saisie et Calculateur'!H134</f>
        <v>0</v>
      </c>
      <c r="C433" s="1724" t="n">
        <f aca="false">'Saisie et Calculateur'!I134</f>
        <v>0</v>
      </c>
      <c r="D433" s="1725" t="n">
        <f aca="false">C433*B433/1000</f>
        <v>0</v>
      </c>
      <c r="E433" s="1786"/>
      <c r="F433" s="1727" t="n">
        <f aca="false">D433*E433</f>
        <v>0</v>
      </c>
      <c r="G433" s="1607"/>
      <c r="H433" s="1607"/>
      <c r="I433" s="1607"/>
      <c r="J433" s="1607"/>
      <c r="K433" s="1607"/>
      <c r="L433" s="1607"/>
      <c r="M433" s="1607"/>
      <c r="N433" s="1607"/>
      <c r="O433" s="1607"/>
    </row>
    <row r="434" customFormat="false" ht="12.75" hidden="false" customHeight="true" outlineLevel="0" collapsed="false">
      <c r="A434" s="1604"/>
      <c r="B434" s="1607"/>
      <c r="C434" s="1607"/>
      <c r="D434" s="1607"/>
      <c r="E434" s="1607"/>
      <c r="F434" s="1607"/>
      <c r="G434" s="1607"/>
      <c r="H434" s="1607"/>
      <c r="I434" s="1607"/>
      <c r="J434" s="1607"/>
      <c r="K434" s="1607"/>
      <c r="L434" s="1607"/>
      <c r="M434" s="1607"/>
      <c r="N434" s="1607"/>
      <c r="O434" s="1607"/>
    </row>
    <row r="435" customFormat="false" ht="15" hidden="false" customHeight="true" outlineLevel="0" collapsed="false">
      <c r="A435" s="1604"/>
      <c r="B435" s="1607"/>
      <c r="C435" s="1607"/>
      <c r="D435" s="1635" t="s">
        <v>1894</v>
      </c>
      <c r="E435" s="1708" t="s">
        <v>540</v>
      </c>
      <c r="F435" s="770" t="n">
        <f aca="false">SUM(F403:F433)</f>
        <v>968.64</v>
      </c>
      <c r="G435" s="1607"/>
      <c r="H435" s="1607"/>
      <c r="I435" s="1607"/>
      <c r="J435" s="1607"/>
      <c r="K435" s="1607"/>
      <c r="L435" s="1607"/>
      <c r="M435" s="1607"/>
      <c r="N435" s="1607"/>
      <c r="O435" s="1607"/>
    </row>
    <row r="436" customFormat="false" ht="12.75" hidden="false" customHeight="true" outlineLevel="0" collapsed="false">
      <c r="A436" s="1604"/>
      <c r="B436" s="1607"/>
      <c r="C436" s="1607"/>
      <c r="D436" s="1607"/>
      <c r="E436" s="1607"/>
      <c r="F436" s="1607"/>
      <c r="G436" s="1607"/>
      <c r="H436" s="1607"/>
      <c r="I436" s="1607"/>
      <c r="J436" s="1607"/>
      <c r="K436" s="1607"/>
      <c r="L436" s="1607"/>
      <c r="M436" s="1607"/>
      <c r="N436" s="1607"/>
      <c r="O436" s="1607"/>
    </row>
    <row r="437" customFormat="false" ht="12.75" hidden="false" customHeight="true" outlineLevel="0" collapsed="false">
      <c r="A437" s="1604"/>
      <c r="B437" s="1607"/>
      <c r="C437" s="1607"/>
      <c r="D437" s="1607"/>
      <c r="E437" s="1607"/>
      <c r="F437" s="1607"/>
      <c r="G437" s="1607"/>
      <c r="H437" s="1607"/>
      <c r="I437" s="1607"/>
      <c r="J437" s="1607"/>
      <c r="K437" s="1607"/>
      <c r="L437" s="1607"/>
      <c r="M437" s="1607"/>
      <c r="N437" s="1607"/>
      <c r="O437" s="1607"/>
    </row>
    <row r="438" customFormat="false" ht="20.25" hidden="false" customHeight="true" outlineLevel="0" collapsed="false">
      <c r="A438" s="1613" t="s">
        <v>1985</v>
      </c>
      <c r="B438" s="1613"/>
      <c r="C438" s="1613"/>
      <c r="D438" s="1613"/>
      <c r="E438" s="1613"/>
      <c r="F438" s="1613"/>
      <c r="G438" s="1613"/>
      <c r="H438" s="1613"/>
      <c r="I438" s="1613"/>
      <c r="J438" s="1607" t="s">
        <v>1986</v>
      </c>
      <c r="K438" s="1607"/>
      <c r="L438" s="1607"/>
      <c r="M438" s="1607"/>
      <c r="N438" s="1607"/>
      <c r="O438" s="1607"/>
    </row>
    <row r="439" customFormat="false" ht="13.5" hidden="false" customHeight="true" outlineLevel="0" collapsed="false">
      <c r="A439" s="1604"/>
      <c r="B439" s="1607"/>
      <c r="C439" s="1607"/>
      <c r="D439" s="1607"/>
      <c r="E439" s="1607"/>
      <c r="F439" s="1607"/>
      <c r="G439" s="1607"/>
      <c r="H439" s="1607"/>
      <c r="I439" s="1607"/>
      <c r="J439" s="1607"/>
      <c r="K439" s="1607"/>
      <c r="L439" s="1607"/>
      <c r="M439" s="1607"/>
      <c r="N439" s="1607"/>
      <c r="O439" s="1607"/>
    </row>
    <row r="440" customFormat="false" ht="63.75" hidden="false" customHeight="true" outlineLevel="0" collapsed="false">
      <c r="A440" s="473" t="s">
        <v>1987</v>
      </c>
      <c r="B440" s="477" t="s">
        <v>1988</v>
      </c>
      <c r="C440" s="478" t="s">
        <v>1989</v>
      </c>
      <c r="D440" s="1607"/>
      <c r="E440" s="1607"/>
      <c r="F440" s="1607"/>
      <c r="G440" s="1607"/>
      <c r="H440" s="1607"/>
      <c r="I440" s="1607"/>
      <c r="J440" s="1607"/>
      <c r="K440" s="1607"/>
      <c r="L440" s="1607"/>
      <c r="M440" s="1607"/>
      <c r="N440" s="1607"/>
      <c r="O440" s="1607"/>
    </row>
    <row r="441" customFormat="false" ht="12.75" hidden="false" customHeight="true" outlineLevel="0" collapsed="false">
      <c r="A441" s="1787" t="s">
        <v>91</v>
      </c>
      <c r="B441" s="1708" t="s">
        <v>1990</v>
      </c>
      <c r="C441" s="1788" t="s">
        <v>1991</v>
      </c>
      <c r="D441" s="1607"/>
      <c r="E441" s="1607"/>
      <c r="F441" s="1607"/>
      <c r="G441" s="1607"/>
      <c r="H441" s="1607"/>
      <c r="I441" s="1607"/>
      <c r="J441" s="1607"/>
      <c r="K441" s="1607"/>
      <c r="L441" s="1607"/>
      <c r="M441" s="1607"/>
      <c r="N441" s="1607"/>
      <c r="O441" s="1607"/>
    </row>
    <row r="442" customFormat="false" ht="16" hidden="false" customHeight="true" outlineLevel="0" collapsed="false">
      <c r="A442" s="1789" t="n">
        <f aca="false">'Saisie et Calculateur'!B16</f>
        <v>54.8</v>
      </c>
      <c r="B442" s="1790" t="n">
        <v>70</v>
      </c>
      <c r="C442" s="1727" t="n">
        <f aca="false">A442*B442</f>
        <v>3836</v>
      </c>
      <c r="D442" s="1607"/>
      <c r="E442" s="1607"/>
      <c r="F442" s="1607"/>
      <c r="G442" s="1607"/>
      <c r="H442" s="1607"/>
      <c r="I442" s="1607"/>
      <c r="J442" s="1607"/>
      <c r="K442" s="1607"/>
      <c r="L442" s="1607"/>
      <c r="M442" s="1607"/>
      <c r="N442" s="1607"/>
      <c r="O442" s="1607"/>
    </row>
    <row r="443" customFormat="false" ht="12.75" hidden="false" customHeight="true" outlineLevel="0" collapsed="false">
      <c r="A443" s="1604"/>
      <c r="B443" s="1607"/>
      <c r="C443" s="1607"/>
      <c r="D443" s="1607"/>
      <c r="E443" s="1607"/>
      <c r="F443" s="1607"/>
      <c r="G443" s="1607"/>
      <c r="H443" s="1607"/>
      <c r="I443" s="1607"/>
      <c r="J443" s="1607"/>
      <c r="K443" s="1607"/>
      <c r="L443" s="1607"/>
      <c r="M443" s="1607"/>
      <c r="N443" s="1607"/>
      <c r="O443" s="1607"/>
    </row>
    <row r="444" customFormat="false" ht="12.75" hidden="false" customHeight="true" outlineLevel="0" collapsed="false">
      <c r="A444" s="1604"/>
      <c r="B444" s="1607"/>
      <c r="C444" s="1607"/>
      <c r="D444" s="1607"/>
      <c r="E444" s="1607"/>
      <c r="F444" s="1607"/>
      <c r="G444" s="1607"/>
      <c r="H444" s="1607"/>
      <c r="I444" s="1607"/>
      <c r="J444" s="1607"/>
      <c r="K444" s="1607"/>
      <c r="L444" s="1607"/>
      <c r="M444" s="1607"/>
      <c r="N444" s="1607"/>
      <c r="O444" s="1607"/>
    </row>
    <row r="445" customFormat="false" ht="20.25" hidden="false" customHeight="true" outlineLevel="0" collapsed="false">
      <c r="A445" s="1613" t="s">
        <v>1992</v>
      </c>
      <c r="B445" s="1613"/>
      <c r="C445" s="1613"/>
      <c r="D445" s="1613"/>
      <c r="E445" s="1613"/>
      <c r="F445" s="1613"/>
      <c r="G445" s="1613"/>
      <c r="H445" s="1613"/>
      <c r="I445" s="1613"/>
      <c r="J445" s="1607" t="s">
        <v>1986</v>
      </c>
      <c r="K445" s="1607"/>
      <c r="L445" s="1607"/>
      <c r="M445" s="1607"/>
      <c r="N445" s="1607"/>
      <c r="O445" s="1607"/>
    </row>
    <row r="446" customFormat="false" ht="13.5" hidden="false" customHeight="true" outlineLevel="0" collapsed="false">
      <c r="A446" s="1604"/>
      <c r="B446" s="1604"/>
      <c r="C446" s="1604"/>
      <c r="D446" s="1604"/>
      <c r="E446" s="1604"/>
      <c r="F446" s="1604"/>
      <c r="G446" s="1604"/>
      <c r="H446" s="1604"/>
      <c r="I446" s="1604"/>
      <c r="J446" s="1607"/>
      <c r="K446" s="1607"/>
      <c r="L446" s="1607"/>
      <c r="M446" s="1607"/>
      <c r="N446" s="1607"/>
      <c r="O446" s="1607"/>
    </row>
    <row r="447" customFormat="false" ht="12.75" hidden="false" customHeight="true" outlineLevel="0" collapsed="false">
      <c r="A447" s="1605" t="s">
        <v>1993</v>
      </c>
      <c r="B447" s="473" t="s">
        <v>1994</v>
      </c>
      <c r="C447" s="477" t="s">
        <v>395</v>
      </c>
      <c r="D447" s="477" t="s">
        <v>1995</v>
      </c>
      <c r="E447" s="478" t="s">
        <v>395</v>
      </c>
      <c r="F447" s="1604"/>
      <c r="G447" s="1604"/>
      <c r="H447" s="1604"/>
      <c r="I447" s="1604"/>
      <c r="J447" s="1607"/>
      <c r="K447" s="1607"/>
      <c r="L447" s="1607"/>
      <c r="M447" s="1607"/>
      <c r="N447" s="1607"/>
      <c r="O447" s="1607"/>
    </row>
    <row r="448" customFormat="false" ht="12.75" hidden="false" customHeight="true" outlineLevel="0" collapsed="false">
      <c r="A448" s="1605"/>
      <c r="B448" s="1791" t="s">
        <v>1320</v>
      </c>
      <c r="C448" s="1708" t="s">
        <v>1996</v>
      </c>
      <c r="D448" s="1708"/>
      <c r="E448" s="1649" t="s">
        <v>540</v>
      </c>
      <c r="F448" s="1604"/>
      <c r="G448" s="1661"/>
      <c r="H448" s="1604"/>
      <c r="I448" s="1604"/>
      <c r="J448" s="1607"/>
      <c r="K448" s="1607"/>
      <c r="L448" s="1607"/>
      <c r="M448" s="1607"/>
      <c r="N448" s="1607"/>
      <c r="O448" s="1607"/>
    </row>
    <row r="449" customFormat="false" ht="13.5" hidden="false" customHeight="true" outlineLevel="0" collapsed="false">
      <c r="A449" s="1605"/>
      <c r="B449" s="1792" t="n">
        <f aca="false">'Saisie et Calculateur'!I83</f>
        <v>154.2</v>
      </c>
      <c r="C449" s="1790" t="n">
        <v>93</v>
      </c>
      <c r="D449" s="1790" t="n">
        <v>0.23</v>
      </c>
      <c r="E449" s="1727" t="n">
        <f aca="false">B449*C449*D449</f>
        <v>3298.338</v>
      </c>
      <c r="F449" s="1604"/>
      <c r="G449" s="1604"/>
      <c r="H449" s="1604"/>
      <c r="I449" s="1604"/>
      <c r="J449" s="1607"/>
      <c r="K449" s="1607"/>
      <c r="L449" s="1607"/>
      <c r="M449" s="1607"/>
      <c r="N449" s="1607"/>
      <c r="O449" s="1607"/>
    </row>
    <row r="450" customFormat="false" ht="13.5" hidden="false" customHeight="true" outlineLevel="0" collapsed="false">
      <c r="A450" s="1605"/>
      <c r="B450" s="1607"/>
      <c r="C450" s="1607"/>
      <c r="D450" s="1607"/>
      <c r="E450" s="1607"/>
      <c r="F450" s="1607"/>
      <c r="G450" s="1607"/>
      <c r="H450" s="1607"/>
      <c r="I450" s="1607"/>
      <c r="J450" s="1607"/>
      <c r="K450" s="1607"/>
      <c r="L450" s="1607"/>
      <c r="M450" s="1607"/>
      <c r="N450" s="1607"/>
      <c r="O450" s="1607"/>
    </row>
    <row r="451" customFormat="false" ht="25.5" hidden="false" customHeight="true" outlineLevel="0" collapsed="false">
      <c r="A451" s="1605" t="s">
        <v>1997</v>
      </c>
      <c r="B451" s="473" t="s">
        <v>1998</v>
      </c>
      <c r="C451" s="477" t="s">
        <v>1999</v>
      </c>
      <c r="D451" s="477" t="s">
        <v>2000</v>
      </c>
      <c r="E451" s="478" t="s">
        <v>395</v>
      </c>
      <c r="F451" s="1607"/>
      <c r="G451" s="1607"/>
      <c r="H451" s="1607"/>
      <c r="I451" s="1607"/>
      <c r="J451" s="1607"/>
      <c r="K451" s="1607"/>
      <c r="L451" s="1607"/>
      <c r="M451" s="1607"/>
      <c r="N451" s="1607"/>
      <c r="O451" s="1607"/>
    </row>
    <row r="452" customFormat="false" ht="12.75" hidden="false" customHeight="true" outlineLevel="0" collapsed="false">
      <c r="A452" s="1604"/>
      <c r="B452" s="1791" t="s">
        <v>2001</v>
      </c>
      <c r="C452" s="1708"/>
      <c r="D452" s="1708" t="s">
        <v>2002</v>
      </c>
      <c r="E452" s="1793" t="s">
        <v>540</v>
      </c>
      <c r="F452" s="1607"/>
      <c r="G452" s="1607"/>
      <c r="H452" s="1607"/>
      <c r="I452" s="1607"/>
      <c r="J452" s="1607"/>
      <c r="K452" s="1607"/>
      <c r="L452" s="1607"/>
      <c r="M452" s="1607"/>
      <c r="N452" s="1607"/>
      <c r="O452" s="1607"/>
    </row>
    <row r="453" customFormat="false" ht="13.5" hidden="false" customHeight="true" outlineLevel="0" collapsed="false">
      <c r="A453" s="1604"/>
      <c r="B453" s="1792" t="n">
        <f aca="false">'Saisie et Calculateur'!H771+'Saisie et Calculateur'!H772+'Saisie et Calculateur'!H773</f>
        <v>121701.7</v>
      </c>
      <c r="C453" s="1790" t="n">
        <v>296</v>
      </c>
      <c r="D453" s="1794" t="n">
        <f aca="false">14/46</f>
        <v>0.304347826086957</v>
      </c>
      <c r="E453" s="1727" t="n">
        <f aca="false">B453/C453*D453</f>
        <v>125.133945358402</v>
      </c>
      <c r="F453" s="1607"/>
      <c r="G453" s="1607"/>
      <c r="H453" s="1607"/>
      <c r="I453" s="1607"/>
      <c r="J453" s="1607"/>
      <c r="K453" s="1607"/>
      <c r="L453" s="1607"/>
      <c r="M453" s="1607"/>
      <c r="N453" s="1607"/>
      <c r="O453" s="1607"/>
    </row>
    <row r="454" customFormat="false" ht="12.75" hidden="false" customHeight="true" outlineLevel="0" collapsed="false">
      <c r="A454" s="1604"/>
      <c r="B454" s="1607"/>
      <c r="C454" s="1607"/>
      <c r="D454" s="1607"/>
      <c r="E454" s="1628"/>
      <c r="F454" s="1607"/>
      <c r="G454" s="1607"/>
      <c r="H454" s="1607"/>
      <c r="I454" s="1607"/>
      <c r="J454" s="1607"/>
      <c r="K454" s="1607"/>
      <c r="L454" s="1607"/>
      <c r="M454" s="1607"/>
      <c r="N454" s="1607"/>
      <c r="O454" s="1607"/>
    </row>
    <row r="455" customFormat="false" ht="25.5" hidden="false" customHeight="true" outlineLevel="0" collapsed="false">
      <c r="A455" s="1604"/>
      <c r="B455" s="1607"/>
      <c r="C455" s="1795" t="s">
        <v>2003</v>
      </c>
      <c r="D455" s="1621" t="s">
        <v>540</v>
      </c>
      <c r="E455" s="634" t="n">
        <f aca="false">E453+E449</f>
        <v>3423.4719453584</v>
      </c>
      <c r="F455" s="1607"/>
      <c r="G455" s="1607"/>
      <c r="H455" s="1607"/>
      <c r="I455" s="1607"/>
      <c r="J455" s="1607"/>
      <c r="K455" s="1607"/>
      <c r="L455" s="1607"/>
      <c r="M455" s="1607"/>
      <c r="N455" s="1607"/>
      <c r="O455" s="1607"/>
    </row>
    <row r="456" customFormat="false" ht="12.75" hidden="false" customHeight="true" outlineLevel="0" collapsed="false">
      <c r="A456" s="1604"/>
      <c r="B456" s="1604"/>
      <c r="C456" s="1604"/>
      <c r="D456" s="1604"/>
      <c r="E456" s="1604"/>
      <c r="F456" s="1604"/>
      <c r="G456" s="1604"/>
      <c r="H456" s="1604"/>
      <c r="I456" s="1604"/>
      <c r="J456" s="1604"/>
      <c r="K456" s="1604"/>
      <c r="L456" s="1607"/>
      <c r="M456" s="1607"/>
      <c r="N456" s="1607"/>
      <c r="O456" s="1607"/>
    </row>
    <row r="457" customFormat="false" ht="12.75" hidden="false" customHeight="true" outlineLevel="0" collapsed="false">
      <c r="A457" s="1604"/>
      <c r="B457" s="1604"/>
      <c r="C457" s="1604"/>
      <c r="D457" s="1604"/>
      <c r="E457" s="1604"/>
      <c r="F457" s="1604"/>
      <c r="G457" s="1604"/>
      <c r="H457" s="1604"/>
      <c r="I457" s="1604"/>
      <c r="J457" s="1604"/>
      <c r="K457" s="1604"/>
      <c r="L457" s="1607"/>
      <c r="M457" s="1607"/>
      <c r="N457" s="1607"/>
      <c r="O457" s="1607"/>
    </row>
    <row r="458" customFormat="false" ht="12.75" hidden="false" customHeight="true" outlineLevel="0" collapsed="false">
      <c r="A458" s="1796" t="s">
        <v>2004</v>
      </c>
      <c r="B458" s="1796"/>
      <c r="C458" s="1796"/>
      <c r="D458" s="1796"/>
      <c r="E458" s="1796"/>
      <c r="F458" s="1796"/>
      <c r="G458" s="1796"/>
      <c r="H458" s="1796"/>
      <c r="I458" s="1796"/>
      <c r="J458" s="1604"/>
      <c r="K458" s="1604"/>
      <c r="L458" s="1607"/>
      <c r="M458" s="1607"/>
      <c r="N458" s="1607"/>
      <c r="O458" s="1607"/>
    </row>
    <row r="459" customFormat="false" ht="20.25" hidden="false" customHeight="true" outlineLevel="0" collapsed="false">
      <c r="A459" s="1702"/>
      <c r="B459" s="1797"/>
      <c r="C459" s="1797"/>
      <c r="D459" s="1797"/>
      <c r="E459" s="1797"/>
      <c r="F459" s="1797"/>
      <c r="G459" s="1797"/>
      <c r="H459" s="1797"/>
      <c r="I459" s="1604"/>
      <c r="J459" s="1604"/>
      <c r="K459" s="1604"/>
      <c r="L459" s="1607"/>
      <c r="M459" s="1607"/>
      <c r="N459" s="1607"/>
      <c r="O459" s="1607"/>
    </row>
    <row r="460" customFormat="false" ht="12.75" hidden="false" customHeight="true" outlineLevel="0" collapsed="false">
      <c r="A460" s="1604"/>
      <c r="B460" s="1604"/>
      <c r="C460" s="1604"/>
      <c r="D460" s="1635" t="s">
        <v>395</v>
      </c>
      <c r="E460" s="1605"/>
      <c r="F460" s="1604"/>
      <c r="G460" s="1604"/>
      <c r="H460" s="1604"/>
      <c r="I460" s="1604"/>
      <c r="J460" s="1607"/>
      <c r="K460" s="1607"/>
      <c r="L460" s="1607"/>
      <c r="M460" s="1607"/>
      <c r="N460" s="1607"/>
      <c r="O460" s="1607"/>
    </row>
    <row r="461" customFormat="false" ht="31.5" hidden="false" customHeight="true" outlineLevel="0" collapsed="false">
      <c r="A461" s="1798" t="s">
        <v>2005</v>
      </c>
      <c r="B461" s="1605"/>
      <c r="C461" s="1605"/>
      <c r="D461" s="1636" t="s">
        <v>1855</v>
      </c>
      <c r="E461" s="1605"/>
      <c r="F461" s="1605"/>
      <c r="G461" s="1799" t="s">
        <v>2006</v>
      </c>
      <c r="H461" s="1799"/>
      <c r="I461" s="1604"/>
      <c r="J461" s="1607"/>
      <c r="K461" s="1607"/>
      <c r="L461" s="1607"/>
      <c r="M461" s="1607"/>
      <c r="N461" s="1607"/>
      <c r="O461" s="1607"/>
    </row>
    <row r="462" customFormat="false" ht="15.75" hidden="false" customHeight="true" outlineLevel="0" collapsed="false">
      <c r="A462" s="1800" t="s">
        <v>2007</v>
      </c>
      <c r="B462" s="1801"/>
      <c r="C462" s="1802"/>
      <c r="D462" s="1803" t="n">
        <f aca="false">F46</f>
        <v>5420</v>
      </c>
      <c r="E462" s="1804"/>
      <c r="F462" s="1805"/>
      <c r="G462" s="1806" t="n">
        <f aca="false">'Saisie et Calculateur'!B13</f>
        <v>171.12</v>
      </c>
      <c r="H462" s="1806"/>
      <c r="I462" s="1604"/>
      <c r="J462" s="1607"/>
      <c r="K462" s="1607"/>
      <c r="L462" s="1607"/>
      <c r="M462" s="1607"/>
      <c r="N462" s="1607"/>
      <c r="O462" s="1607"/>
    </row>
    <row r="463" customFormat="false" ht="15.75" hidden="false" customHeight="true" outlineLevel="0" collapsed="false">
      <c r="A463" s="1800" t="s">
        <v>2008</v>
      </c>
      <c r="B463" s="1801"/>
      <c r="C463" s="1802"/>
      <c r="D463" s="1803" t="n">
        <f aca="false">D88</f>
        <v>0</v>
      </c>
      <c r="E463" s="1804"/>
      <c r="F463" s="1805"/>
      <c r="G463" s="1807"/>
      <c r="H463" s="1605"/>
      <c r="I463" s="1604"/>
      <c r="J463" s="1607"/>
      <c r="K463" s="1607"/>
      <c r="L463" s="1607"/>
      <c r="M463" s="1607"/>
      <c r="N463" s="1607"/>
      <c r="O463" s="1607"/>
    </row>
    <row r="464" customFormat="false" ht="15.75" hidden="false" customHeight="true" outlineLevel="0" collapsed="false">
      <c r="A464" s="1800" t="s">
        <v>2009</v>
      </c>
      <c r="B464" s="1801"/>
      <c r="C464" s="1802"/>
      <c r="D464" s="1803" t="n">
        <f aca="false">E128</f>
        <v>2184</v>
      </c>
      <c r="E464" s="1804"/>
      <c r="F464" s="1805"/>
      <c r="G464" s="1807"/>
      <c r="H464" s="1604"/>
      <c r="I464" s="1604"/>
      <c r="J464" s="1607"/>
      <c r="K464" s="1607"/>
      <c r="L464" s="1607"/>
      <c r="M464" s="1607"/>
      <c r="N464" s="1607"/>
      <c r="O464" s="1607"/>
    </row>
    <row r="465" customFormat="false" ht="15.75" hidden="false" customHeight="true" outlineLevel="0" collapsed="false">
      <c r="A465" s="1800" t="s">
        <v>2010</v>
      </c>
      <c r="B465" s="1801"/>
      <c r="C465" s="1802"/>
      <c r="D465" s="1803" t="n">
        <f aca="false">D194</f>
        <v>1200</v>
      </c>
      <c r="E465" s="1804"/>
      <c r="F465" s="1805"/>
      <c r="G465" s="1807"/>
      <c r="H465" s="1604"/>
      <c r="I465" s="1604"/>
      <c r="J465" s="1607"/>
      <c r="K465" s="1607"/>
      <c r="L465" s="1607"/>
      <c r="M465" s="1607"/>
      <c r="N465" s="1607"/>
      <c r="O465" s="1607"/>
    </row>
    <row r="466" customFormat="false" ht="15.75" hidden="false" customHeight="true" outlineLevel="0" collapsed="false">
      <c r="A466" s="1800" t="s">
        <v>2011</v>
      </c>
      <c r="B466" s="1801"/>
      <c r="C466" s="1802"/>
      <c r="D466" s="1803" t="n">
        <f aca="false">F234</f>
        <v>0</v>
      </c>
      <c r="E466" s="1804"/>
      <c r="F466" s="1805"/>
      <c r="G466" s="1807"/>
      <c r="H466" s="1604"/>
      <c r="I466" s="1604"/>
      <c r="J466" s="1607"/>
      <c r="K466" s="1607"/>
      <c r="L466" s="1607"/>
      <c r="M466" s="1607"/>
      <c r="N466" s="1607"/>
      <c r="O466" s="1607"/>
    </row>
    <row r="467" customFormat="false" ht="31.5" hidden="false" customHeight="true" outlineLevel="0" collapsed="false">
      <c r="A467" s="1808"/>
      <c r="B467" s="1809"/>
      <c r="C467" s="1810" t="s">
        <v>2012</v>
      </c>
      <c r="D467" s="1799" t="n">
        <f aca="false">SUM(D462:D466)</f>
        <v>8804</v>
      </c>
      <c r="E467" s="1804"/>
      <c r="F467" s="1811"/>
      <c r="G467" s="1812"/>
      <c r="H467" s="1606"/>
      <c r="I467" s="1606"/>
      <c r="J467" s="1607"/>
      <c r="K467" s="1607"/>
      <c r="L467" s="1607"/>
      <c r="M467" s="1607"/>
      <c r="N467" s="1607"/>
      <c r="O467" s="1607"/>
    </row>
    <row r="468" customFormat="false" ht="15.75" hidden="false" customHeight="true" outlineLevel="0" collapsed="false">
      <c r="A468" s="1808"/>
      <c r="B468" s="1809"/>
      <c r="C468" s="1813"/>
      <c r="D468" s="1814"/>
      <c r="E468" s="1809"/>
      <c r="F468" s="1809"/>
      <c r="G468" s="1804"/>
      <c r="H468" s="1815"/>
      <c r="I468" s="1812"/>
      <c r="J468" s="1606"/>
      <c r="K468" s="1606"/>
      <c r="L468" s="1607"/>
      <c r="M468" s="1607"/>
      <c r="N468" s="1607"/>
      <c r="O468" s="1607"/>
    </row>
    <row r="469" customFormat="false" ht="20.25" hidden="false" customHeight="true" outlineLevel="0" collapsed="false">
      <c r="A469" s="1702" t="s">
        <v>1102</v>
      </c>
      <c r="B469" s="1797"/>
      <c r="C469" s="1797"/>
      <c r="D469" s="1804"/>
      <c r="E469" s="1816"/>
      <c r="F469" s="1604"/>
      <c r="G469" s="1604"/>
      <c r="H469" s="1604"/>
      <c r="I469" s="1607"/>
      <c r="J469" s="1607"/>
      <c r="K469" s="1607"/>
      <c r="L469" s="1607"/>
      <c r="M469" s="1607"/>
      <c r="N469" s="1607"/>
      <c r="O469" s="1607"/>
    </row>
    <row r="470" customFormat="false" ht="15.75" hidden="false" customHeight="true" outlineLevel="0" collapsed="false">
      <c r="A470" s="1800" t="s">
        <v>2013</v>
      </c>
      <c r="B470" s="1817"/>
      <c r="C470" s="1818"/>
      <c r="D470" s="1819" t="n">
        <f aca="false">D272</f>
        <v>0</v>
      </c>
      <c r="E470" s="1804"/>
      <c r="F470" s="1820"/>
      <c r="G470" s="1821"/>
      <c r="H470" s="1604"/>
      <c r="I470" s="1604"/>
      <c r="J470" s="1607"/>
      <c r="K470" s="1607"/>
      <c r="L470" s="1607"/>
      <c r="M470" s="1607"/>
      <c r="N470" s="1607"/>
      <c r="O470" s="1607"/>
    </row>
    <row r="471" customFormat="false" ht="15.75" hidden="false" customHeight="true" outlineLevel="0" collapsed="false">
      <c r="A471" s="1800" t="s">
        <v>2014</v>
      </c>
      <c r="B471" s="1817"/>
      <c r="C471" s="1818"/>
      <c r="D471" s="1819" t="n">
        <f aca="false">D315</f>
        <v>0</v>
      </c>
      <c r="E471" s="1804"/>
      <c r="F471" s="1820"/>
      <c r="G471" s="1821"/>
      <c r="H471" s="1604"/>
      <c r="I471" s="1604"/>
      <c r="J471" s="1607"/>
      <c r="K471" s="1607"/>
      <c r="L471" s="1607"/>
      <c r="M471" s="1607"/>
      <c r="N471" s="1607"/>
      <c r="O471" s="1607"/>
    </row>
    <row r="472" customFormat="false" ht="15.75" hidden="false" customHeight="true" outlineLevel="0" collapsed="false">
      <c r="A472" s="1800" t="s">
        <v>2015</v>
      </c>
      <c r="B472" s="1817"/>
      <c r="C472" s="1818"/>
      <c r="D472" s="1819" t="n">
        <f aca="false">D371</f>
        <v>0</v>
      </c>
      <c r="E472" s="1804"/>
      <c r="F472" s="1820"/>
      <c r="G472" s="1821"/>
      <c r="H472" s="1604"/>
      <c r="I472" s="1604"/>
      <c r="J472" s="1607"/>
      <c r="K472" s="1607"/>
      <c r="L472" s="1607"/>
      <c r="M472" s="1607"/>
      <c r="N472" s="1607"/>
      <c r="O472" s="1607"/>
    </row>
    <row r="473" customFormat="false" ht="15.75" hidden="false" customHeight="true" outlineLevel="0" collapsed="false">
      <c r="A473" s="1800" t="s">
        <v>2016</v>
      </c>
      <c r="B473" s="1817"/>
      <c r="C473" s="1818"/>
      <c r="D473" s="1819" t="n">
        <f aca="false">E396</f>
        <v>0</v>
      </c>
      <c r="E473" s="1804"/>
      <c r="F473" s="1820"/>
      <c r="G473" s="1821"/>
      <c r="H473" s="1604"/>
      <c r="I473" s="1604"/>
      <c r="J473" s="1607"/>
      <c r="K473" s="1607"/>
      <c r="L473" s="1607"/>
      <c r="M473" s="1607"/>
      <c r="N473" s="1607"/>
      <c r="O473" s="1607"/>
    </row>
    <row r="474" customFormat="false" ht="15.75" hidden="false" customHeight="true" outlineLevel="0" collapsed="false">
      <c r="A474" s="1800" t="s">
        <v>2017</v>
      </c>
      <c r="B474" s="1817"/>
      <c r="C474" s="1818"/>
      <c r="D474" s="1819" t="n">
        <f aca="false">F435</f>
        <v>968.64</v>
      </c>
      <c r="E474" s="1804"/>
      <c r="F474" s="1820"/>
      <c r="G474" s="1821"/>
      <c r="H474" s="1604"/>
      <c r="I474" s="1604"/>
      <c r="J474" s="1607"/>
      <c r="K474" s="1607"/>
      <c r="L474" s="1607"/>
      <c r="M474" s="1607"/>
      <c r="N474" s="1607"/>
      <c r="O474" s="1607"/>
    </row>
    <row r="475" customFormat="false" ht="31.5" hidden="false" customHeight="true" outlineLevel="0" collapsed="false">
      <c r="A475" s="1604"/>
      <c r="B475" s="1604"/>
      <c r="C475" s="1810" t="s">
        <v>2018</v>
      </c>
      <c r="D475" s="1822" t="n">
        <f aca="false">SUM(D470:D474)</f>
        <v>968.64</v>
      </c>
      <c r="E475" s="1804"/>
      <c r="F475" s="1604"/>
      <c r="G475" s="1604"/>
      <c r="H475" s="1604"/>
      <c r="I475" s="1604"/>
      <c r="J475" s="1607"/>
      <c r="K475" s="1607"/>
      <c r="L475" s="1607"/>
      <c r="M475" s="1607"/>
      <c r="N475" s="1607"/>
      <c r="O475" s="1607"/>
    </row>
    <row r="476" customFormat="false" ht="15.75" hidden="false" customHeight="true" outlineLevel="0" collapsed="false">
      <c r="A476" s="1604"/>
      <c r="B476" s="1604"/>
      <c r="C476" s="1813"/>
      <c r="D476" s="1823"/>
      <c r="E476" s="1804"/>
      <c r="F476" s="1604"/>
      <c r="G476" s="1604"/>
      <c r="H476" s="1604"/>
      <c r="I476" s="1604"/>
      <c r="J476" s="1607"/>
      <c r="K476" s="1607"/>
      <c r="L476" s="1607"/>
      <c r="M476" s="1607"/>
      <c r="N476" s="1607"/>
      <c r="O476" s="1607"/>
    </row>
    <row r="477" customFormat="false" ht="15.75" hidden="false" customHeight="true" outlineLevel="0" collapsed="false">
      <c r="A477" s="1607"/>
      <c r="B477" s="1824" t="s">
        <v>2019</v>
      </c>
      <c r="C477" s="1824"/>
      <c r="D477" s="1819" t="n">
        <f aca="false">D467-D475</f>
        <v>7835.36</v>
      </c>
      <c r="E477" s="1804"/>
      <c r="F477" s="1604"/>
      <c r="G477" s="1604"/>
      <c r="H477" s="1604"/>
      <c r="I477" s="1604"/>
      <c r="J477" s="1607"/>
      <c r="K477" s="1607"/>
      <c r="L477" s="1607"/>
      <c r="M477" s="1607"/>
      <c r="N477" s="1607"/>
      <c r="O477" s="1607"/>
    </row>
    <row r="478" customFormat="false" ht="15.75" hidden="false" customHeight="true" outlineLevel="0" collapsed="false">
      <c r="A478" s="1607"/>
      <c r="B478" s="1825" t="s">
        <v>2020</v>
      </c>
      <c r="C478" s="1825"/>
      <c r="D478" s="1819" t="n">
        <f aca="false">C442</f>
        <v>3836</v>
      </c>
      <c r="E478" s="1804"/>
      <c r="F478" s="1604"/>
      <c r="G478" s="1604"/>
      <c r="H478" s="1604"/>
      <c r="I478" s="1604"/>
      <c r="J478" s="1607"/>
      <c r="K478" s="1607"/>
      <c r="L478" s="1607"/>
      <c r="M478" s="1607"/>
      <c r="N478" s="1607"/>
      <c r="O478" s="1607"/>
    </row>
    <row r="479" customFormat="false" ht="15.75" hidden="false" customHeight="true" outlineLevel="0" collapsed="false">
      <c r="A479" s="1604"/>
      <c r="B479" s="1825" t="s">
        <v>2021</v>
      </c>
      <c r="C479" s="1825"/>
      <c r="D479" s="1819" t="n">
        <f aca="false">E455</f>
        <v>3423.4719453584</v>
      </c>
      <c r="E479" s="1804"/>
      <c r="F479" s="1604"/>
      <c r="G479" s="1604"/>
      <c r="H479" s="1604"/>
      <c r="I479" s="1604"/>
      <c r="J479" s="1607"/>
      <c r="K479" s="1607"/>
      <c r="L479" s="1607"/>
      <c r="M479" s="1607"/>
      <c r="N479" s="1607"/>
      <c r="O479" s="1607"/>
    </row>
    <row r="480" customFormat="false" ht="15.75" hidden="false" customHeight="true" outlineLevel="0" collapsed="false">
      <c r="A480" s="1604"/>
      <c r="B480" s="1824" t="s">
        <v>2022</v>
      </c>
      <c r="C480" s="1824"/>
      <c r="D480" s="1819" t="n">
        <f aca="false">D477-D478-D479</f>
        <v>575.888054641597</v>
      </c>
      <c r="E480" s="1804"/>
      <c r="F480" s="1826"/>
      <c r="G480" s="1604"/>
      <c r="H480" s="1604"/>
      <c r="I480" s="1604"/>
      <c r="J480" s="1607"/>
      <c r="K480" s="1607"/>
      <c r="L480" s="1607"/>
      <c r="M480" s="1607"/>
      <c r="N480" s="1607"/>
      <c r="O480" s="1607"/>
    </row>
    <row r="481" customFormat="false" ht="15.75" hidden="false" customHeight="true" outlineLevel="0" collapsed="false">
      <c r="A481" s="1604"/>
      <c r="B481" s="1827"/>
      <c r="C481" s="1828"/>
      <c r="D481" s="1829"/>
      <c r="E481" s="1830"/>
      <c r="F481" s="1604"/>
      <c r="G481" s="1604"/>
      <c r="H481" s="1604"/>
      <c r="I481" s="1604"/>
      <c r="J481" s="1607"/>
      <c r="K481" s="1607"/>
      <c r="L481" s="1607"/>
      <c r="M481" s="1607"/>
      <c r="N481" s="1607"/>
      <c r="O481" s="1607"/>
    </row>
    <row r="482" customFormat="false" ht="17" hidden="false" customHeight="true" outlineLevel="0" collapsed="false">
      <c r="A482" s="1604"/>
      <c r="B482" s="1604"/>
      <c r="C482" s="1604"/>
      <c r="D482" s="1831" t="s">
        <v>2023</v>
      </c>
      <c r="E482" s="1605"/>
      <c r="F482" s="1604"/>
      <c r="G482" s="1604"/>
      <c r="H482" s="1604"/>
      <c r="I482" s="1604"/>
      <c r="J482" s="1604"/>
      <c r="K482" s="1607"/>
      <c r="L482" s="1607"/>
      <c r="M482" s="1607"/>
      <c r="N482" s="1607"/>
    </row>
    <row r="483" customFormat="false" ht="48" hidden="false" customHeight="true" outlineLevel="0" collapsed="false">
      <c r="A483" s="1832" t="s">
        <v>2024</v>
      </c>
      <c r="B483" s="1833" t="s">
        <v>2025</v>
      </c>
      <c r="C483" s="1833"/>
      <c r="D483" s="1803" t="n">
        <f aca="false">IF(G462=0,"?",D480/$G462)</f>
        <v>3.36540471389433</v>
      </c>
      <c r="E483" s="1803"/>
      <c r="F483" s="1604"/>
      <c r="G483" s="1604"/>
      <c r="H483" s="1604"/>
      <c r="I483" s="1604"/>
      <c r="J483" s="1604"/>
      <c r="K483" s="1604"/>
      <c r="L483" s="1607"/>
      <c r="M483" s="1607"/>
      <c r="N483" s="1607"/>
      <c r="O483" s="1607"/>
    </row>
  </sheetData>
  <mergeCells count="46">
    <mergeCell ref="N2:O2"/>
    <mergeCell ref="B4:D4"/>
    <mergeCell ref="B5:D5"/>
    <mergeCell ref="B6:D6"/>
    <mergeCell ref="B7:D7"/>
    <mergeCell ref="B8:D8"/>
    <mergeCell ref="A10:I10"/>
    <mergeCell ref="D44:E44"/>
    <mergeCell ref="C46:D46"/>
    <mergeCell ref="A49:I49"/>
    <mergeCell ref="A54:A63"/>
    <mergeCell ref="A66:A70"/>
    <mergeCell ref="A71:A77"/>
    <mergeCell ref="A78:A81"/>
    <mergeCell ref="A82:A86"/>
    <mergeCell ref="A92:I92"/>
    <mergeCell ref="A94:I94"/>
    <mergeCell ref="A104:I104"/>
    <mergeCell ref="I108:I109"/>
    <mergeCell ref="J108:N108"/>
    <mergeCell ref="B126:C126"/>
    <mergeCell ref="B128:C128"/>
    <mergeCell ref="A132:I132"/>
    <mergeCell ref="A197:I197"/>
    <mergeCell ref="A237:I237"/>
    <mergeCell ref="A238:J238"/>
    <mergeCell ref="A276:I276"/>
    <mergeCell ref="A279:A280"/>
    <mergeCell ref="A319:I319"/>
    <mergeCell ref="F357:J357"/>
    <mergeCell ref="A374:I374"/>
    <mergeCell ref="A377:A378"/>
    <mergeCell ref="A386:A387"/>
    <mergeCell ref="B396:C396"/>
    <mergeCell ref="A399:I399"/>
    <mergeCell ref="A438:I438"/>
    <mergeCell ref="A445:I445"/>
    <mergeCell ref="A458:I458"/>
    <mergeCell ref="G461:H461"/>
    <mergeCell ref="G462:H462"/>
    <mergeCell ref="B477:C477"/>
    <mergeCell ref="B478:C478"/>
    <mergeCell ref="B479:C479"/>
    <mergeCell ref="B480:C480"/>
    <mergeCell ref="B483:C483"/>
    <mergeCell ref="D483:E483"/>
  </mergeCells>
  <hyperlinks>
    <hyperlink ref="C200" location="'Tables de conversion'!A549" display="kg accès réfèrences"/>
    <hyperlink ref="C402" location="'Tables de conversion'!A549" display="kg accès réfèrences"/>
  </hyperlinks>
  <printOptions headings="false" gridLines="false" gridLinesSet="true" horizontalCentered="false" verticalCentered="false"/>
  <pageMargins left="0.7875" right="0.7875" top="0.984027777777778" bottom="0.984722222222222" header="0.511805555555555" footer="0.492361111111111"/>
  <pageSetup paperSize="9" scale="100" firstPageNumber="0" fitToWidth="1" fitToHeight="15" pageOrder="downThenOver" orientation="portrait" blackAndWhite="false" draft="false" cellComments="none" useFirstPageNumber="false" horizontalDpi="300" verticalDpi="300" copies="1"/>
  <headerFooter differentFirst="false" differentOddEven="false">
    <oddHeader/>
    <oddFooter>&amp;Cwww.idea.portea.fr</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Y849"/>
  <sheetViews>
    <sheetView showFormulas="false" showGridLines="true" showRowColHeaders="true" showZeros="true" rightToLeft="false" tabSelected="false" showOutlineSymbols="true" defaultGridColor="true" view="normal" topLeftCell="A138" colorId="64" zoomScale="100" zoomScaleNormal="100" zoomScalePageLayoutView="100" workbookViewId="0">
      <selection pane="topLeft" activeCell="D129" activeCellId="0" sqref="D129"/>
    </sheetView>
  </sheetViews>
  <sheetFormatPr defaultRowHeight="12.75" zeroHeight="false" outlineLevelRow="0" outlineLevelCol="0"/>
  <cols>
    <col collapsed="false" customWidth="true" hidden="false" outlineLevel="0" max="1" min="1" style="0" width="24.67"/>
    <col collapsed="false" customWidth="true" hidden="false" outlineLevel="0" max="2" min="2" style="0" width="12.66"/>
    <col collapsed="false" customWidth="true" hidden="false" outlineLevel="0" max="3" min="3" style="0" width="13.33"/>
    <col collapsed="false" customWidth="true" hidden="false" outlineLevel="0" max="5" min="4" style="0" width="10.66"/>
    <col collapsed="false" customWidth="true" hidden="false" outlineLevel="0" max="6" min="6" style="0" width="23.66"/>
    <col collapsed="false" customWidth="true" hidden="false" outlineLevel="0" max="7" min="7" style="0" width="13.5"/>
    <col collapsed="false" customWidth="true" hidden="false" outlineLevel="0" max="8" min="8" style="0" width="17"/>
    <col collapsed="false" customWidth="true" hidden="false" outlineLevel="0" max="9" min="9" style="0" width="23.83"/>
    <col collapsed="false" customWidth="false" hidden="false" outlineLevel="0" max="10" min="10" style="0" width="11.5"/>
    <col collapsed="false" customWidth="true" hidden="false" outlineLevel="0" max="11" min="11" style="0" width="22.01"/>
    <col collapsed="false" customWidth="true" hidden="false" outlineLevel="0" max="12" min="12" style="0" width="10.66"/>
    <col collapsed="false" customWidth="true" hidden="false" outlineLevel="0" max="13" min="13" style="0" width="16.83"/>
    <col collapsed="false" customWidth="true" hidden="false" outlineLevel="0" max="14" min="14" style="0" width="12.5"/>
    <col collapsed="false" customWidth="true" hidden="false" outlineLevel="0" max="15" min="15" style="0" width="18.33"/>
    <col collapsed="false" customWidth="true" hidden="false" outlineLevel="0" max="1025" min="16" style="0" width="10.66"/>
  </cols>
  <sheetData>
    <row r="1" customFormat="false" ht="20.25" hidden="false" customHeight="true" outlineLevel="0" collapsed="false">
      <c r="A1" s="1834" t="s">
        <v>80</v>
      </c>
      <c r="B1" s="1835"/>
      <c r="C1" s="1836"/>
      <c r="D1" s="1836"/>
      <c r="E1" s="1836"/>
      <c r="F1" s="1836"/>
      <c r="G1" s="1836"/>
      <c r="H1" s="1837"/>
      <c r="I1" s="1838"/>
      <c r="J1" s="1839"/>
    </row>
    <row r="3" customFormat="false" ht="19.5" hidden="false" customHeight="true" outlineLevel="0" collapsed="false">
      <c r="A3" s="420" t="s">
        <v>970</v>
      </c>
    </row>
    <row r="4" customFormat="false" ht="15.75" hidden="false" customHeight="true" outlineLevel="0" collapsed="false">
      <c r="A4" s="0" t="s">
        <v>2026</v>
      </c>
      <c r="C4" s="1840" t="s">
        <v>2027</v>
      </c>
      <c r="G4" s="1841" t="s">
        <v>2028</v>
      </c>
    </row>
    <row r="5" customFormat="false" ht="13.5" hidden="false" customHeight="true" outlineLevel="0" collapsed="false">
      <c r="A5" s="1842"/>
      <c r="B5" s="1843" t="s">
        <v>2029</v>
      </c>
    </row>
    <row r="6" customFormat="false" ht="13.5" hidden="false" customHeight="true" outlineLevel="0" collapsed="false">
      <c r="A6" s="1844" t="s">
        <v>1834</v>
      </c>
      <c r="B6" s="1845"/>
      <c r="C6" s="1846"/>
    </row>
    <row r="7" customFormat="false" ht="13.5" hidden="false" customHeight="true" outlineLevel="0" collapsed="false">
      <c r="A7" s="1847" t="s">
        <v>1040</v>
      </c>
      <c r="B7" s="1848" t="s">
        <v>2030</v>
      </c>
    </row>
    <row r="8" customFormat="false" ht="13.5" hidden="false" customHeight="true" outlineLevel="0" collapsed="false">
      <c r="A8" s="1847" t="s">
        <v>2031</v>
      </c>
      <c r="B8" s="1848" t="s">
        <v>2032</v>
      </c>
      <c r="M8" s="0" t="s">
        <v>2033</v>
      </c>
    </row>
    <row r="9" customFormat="false" ht="13.5" hidden="false" customHeight="true" outlineLevel="0" collapsed="false">
      <c r="A9" s="1847" t="s">
        <v>7</v>
      </c>
      <c r="B9" s="1848" t="s">
        <v>2034</v>
      </c>
      <c r="C9" s="1846"/>
    </row>
    <row r="10" customFormat="false" ht="13.5" hidden="false" customHeight="true" outlineLevel="0" collapsed="false">
      <c r="A10" s="1847" t="s">
        <v>8</v>
      </c>
      <c r="B10" s="1848" t="s">
        <v>2035</v>
      </c>
    </row>
    <row r="11" customFormat="false" ht="13.5" hidden="false" customHeight="true" outlineLevel="0" collapsed="false">
      <c r="A11" s="1847" t="s">
        <v>9</v>
      </c>
      <c r="B11" s="1849" t="s">
        <v>2036</v>
      </c>
    </row>
    <row r="12" customFormat="false" ht="13.5" hidden="false" customHeight="true" outlineLevel="0" collapsed="false">
      <c r="A12" s="1847" t="s">
        <v>2037</v>
      </c>
      <c r="B12" s="1849" t="s">
        <v>2036</v>
      </c>
      <c r="C12" s="1846"/>
    </row>
    <row r="13" customFormat="false" ht="13.5" hidden="false" customHeight="true" outlineLevel="0" collapsed="false">
      <c r="A13" s="1847" t="s">
        <v>2038</v>
      </c>
      <c r="B13" s="1849" t="s">
        <v>2036</v>
      </c>
    </row>
    <row r="14" customFormat="false" ht="13.5" hidden="false" customHeight="true" outlineLevel="0" collapsed="false">
      <c r="A14" s="1847" t="s">
        <v>5</v>
      </c>
      <c r="B14" s="1849" t="s">
        <v>2039</v>
      </c>
    </row>
    <row r="15" customFormat="false" ht="13.5" hidden="false" customHeight="true" outlineLevel="0" collapsed="false">
      <c r="A15" s="1847" t="s">
        <v>11</v>
      </c>
      <c r="B15" s="1849" t="s">
        <v>2040</v>
      </c>
      <c r="C15" s="1846"/>
    </row>
    <row r="16" customFormat="false" ht="13.5" hidden="false" customHeight="true" outlineLevel="0" collapsed="false">
      <c r="A16" s="1847" t="s">
        <v>2041</v>
      </c>
      <c r="B16" s="1849" t="s">
        <v>2040</v>
      </c>
    </row>
    <row r="17" customFormat="false" ht="13.5" hidden="false" customHeight="true" outlineLevel="0" collapsed="false">
      <c r="A17" s="1847" t="s">
        <v>13</v>
      </c>
      <c r="B17" s="1849" t="s">
        <v>2040</v>
      </c>
    </row>
    <row r="18" customFormat="false" ht="13.5" hidden="false" customHeight="true" outlineLevel="0" collapsed="false">
      <c r="A18" s="1847" t="s">
        <v>14</v>
      </c>
      <c r="B18" s="1849" t="s">
        <v>2040</v>
      </c>
      <c r="C18" s="1846"/>
    </row>
    <row r="19" customFormat="false" ht="13.5" hidden="false" customHeight="true" outlineLevel="0" collapsed="false">
      <c r="A19" s="1844" t="s">
        <v>2042</v>
      </c>
      <c r="B19" s="1850"/>
    </row>
    <row r="20" customFormat="false" ht="13.5" hidden="false" customHeight="true" outlineLevel="0" collapsed="false">
      <c r="A20" s="1847" t="s">
        <v>2043</v>
      </c>
      <c r="B20" s="1850" t="s">
        <v>2044</v>
      </c>
    </row>
    <row r="21" customFormat="false" ht="13.5" hidden="false" customHeight="true" outlineLevel="0" collapsed="false">
      <c r="A21" s="1847" t="s">
        <v>2045</v>
      </c>
      <c r="B21" s="1850" t="n">
        <v>0.03</v>
      </c>
      <c r="C21" s="1846"/>
    </row>
    <row r="22" customFormat="false" ht="13.5" hidden="false" customHeight="true" outlineLevel="0" collapsed="false">
      <c r="A22" s="1847" t="s">
        <v>2046</v>
      </c>
      <c r="B22" s="1850" t="s">
        <v>2047</v>
      </c>
    </row>
    <row r="23" customFormat="false" ht="13.5" hidden="false" customHeight="true" outlineLevel="0" collapsed="false">
      <c r="A23" s="1847" t="s">
        <v>1966</v>
      </c>
      <c r="B23" s="1850" t="s">
        <v>2047</v>
      </c>
    </row>
    <row r="24" customFormat="false" ht="13.5" hidden="false" customHeight="true" outlineLevel="0" collapsed="false">
      <c r="A24" s="1847" t="s">
        <v>2048</v>
      </c>
      <c r="B24" s="1850" t="s">
        <v>2047</v>
      </c>
      <c r="C24" s="1846"/>
    </row>
    <row r="25" customFormat="false" ht="13.5" hidden="false" customHeight="true" outlineLevel="0" collapsed="false">
      <c r="A25" s="1844" t="s">
        <v>2049</v>
      </c>
      <c r="B25" s="1850"/>
    </row>
    <row r="26" customFormat="false" ht="13.5" hidden="false" customHeight="true" outlineLevel="0" collapsed="false">
      <c r="A26" s="1847" t="s">
        <v>2050</v>
      </c>
      <c r="B26" s="1850" t="s">
        <v>2047</v>
      </c>
    </row>
    <row r="27" customFormat="false" ht="13.5" hidden="false" customHeight="true" outlineLevel="0" collapsed="false">
      <c r="A27" s="1847" t="s">
        <v>2051</v>
      </c>
      <c r="B27" s="1850" t="n">
        <v>0</v>
      </c>
    </row>
    <row r="28" customFormat="false" ht="13.5" hidden="false" customHeight="true" outlineLevel="0" collapsed="false">
      <c r="A28" s="1847" t="s">
        <v>1967</v>
      </c>
      <c r="B28" s="1850" t="s">
        <v>2047</v>
      </c>
    </row>
    <row r="29" customFormat="false" ht="13.5" hidden="false" customHeight="true" outlineLevel="0" collapsed="false">
      <c r="A29" s="1847" t="s">
        <v>2052</v>
      </c>
      <c r="B29" s="1850" t="s">
        <v>2044</v>
      </c>
    </row>
    <row r="30" customFormat="false" ht="13.5" hidden="false" customHeight="true" outlineLevel="0" collapsed="false">
      <c r="A30" s="1844" t="s">
        <v>2053</v>
      </c>
      <c r="B30" s="1850"/>
    </row>
    <row r="31" customFormat="false" ht="13.5" hidden="false" customHeight="true" outlineLevel="0" collapsed="false">
      <c r="A31" s="1847" t="s">
        <v>2054</v>
      </c>
      <c r="B31" s="1850" t="s">
        <v>2036</v>
      </c>
    </row>
    <row r="32" customFormat="false" ht="13.5" hidden="false" customHeight="true" outlineLevel="0" collapsed="false">
      <c r="A32" s="1847" t="s">
        <v>2055</v>
      </c>
      <c r="B32" s="1850" t="s">
        <v>2056</v>
      </c>
    </row>
    <row r="33" customFormat="false" ht="13.5" hidden="false" customHeight="true" outlineLevel="0" collapsed="false">
      <c r="A33" s="1847" t="s">
        <v>2057</v>
      </c>
      <c r="B33" s="1850" t="s">
        <v>2058</v>
      </c>
    </row>
    <row r="34" customFormat="false" ht="13.5" hidden="false" customHeight="true" outlineLevel="0" collapsed="false">
      <c r="A34" s="1847" t="s">
        <v>2059</v>
      </c>
      <c r="B34" s="1850" t="s">
        <v>2036</v>
      </c>
      <c r="C34" s="1846"/>
    </row>
    <row r="35" customFormat="false" ht="13.5" hidden="false" customHeight="true" outlineLevel="0" collapsed="false">
      <c r="A35" s="1847" t="s">
        <v>2060</v>
      </c>
      <c r="B35" s="1850" t="s">
        <v>2036</v>
      </c>
    </row>
    <row r="36" customFormat="false" ht="13.5" hidden="false" customHeight="true" outlineLevel="0" collapsed="false">
      <c r="A36" s="1847" t="s">
        <v>2061</v>
      </c>
      <c r="B36" s="1850" t="s">
        <v>2056</v>
      </c>
    </row>
    <row r="37" customFormat="false" ht="13.5" hidden="false" customHeight="true" outlineLevel="0" collapsed="false">
      <c r="A37" s="1847" t="s">
        <v>2062</v>
      </c>
      <c r="B37" s="1850" t="s">
        <v>2063</v>
      </c>
    </row>
    <row r="38" customFormat="false" ht="13.5" hidden="false" customHeight="true" outlineLevel="0" collapsed="false">
      <c r="A38" s="1847" t="s">
        <v>2064</v>
      </c>
      <c r="B38" s="1850" t="s">
        <v>2040</v>
      </c>
      <c r="C38" s="1846"/>
    </row>
    <row r="39" customFormat="false" ht="13.5" hidden="false" customHeight="true" outlineLevel="0" collapsed="false">
      <c r="A39" s="1847" t="s">
        <v>2065</v>
      </c>
      <c r="B39" s="1850" t="s">
        <v>2058</v>
      </c>
    </row>
    <row r="40" customFormat="false" ht="13.5" hidden="false" customHeight="true" outlineLevel="0" collapsed="false">
      <c r="A40" s="1847" t="s">
        <v>2066</v>
      </c>
      <c r="B40" s="1850" t="s">
        <v>2036</v>
      </c>
    </row>
    <row r="41" customFormat="false" ht="13.5" hidden="false" customHeight="true" outlineLevel="0" collapsed="false">
      <c r="A41" s="1847" t="s">
        <v>2054</v>
      </c>
      <c r="B41" s="1850" t="s">
        <v>2036</v>
      </c>
      <c r="C41" s="1846"/>
    </row>
    <row r="42" customFormat="false" ht="12.75" hidden="false" customHeight="true" outlineLevel="0" collapsed="false">
      <c r="A42" s="1851"/>
      <c r="B42" s="1852"/>
      <c r="C42" s="1846"/>
    </row>
    <row r="43" customFormat="false" ht="12.75" hidden="false" customHeight="true" outlineLevel="0" collapsed="false">
      <c r="A43" s="1851"/>
      <c r="B43" s="1852"/>
      <c r="C43" s="1846"/>
    </row>
    <row r="44" customFormat="false" ht="12.75" hidden="false" customHeight="true" outlineLevel="0" collapsed="false">
      <c r="A44" s="1851"/>
      <c r="B44" s="1852"/>
      <c r="C44" s="1846"/>
    </row>
    <row r="45" customFormat="false" ht="19.5" hidden="false" customHeight="true" outlineLevel="0" collapsed="false">
      <c r="A45" s="420" t="s">
        <v>2067</v>
      </c>
      <c r="B45" s="1852"/>
      <c r="C45" s="1846"/>
    </row>
    <row r="46" customFormat="false" ht="12.75" hidden="false" customHeight="true" outlineLevel="0" collapsed="false">
      <c r="A46" s="1851"/>
      <c r="B46" s="1852"/>
      <c r="C46" s="1846"/>
    </row>
    <row r="47" customFormat="false" ht="15" hidden="false" customHeight="true" outlineLevel="0" collapsed="false">
      <c r="A47" s="1853" t="s">
        <v>2068</v>
      </c>
      <c r="D47" s="1846"/>
    </row>
    <row r="48" customFormat="false" ht="12.75" hidden="false" customHeight="true" outlineLevel="0" collapsed="false">
      <c r="A48" s="1854" t="s">
        <v>2069</v>
      </c>
      <c r="D48" s="1846"/>
    </row>
    <row r="49" customFormat="false" ht="12.75" hidden="false" customHeight="true" outlineLevel="0" collapsed="false">
      <c r="S49" s="1022" t="s">
        <v>2070</v>
      </c>
      <c r="T49" s="1022"/>
      <c r="U49" s="1022"/>
      <c r="V49" s="1022"/>
      <c r="W49" s="1022"/>
      <c r="X49" s="1022"/>
      <c r="Y49" s="1022"/>
    </row>
    <row r="50" customFormat="false" ht="12.75" hidden="false" customHeight="true" outlineLevel="0" collapsed="false">
      <c r="S50" s="1416"/>
      <c r="V50" s="1846"/>
    </row>
    <row r="51" customFormat="false" ht="12.75" hidden="false" customHeight="true" outlineLevel="0" collapsed="false">
      <c r="S51" s="1416"/>
      <c r="T51" s="1671" t="s">
        <v>2071</v>
      </c>
      <c r="U51" s="1672" t="s">
        <v>2072</v>
      </c>
      <c r="V51" s="1672"/>
      <c r="W51" s="1672"/>
      <c r="X51" s="1672"/>
    </row>
    <row r="52" customFormat="false" ht="12.75" hidden="false" customHeight="true" outlineLevel="0" collapsed="false">
      <c r="S52" s="1416"/>
      <c r="T52" s="1671"/>
      <c r="U52" s="1855" t="n">
        <v>6</v>
      </c>
      <c r="V52" s="1855" t="n">
        <v>8</v>
      </c>
      <c r="W52" s="1855" t="n">
        <v>10</v>
      </c>
      <c r="X52" s="1855" t="n">
        <v>12</v>
      </c>
    </row>
    <row r="53" customFormat="false" ht="12.75" hidden="false" customHeight="true" outlineLevel="0" collapsed="false">
      <c r="S53" s="1416"/>
      <c r="T53" s="1856" t="n">
        <v>0.15</v>
      </c>
      <c r="U53" s="1857" t="n">
        <v>27</v>
      </c>
      <c r="V53" s="1857" t="n">
        <v>36</v>
      </c>
      <c r="W53" s="1857" t="n">
        <v>45</v>
      </c>
      <c r="X53" s="1857" t="n">
        <v>54</v>
      </c>
    </row>
    <row r="54" customFormat="false" ht="12.75" hidden="false" customHeight="true" outlineLevel="0" collapsed="false">
      <c r="S54" s="1416"/>
      <c r="T54" s="1856" t="n">
        <v>0.35</v>
      </c>
      <c r="U54" s="1857" t="n">
        <v>63</v>
      </c>
      <c r="V54" s="1857" t="n">
        <v>84</v>
      </c>
      <c r="W54" s="1857" t="n">
        <v>105</v>
      </c>
      <c r="X54" s="1857" t="n">
        <v>126</v>
      </c>
    </row>
    <row r="55" customFormat="false" ht="12.75" hidden="false" customHeight="true" outlineLevel="0" collapsed="false">
      <c r="S55" s="1416"/>
      <c r="T55" s="1856" t="n">
        <v>0.5</v>
      </c>
      <c r="U55" s="1857" t="n">
        <v>90</v>
      </c>
      <c r="V55" s="1857" t="n">
        <v>120</v>
      </c>
      <c r="W55" s="1857" t="n">
        <v>150</v>
      </c>
      <c r="X55" s="1857" t="n">
        <v>180</v>
      </c>
    </row>
    <row r="56" customFormat="false" ht="12.75" hidden="false" customHeight="true" outlineLevel="0" collapsed="false">
      <c r="S56" s="1416"/>
      <c r="V56" s="1846"/>
    </row>
    <row r="57" customFormat="false" ht="12.75" hidden="false" customHeight="true" outlineLevel="0" collapsed="false">
      <c r="S57" s="1022" t="s">
        <v>2073</v>
      </c>
      <c r="T57" s="1022"/>
      <c r="U57" s="1022"/>
      <c r="V57" s="1022"/>
      <c r="W57" s="1022"/>
      <c r="X57" s="1022"/>
      <c r="Y57" s="1022"/>
    </row>
    <row r="58" customFormat="false" ht="12.75" hidden="false" customHeight="true" outlineLevel="0" collapsed="false">
      <c r="S58" s="1416"/>
      <c r="V58" s="1846"/>
    </row>
    <row r="59" customFormat="false" ht="12.75" hidden="false" customHeight="true" outlineLevel="0" collapsed="false">
      <c r="S59" s="1416"/>
      <c r="T59" s="1671" t="s">
        <v>1860</v>
      </c>
      <c r="U59" s="1672" t="s">
        <v>2074</v>
      </c>
      <c r="V59" s="1672"/>
      <c r="W59" s="1672"/>
      <c r="X59" s="1672"/>
      <c r="Y59" s="1672"/>
    </row>
    <row r="60" customFormat="false" ht="12.75" hidden="false" customHeight="true" outlineLevel="0" collapsed="false">
      <c r="S60" s="1416"/>
      <c r="T60" s="1671"/>
      <c r="U60" s="1855" t="n">
        <v>2</v>
      </c>
      <c r="V60" s="1855" t="n">
        <v>3</v>
      </c>
      <c r="W60" s="1855" t="n">
        <v>4</v>
      </c>
      <c r="X60" s="1855" t="n">
        <v>5</v>
      </c>
      <c r="Y60" s="1858" t="n">
        <v>6</v>
      </c>
    </row>
    <row r="61" customFormat="false" ht="12.75" hidden="false" customHeight="true" outlineLevel="0" collapsed="false">
      <c r="S61" s="1416"/>
      <c r="T61" s="1674" t="s">
        <v>1864</v>
      </c>
      <c r="U61" s="1857" t="n">
        <v>65</v>
      </c>
      <c r="V61" s="1857" t="n">
        <v>97.5</v>
      </c>
      <c r="W61" s="1857" t="n">
        <v>130</v>
      </c>
      <c r="X61" s="1857" t="n">
        <v>162.5</v>
      </c>
      <c r="Y61" s="1857" t="n">
        <v>195</v>
      </c>
    </row>
    <row r="62" customFormat="false" ht="12.75" hidden="false" customHeight="true" outlineLevel="0" collapsed="false">
      <c r="S62" s="1416"/>
      <c r="T62" s="1674" t="s">
        <v>1866</v>
      </c>
      <c r="U62" s="1857" t="n">
        <v>71</v>
      </c>
      <c r="V62" s="1857" t="n">
        <v>106.5</v>
      </c>
      <c r="W62" s="1857" t="n">
        <v>142</v>
      </c>
      <c r="X62" s="1857" t="n">
        <v>177.5</v>
      </c>
      <c r="Y62" s="1857" t="n">
        <v>213</v>
      </c>
    </row>
    <row r="63" customFormat="false" ht="12.75" hidden="false" customHeight="true" outlineLevel="0" collapsed="false">
      <c r="S63" s="1416"/>
      <c r="T63" s="1674" t="s">
        <v>1867</v>
      </c>
      <c r="U63" s="1857" t="n">
        <v>66</v>
      </c>
      <c r="V63" s="1857" t="n">
        <v>99</v>
      </c>
      <c r="W63" s="1857" t="n">
        <v>132</v>
      </c>
      <c r="X63" s="1857" t="n">
        <v>164.5</v>
      </c>
      <c r="Y63" s="1857" t="n">
        <v>198</v>
      </c>
    </row>
    <row r="64" customFormat="false" ht="12.75" hidden="false" customHeight="true" outlineLevel="0" collapsed="false">
      <c r="S64" s="1416"/>
      <c r="T64" s="1674" t="s">
        <v>1868</v>
      </c>
      <c r="U64" s="1857" t="n">
        <v>111</v>
      </c>
      <c r="V64" s="1857" t="n">
        <v>166.5</v>
      </c>
      <c r="W64" s="1857" t="n">
        <v>222</v>
      </c>
      <c r="X64" s="1857" t="n">
        <v>277.5</v>
      </c>
      <c r="Y64" s="1857" t="n">
        <v>333</v>
      </c>
    </row>
    <row r="65" customFormat="false" ht="12.75" hidden="false" customHeight="true" outlineLevel="0" collapsed="false">
      <c r="S65" s="1416"/>
      <c r="T65" s="1674" t="s">
        <v>1870</v>
      </c>
      <c r="U65" s="1857" t="n">
        <v>113</v>
      </c>
      <c r="V65" s="1857" t="n">
        <v>169.5</v>
      </c>
      <c r="W65" s="1857" t="n">
        <v>226</v>
      </c>
      <c r="X65" s="1857" t="n">
        <v>282</v>
      </c>
      <c r="Y65" s="1857" t="n">
        <v>339</v>
      </c>
    </row>
    <row r="66" customFormat="false" ht="12.75" hidden="false" customHeight="true" outlineLevel="0" collapsed="false">
      <c r="S66" s="1416"/>
      <c r="T66" s="1674" t="s">
        <v>1872</v>
      </c>
      <c r="U66" s="1857" t="n">
        <v>72</v>
      </c>
      <c r="V66" s="1857" t="n">
        <v>108</v>
      </c>
      <c r="W66" s="1857" t="n">
        <v>144</v>
      </c>
      <c r="X66" s="1857" t="n">
        <v>180</v>
      </c>
      <c r="Y66" s="1857" t="n">
        <v>216</v>
      </c>
    </row>
    <row r="67" customFormat="false" ht="12.75" hidden="false" customHeight="true" outlineLevel="0" collapsed="false">
      <c r="S67" s="1416"/>
      <c r="V67" s="1846"/>
    </row>
    <row r="68" customFormat="false" ht="19.5" hidden="false" customHeight="true" outlineLevel="0" collapsed="false">
      <c r="A68" s="420" t="s">
        <v>2075</v>
      </c>
      <c r="S68" s="1022" t="s">
        <v>2076</v>
      </c>
      <c r="T68" s="1022"/>
      <c r="U68" s="1022"/>
      <c r="V68" s="1022"/>
      <c r="W68" s="1022"/>
      <c r="X68" s="1022"/>
      <c r="Y68" s="1022"/>
    </row>
    <row r="69" customFormat="false" ht="12.75" hidden="false" customHeight="true" outlineLevel="0" collapsed="false">
      <c r="S69" s="1416"/>
      <c r="V69" s="1846"/>
    </row>
    <row r="70" customFormat="false" ht="12.75" hidden="false" customHeight="true" outlineLevel="0" collapsed="false">
      <c r="A70" s="1859" t="s">
        <v>2077</v>
      </c>
      <c r="B70" s="1860" t="s">
        <v>2078</v>
      </c>
      <c r="C70" s="1860"/>
      <c r="D70" s="1860"/>
      <c r="E70" s="1860"/>
      <c r="F70" s="1860"/>
      <c r="G70" s="1860"/>
      <c r="H70" s="1860"/>
      <c r="S70" s="1416"/>
      <c r="T70" s="1671" t="s">
        <v>2079</v>
      </c>
      <c r="U70" s="1855" t="n">
        <v>6</v>
      </c>
      <c r="V70" s="1855" t="n">
        <v>8</v>
      </c>
      <c r="W70" s="1855" t="n">
        <v>10</v>
      </c>
      <c r="X70" s="1855" t="n">
        <v>12</v>
      </c>
    </row>
    <row r="71" customFormat="false" ht="12.75" hidden="false" customHeight="true" outlineLevel="0" collapsed="false">
      <c r="A71" s="1861" t="s">
        <v>2080</v>
      </c>
      <c r="B71" s="1862" t="s">
        <v>2081</v>
      </c>
      <c r="C71" s="1862"/>
      <c r="D71" s="1862"/>
      <c r="E71" s="1862"/>
      <c r="F71" s="1862"/>
      <c r="G71" s="1862"/>
      <c r="H71" s="1862"/>
      <c r="S71" s="1416"/>
      <c r="T71" s="1856" t="s">
        <v>2082</v>
      </c>
      <c r="U71" s="1857" t="n">
        <v>180</v>
      </c>
      <c r="V71" s="1857" t="n">
        <v>240</v>
      </c>
      <c r="W71" s="1857" t="n">
        <v>300</v>
      </c>
      <c r="X71" s="1857" t="n">
        <v>360</v>
      </c>
    </row>
    <row r="72" customFormat="false" ht="12.75" hidden="false" customHeight="true" outlineLevel="0" collapsed="false">
      <c r="A72" s="1861" t="s">
        <v>2083</v>
      </c>
      <c r="B72" s="1863" t="s">
        <v>2084</v>
      </c>
      <c r="C72" s="1863"/>
      <c r="D72" s="1863"/>
      <c r="E72" s="1863"/>
      <c r="F72" s="1863"/>
      <c r="G72" s="1863"/>
      <c r="H72" s="1863"/>
      <c r="S72" s="1416"/>
      <c r="T72" s="1864"/>
      <c r="U72" s="1865"/>
      <c r="V72" s="1865"/>
      <c r="W72" s="1865"/>
      <c r="X72" s="1865"/>
    </row>
    <row r="73" customFormat="false" ht="12.75" hidden="false" customHeight="true" outlineLevel="0" collapsed="false">
      <c r="S73" s="1416"/>
      <c r="T73" s="1864"/>
      <c r="U73" s="1865"/>
      <c r="V73" s="1865"/>
      <c r="W73" s="1865"/>
      <c r="X73" s="1865"/>
    </row>
    <row r="74" customFormat="false" ht="12.75" hidden="false" customHeight="true" outlineLevel="0" collapsed="false">
      <c r="S74" s="1416"/>
      <c r="T74" s="1864"/>
      <c r="U74" s="1865"/>
      <c r="V74" s="1865"/>
      <c r="W74" s="1865"/>
      <c r="X74" s="1865"/>
    </row>
    <row r="75" customFormat="false" ht="19.5" hidden="false" customHeight="true" outlineLevel="0" collapsed="false">
      <c r="A75" s="420" t="s">
        <v>2085</v>
      </c>
      <c r="S75" s="1416"/>
      <c r="T75" s="1864"/>
      <c r="U75" s="1865"/>
      <c r="V75" s="1865"/>
      <c r="W75" s="1865"/>
      <c r="X75" s="1865"/>
    </row>
    <row r="76" customFormat="false" ht="13.5" hidden="false" customHeight="true" outlineLevel="0" collapsed="false">
      <c r="S76" s="1416"/>
      <c r="T76" s="1864"/>
      <c r="U76" s="1865"/>
      <c r="V76" s="1865"/>
      <c r="W76" s="1865"/>
      <c r="X76" s="1865"/>
    </row>
    <row r="77" customFormat="false" ht="12.75" hidden="false" customHeight="true" outlineLevel="0" collapsed="false">
      <c r="A77" s="1866" t="s">
        <v>2086</v>
      </c>
      <c r="B77" s="1866" t="s">
        <v>30</v>
      </c>
      <c r="C77" s="1866" t="s">
        <v>2087</v>
      </c>
      <c r="D77" s="1866" t="s">
        <v>2088</v>
      </c>
      <c r="E77" s="1866"/>
      <c r="F77" s="1866" t="s">
        <v>2089</v>
      </c>
      <c r="G77" s="1866" t="s">
        <v>2090</v>
      </c>
      <c r="S77" s="1416"/>
      <c r="T77" s="1864"/>
      <c r="U77" s="1865"/>
      <c r="V77" s="1865"/>
      <c r="W77" s="1865"/>
      <c r="X77" s="1865"/>
    </row>
    <row r="78" customFormat="false" ht="13.5" hidden="false" customHeight="true" outlineLevel="0" collapsed="false">
      <c r="A78" s="1866"/>
      <c r="B78" s="1866"/>
      <c r="C78" s="1866"/>
      <c r="D78" s="1866"/>
      <c r="E78" s="1866"/>
      <c r="F78" s="1866"/>
      <c r="G78" s="1866"/>
      <c r="H78" s="0" t="n">
        <v>1</v>
      </c>
      <c r="I78" s="0" t="s">
        <v>2091</v>
      </c>
      <c r="S78" s="1416"/>
      <c r="T78" s="1864"/>
      <c r="U78" s="1865"/>
      <c r="V78" s="1865"/>
      <c r="W78" s="1865"/>
      <c r="X78" s="1865"/>
    </row>
    <row r="79" customFormat="false" ht="15" hidden="false" customHeight="true" outlineLevel="0" collapsed="false">
      <c r="A79" s="1867" t="s">
        <v>1385</v>
      </c>
      <c r="B79" s="1868"/>
      <c r="C79" s="1868"/>
      <c r="D79" s="1868"/>
      <c r="E79" s="1868"/>
      <c r="F79" s="1868"/>
      <c r="H79" s="0" t="n">
        <v>2</v>
      </c>
      <c r="I79" s="0" t="s">
        <v>2092</v>
      </c>
      <c r="J79" s="0" t="s">
        <v>2093</v>
      </c>
      <c r="S79" s="1416"/>
      <c r="T79" s="1864"/>
      <c r="U79" s="1865"/>
      <c r="V79" s="1865"/>
      <c r="W79" s="1865"/>
      <c r="X79" s="1865"/>
    </row>
    <row r="80" customFormat="false" ht="15" hidden="false" customHeight="true" outlineLevel="0" collapsed="false">
      <c r="A80" s="1869" t="s">
        <v>2094</v>
      </c>
      <c r="B80" s="1870" t="s">
        <v>535</v>
      </c>
      <c r="C80" s="1870" t="n">
        <v>10.4</v>
      </c>
      <c r="D80" s="1871"/>
      <c r="E80" s="1872"/>
      <c r="F80" s="965" t="n">
        <v>4</v>
      </c>
      <c r="H80" s="0" t="n">
        <v>3</v>
      </c>
      <c r="I80" s="0" t="s">
        <v>2095</v>
      </c>
      <c r="J80" s="0" t="s">
        <v>2096</v>
      </c>
      <c r="S80" s="1416"/>
      <c r="T80" s="1864"/>
      <c r="U80" s="1865"/>
      <c r="V80" s="1865"/>
      <c r="W80" s="1865"/>
      <c r="X80" s="1865"/>
    </row>
    <row r="81" customFormat="false" ht="15" hidden="false" customHeight="true" outlineLevel="0" collapsed="false">
      <c r="A81" s="1869" t="s">
        <v>2097</v>
      </c>
      <c r="B81" s="965" t="s">
        <v>172</v>
      </c>
      <c r="C81" s="965" t="n">
        <v>45.6</v>
      </c>
      <c r="D81" s="1873" t="s">
        <v>2098</v>
      </c>
      <c r="E81" s="1873" t="n">
        <v>46</v>
      </c>
      <c r="F81" s="1874" t="n">
        <v>4</v>
      </c>
      <c r="H81" s="1007" t="n">
        <v>4</v>
      </c>
      <c r="I81" s="0" t="s">
        <v>2099</v>
      </c>
      <c r="J81" s="0" t="s">
        <v>2100</v>
      </c>
      <c r="S81" s="1416"/>
      <c r="T81" s="1864"/>
      <c r="U81" s="1865"/>
      <c r="V81" s="1865"/>
      <c r="W81" s="1865"/>
      <c r="X81" s="1865"/>
    </row>
    <row r="82" customFormat="false" ht="15" hidden="false" customHeight="true" outlineLevel="0" collapsed="false">
      <c r="A82" s="1875" t="s">
        <v>2101</v>
      </c>
      <c r="B82" s="965" t="s">
        <v>172</v>
      </c>
      <c r="C82" s="965" t="n">
        <v>45.7</v>
      </c>
      <c r="D82" s="1873"/>
      <c r="E82" s="1873"/>
      <c r="F82" s="1874"/>
      <c r="H82" s="1007" t="n">
        <v>5</v>
      </c>
      <c r="I82" s="0" t="s">
        <v>2102</v>
      </c>
      <c r="S82" s="1416"/>
      <c r="T82" s="1864"/>
      <c r="U82" s="1865"/>
      <c r="V82" s="1865"/>
      <c r="W82" s="1865"/>
      <c r="X82" s="1865"/>
    </row>
    <row r="83" customFormat="false" ht="15" hidden="false" customHeight="true" outlineLevel="0" collapsed="false">
      <c r="A83" s="1875" t="s">
        <v>2103</v>
      </c>
      <c r="B83" s="965" t="s">
        <v>172</v>
      </c>
      <c r="C83" s="965" t="n">
        <v>48</v>
      </c>
      <c r="D83" s="1873"/>
      <c r="E83" s="1873"/>
      <c r="F83" s="1874"/>
      <c r="S83" s="1416"/>
      <c r="T83" s="1864"/>
      <c r="U83" s="1865"/>
      <c r="V83" s="1865"/>
      <c r="W83" s="1865"/>
      <c r="X83" s="1865"/>
    </row>
    <row r="84" customFormat="false" ht="15" hidden="false" customHeight="true" outlineLevel="0" collapsed="false">
      <c r="A84" s="1875" t="s">
        <v>538</v>
      </c>
      <c r="B84" s="965" t="s">
        <v>172</v>
      </c>
      <c r="C84" s="965"/>
      <c r="D84" s="1876"/>
      <c r="E84" s="1877"/>
      <c r="F84" s="1861"/>
      <c r="R84" s="1416"/>
      <c r="S84" s="1864"/>
      <c r="T84" s="1865"/>
      <c r="U84" s="1865"/>
      <c r="V84" s="1865"/>
      <c r="W84" s="1865"/>
    </row>
    <row r="85" customFormat="false" ht="15" hidden="false" customHeight="true" outlineLevel="0" collapsed="false">
      <c r="A85" s="1878" t="s">
        <v>2104</v>
      </c>
      <c r="B85" s="965" t="s">
        <v>540</v>
      </c>
      <c r="C85" s="965" t="n">
        <v>57.5</v>
      </c>
      <c r="D85" s="1699" t="s">
        <v>2105</v>
      </c>
      <c r="E85" s="1699" t="n">
        <v>56.6</v>
      </c>
      <c r="F85" s="1874" t="n">
        <v>4</v>
      </c>
      <c r="R85" s="1416"/>
      <c r="S85" s="1864"/>
      <c r="T85" s="1865"/>
      <c r="U85" s="1865"/>
      <c r="V85" s="1865"/>
      <c r="W85" s="1865"/>
    </row>
    <row r="86" customFormat="false" ht="15" hidden="false" customHeight="true" outlineLevel="0" collapsed="false">
      <c r="A86" s="1878" t="s">
        <v>2106</v>
      </c>
      <c r="B86" s="965" t="s">
        <v>540</v>
      </c>
      <c r="C86" s="965" t="n">
        <v>55.7</v>
      </c>
      <c r="D86" s="1699"/>
      <c r="E86" s="1699"/>
      <c r="F86" s="1874"/>
      <c r="R86" s="1416"/>
      <c r="S86" s="1864"/>
      <c r="T86" s="1865"/>
      <c r="U86" s="1865"/>
      <c r="V86" s="1865"/>
      <c r="W86" s="1865"/>
    </row>
    <row r="87" customFormat="false" ht="15" hidden="false" customHeight="true" outlineLevel="0" collapsed="false">
      <c r="A87" s="1878" t="s">
        <v>542</v>
      </c>
      <c r="B87" s="965" t="s">
        <v>543</v>
      </c>
      <c r="C87" s="965" t="n">
        <v>18</v>
      </c>
      <c r="D87" s="1879"/>
      <c r="E87" s="1880"/>
      <c r="F87" s="1857" t="n">
        <v>1</v>
      </c>
      <c r="G87" s="1033"/>
      <c r="R87" s="1416"/>
      <c r="S87" s="1864"/>
      <c r="T87" s="1865"/>
      <c r="U87" s="1865"/>
      <c r="V87" s="1865"/>
      <c r="W87" s="1865"/>
    </row>
    <row r="88" customFormat="false" ht="15" hidden="false" customHeight="true" outlineLevel="0" collapsed="false">
      <c r="A88" s="1878" t="s">
        <v>547</v>
      </c>
      <c r="B88" s="965" t="s">
        <v>540</v>
      </c>
      <c r="C88" s="965" t="n">
        <v>18</v>
      </c>
      <c r="D88" s="1881"/>
      <c r="E88" s="1882"/>
      <c r="F88" s="1857" t="n">
        <v>3</v>
      </c>
      <c r="G88" s="1033"/>
      <c r="R88" s="1416"/>
      <c r="S88" s="1864"/>
      <c r="T88" s="1865"/>
      <c r="U88" s="1865"/>
      <c r="V88" s="1865"/>
      <c r="W88" s="1865"/>
    </row>
    <row r="89" customFormat="false" ht="15" hidden="false" customHeight="true" outlineLevel="0" collapsed="false">
      <c r="A89" s="1878" t="s">
        <v>544</v>
      </c>
      <c r="B89" s="965" t="s">
        <v>543</v>
      </c>
      <c r="C89" s="965" t="n">
        <v>18</v>
      </c>
      <c r="D89" s="1881"/>
      <c r="E89" s="1882"/>
      <c r="F89" s="1857" t="n">
        <v>5</v>
      </c>
      <c r="G89" s="1033"/>
      <c r="R89" s="1416"/>
      <c r="S89" s="1864"/>
      <c r="T89" s="1865"/>
      <c r="U89" s="1865"/>
      <c r="V89" s="1865"/>
      <c r="W89" s="1865"/>
    </row>
    <row r="90" customFormat="false" ht="15" hidden="false" customHeight="true" outlineLevel="0" collapsed="false">
      <c r="A90" s="1878" t="s">
        <v>2107</v>
      </c>
      <c r="B90" s="965" t="s">
        <v>540</v>
      </c>
      <c r="C90" s="965" t="n">
        <v>28</v>
      </c>
      <c r="D90" s="1881"/>
      <c r="E90" s="1882"/>
      <c r="F90" s="1857" t="n">
        <v>3</v>
      </c>
      <c r="R90" s="1416"/>
      <c r="S90" s="1864"/>
      <c r="T90" s="1865"/>
      <c r="U90" s="1865"/>
      <c r="V90" s="1865"/>
      <c r="W90" s="1865"/>
    </row>
    <row r="91" customFormat="false" ht="15" hidden="false" customHeight="true" outlineLevel="0" collapsed="false">
      <c r="A91" s="1878" t="s">
        <v>546</v>
      </c>
      <c r="B91" s="965" t="s">
        <v>172</v>
      </c>
      <c r="C91" s="965" t="n">
        <v>40.1</v>
      </c>
      <c r="D91" s="1881"/>
      <c r="E91" s="1882"/>
      <c r="F91" s="1857" t="n">
        <v>2</v>
      </c>
      <c r="G91" s="1033"/>
      <c r="R91" s="1416"/>
      <c r="S91" s="1864"/>
      <c r="T91" s="1865"/>
      <c r="U91" s="1865"/>
      <c r="V91" s="1865"/>
      <c r="W91" s="1865"/>
    </row>
    <row r="92" customFormat="false" ht="12.75" hidden="false" customHeight="true" outlineLevel="0" collapsed="false">
      <c r="B92" s="146"/>
      <c r="C92" s="146"/>
      <c r="D92" s="146"/>
      <c r="E92" s="146"/>
      <c r="S92" s="1416"/>
      <c r="T92" s="1864"/>
      <c r="U92" s="1865"/>
      <c r="V92" s="1865"/>
      <c r="W92" s="1865"/>
      <c r="X92" s="1865"/>
    </row>
    <row r="93" customFormat="false" ht="15" hidden="false" customHeight="true" outlineLevel="0" collapsed="false">
      <c r="A93" s="1883" t="s">
        <v>1395</v>
      </c>
      <c r="S93" s="1416"/>
      <c r="T93" s="1864"/>
      <c r="U93" s="1865"/>
      <c r="V93" s="1865"/>
      <c r="W93" s="1865"/>
      <c r="X93" s="1865"/>
    </row>
    <row r="94" customFormat="false" ht="15" hidden="false" customHeight="true" outlineLevel="0" collapsed="false">
      <c r="A94" s="1884" t="s">
        <v>1399</v>
      </c>
      <c r="B94" s="965" t="s">
        <v>2108</v>
      </c>
      <c r="C94" s="965" t="n">
        <v>5728</v>
      </c>
      <c r="F94" s="1857" t="n">
        <v>2</v>
      </c>
      <c r="G94" s="1033"/>
      <c r="R94" s="1416"/>
      <c r="S94" s="1864"/>
      <c r="T94" s="1865"/>
      <c r="U94" s="1865"/>
      <c r="V94" s="1865"/>
      <c r="W94" s="1865"/>
    </row>
    <row r="95" customFormat="false" ht="15" hidden="false" customHeight="true" outlineLevel="0" collapsed="false">
      <c r="A95" s="1884" t="s">
        <v>1401</v>
      </c>
      <c r="B95" s="965" t="s">
        <v>2109</v>
      </c>
      <c r="C95" s="965" t="n">
        <v>3439</v>
      </c>
      <c r="F95" s="1857"/>
      <c r="R95" s="1416"/>
      <c r="S95" s="1864"/>
      <c r="T95" s="1865"/>
      <c r="U95" s="1865"/>
      <c r="V95" s="1865"/>
      <c r="W95" s="1865"/>
    </row>
    <row r="96" customFormat="false" ht="15" hidden="false" customHeight="true" outlineLevel="0" collapsed="false">
      <c r="A96" s="1884" t="s">
        <v>2110</v>
      </c>
      <c r="B96" s="965" t="s">
        <v>2109</v>
      </c>
      <c r="C96" s="965" t="n">
        <v>4267</v>
      </c>
      <c r="F96" s="1857"/>
      <c r="R96" s="1416"/>
      <c r="S96" s="1864"/>
      <c r="T96" s="1865"/>
      <c r="U96" s="1865"/>
      <c r="V96" s="1865"/>
      <c r="W96" s="1865"/>
    </row>
    <row r="97" customFormat="false" ht="15" hidden="false" customHeight="true" outlineLevel="0" collapsed="false">
      <c r="A97" s="1884" t="s">
        <v>1403</v>
      </c>
      <c r="B97" s="965" t="s">
        <v>2111</v>
      </c>
      <c r="C97" s="965" t="n">
        <v>3128</v>
      </c>
      <c r="F97" s="1857"/>
      <c r="R97" s="1416"/>
      <c r="S97" s="1864"/>
      <c r="T97" s="1865"/>
      <c r="U97" s="1865"/>
      <c r="V97" s="1865"/>
      <c r="W97" s="1865"/>
    </row>
    <row r="98" customFormat="false" ht="15" hidden="false" customHeight="true" outlineLevel="0" collapsed="false">
      <c r="A98" s="1884" t="s">
        <v>1406</v>
      </c>
      <c r="B98" s="965" t="s">
        <v>2109</v>
      </c>
      <c r="C98" s="965" t="n">
        <v>3600</v>
      </c>
      <c r="F98" s="1857"/>
      <c r="R98" s="1416"/>
      <c r="S98" s="1864"/>
      <c r="T98" s="1865"/>
      <c r="U98" s="1865"/>
      <c r="V98" s="1865"/>
      <c r="W98" s="1865"/>
    </row>
    <row r="99" customFormat="false" ht="30" hidden="false" customHeight="true" outlineLevel="0" collapsed="false">
      <c r="A99" s="1885" t="s">
        <v>2112</v>
      </c>
      <c r="B99" s="965" t="s">
        <v>2109</v>
      </c>
      <c r="C99" s="965" t="n">
        <v>3307</v>
      </c>
      <c r="F99" s="1857" t="n">
        <v>2</v>
      </c>
      <c r="G99" s="0" t="s">
        <v>2113</v>
      </c>
      <c r="R99" s="1416"/>
      <c r="S99" s="1864"/>
      <c r="T99" s="1865"/>
      <c r="U99" s="1865"/>
      <c r="V99" s="1865"/>
      <c r="W99" s="1865"/>
    </row>
    <row r="100" customFormat="false" ht="15" hidden="false" customHeight="true" outlineLevel="0" collapsed="false">
      <c r="A100" s="1884" t="s">
        <v>1410</v>
      </c>
      <c r="B100" s="965" t="s">
        <v>543</v>
      </c>
      <c r="C100" s="965" t="n">
        <v>13200</v>
      </c>
      <c r="F100" s="1857"/>
      <c r="R100" s="1416"/>
      <c r="S100" s="1864"/>
      <c r="T100" s="1865"/>
      <c r="U100" s="1865"/>
      <c r="V100" s="1865"/>
      <c r="W100" s="1865"/>
    </row>
    <row r="101" customFormat="false" ht="15" hidden="false" customHeight="true" outlineLevel="0" collapsed="false">
      <c r="A101" s="1884" t="s">
        <v>2114</v>
      </c>
      <c r="B101" s="965" t="s">
        <v>2115</v>
      </c>
      <c r="C101" s="965" t="n">
        <v>52.6</v>
      </c>
      <c r="F101" s="1857" t="n">
        <v>2</v>
      </c>
      <c r="G101" s="1033"/>
      <c r="R101" s="1416"/>
      <c r="S101" s="1864"/>
      <c r="T101" s="1865"/>
      <c r="U101" s="1865"/>
      <c r="V101" s="1865"/>
      <c r="W101" s="1865"/>
    </row>
    <row r="102" customFormat="false" ht="12.75" hidden="false" customHeight="true" outlineLevel="0" collapsed="false">
      <c r="S102" s="1416"/>
      <c r="T102" s="1864"/>
      <c r="U102" s="1865"/>
      <c r="V102" s="1865"/>
      <c r="W102" s="1865"/>
      <c r="X102" s="1865"/>
    </row>
    <row r="103" customFormat="false" ht="12.75" hidden="false" customHeight="true" outlineLevel="0" collapsed="false">
      <c r="S103" s="1416"/>
      <c r="T103" s="1864"/>
      <c r="U103" s="1865"/>
      <c r="V103" s="1865"/>
      <c r="W103" s="1865"/>
      <c r="X103" s="1865"/>
    </row>
    <row r="104" customFormat="false" ht="19.5" hidden="false" customHeight="true" outlineLevel="0" collapsed="false">
      <c r="A104" s="420" t="s">
        <v>2116</v>
      </c>
      <c r="S104" s="1416"/>
      <c r="T104" s="1864"/>
      <c r="U104" s="1865"/>
      <c r="V104" s="1865"/>
      <c r="W104" s="1865"/>
      <c r="X104" s="1865"/>
    </row>
    <row r="105" customFormat="false" ht="12.75" hidden="false" customHeight="true" outlineLevel="0" collapsed="false">
      <c r="S105" s="1851"/>
      <c r="T105" s="1886"/>
      <c r="U105" s="1846"/>
    </row>
    <row r="106" customFormat="false" ht="15.75" hidden="false" customHeight="true" outlineLevel="0" collapsed="false">
      <c r="A106" s="1853" t="s">
        <v>2117</v>
      </c>
      <c r="B106" s="1852"/>
      <c r="C106" s="1846"/>
      <c r="T106" s="146"/>
    </row>
    <row r="107" customFormat="false" ht="16.5" hidden="false" customHeight="true" outlineLevel="0" collapsed="false">
      <c r="A107" s="1887"/>
      <c r="B107" s="1888" t="s">
        <v>2118</v>
      </c>
      <c r="C107" s="1888" t="s">
        <v>2119</v>
      </c>
    </row>
    <row r="108" customFormat="false" ht="16.5" hidden="false" customHeight="true" outlineLevel="0" collapsed="false">
      <c r="A108" s="1889" t="s">
        <v>1540</v>
      </c>
      <c r="B108" s="1890" t="n">
        <v>100</v>
      </c>
      <c r="C108" s="1890" t="n">
        <v>7000</v>
      </c>
    </row>
    <row r="109" customFormat="false" ht="16.5" hidden="false" customHeight="true" outlineLevel="0" collapsed="false">
      <c r="A109" s="1889" t="s">
        <v>2120</v>
      </c>
      <c r="B109" s="1890" t="n">
        <v>100</v>
      </c>
      <c r="C109" s="1890" t="n">
        <v>1200</v>
      </c>
    </row>
    <row r="110" customFormat="false" ht="16.5" hidden="false" customHeight="true" outlineLevel="0" collapsed="false">
      <c r="A110" s="1889" t="s">
        <v>2121</v>
      </c>
      <c r="B110" s="1890" t="n">
        <v>100</v>
      </c>
      <c r="C110" s="1890" t="n">
        <v>500</v>
      </c>
    </row>
    <row r="111" customFormat="false" ht="16.5" hidden="false" customHeight="true" outlineLevel="0" collapsed="false">
      <c r="A111" s="1889" t="s">
        <v>599</v>
      </c>
      <c r="B111" s="1890" t="s">
        <v>2122</v>
      </c>
      <c r="C111" s="1890" t="n">
        <v>10000</v>
      </c>
    </row>
    <row r="112" customFormat="false" ht="16.5" hidden="false" customHeight="true" outlineLevel="0" collapsed="false">
      <c r="A112" s="1891" t="s">
        <v>1542</v>
      </c>
      <c r="B112" s="1892" t="s">
        <v>2122</v>
      </c>
      <c r="C112" s="1892" t="n">
        <v>52880</v>
      </c>
    </row>
    <row r="113" customFormat="false" ht="16.5" hidden="false" customHeight="true" outlineLevel="0" collapsed="false">
      <c r="A113" s="1891" t="s">
        <v>597</v>
      </c>
      <c r="B113" s="1892" t="s">
        <v>2122</v>
      </c>
      <c r="C113" s="1892" t="n">
        <v>10000</v>
      </c>
    </row>
    <row r="114" customFormat="false" ht="16.5" hidden="false" customHeight="true" outlineLevel="0" collapsed="false">
      <c r="A114" s="1891" t="s">
        <v>2123</v>
      </c>
      <c r="B114" s="1892" t="n">
        <v>1</v>
      </c>
      <c r="C114" s="1892" t="n">
        <v>100</v>
      </c>
    </row>
    <row r="115" customFormat="false" ht="16.5" hidden="false" customHeight="true" outlineLevel="0" collapsed="false">
      <c r="A115" s="1891" t="s">
        <v>601</v>
      </c>
      <c r="B115" s="1892" t="n">
        <v>100</v>
      </c>
      <c r="C115" s="1892" t="n">
        <v>5680</v>
      </c>
    </row>
    <row r="116" customFormat="false" ht="12.75" hidden="false" customHeight="true" outlineLevel="0" collapsed="false">
      <c r="A116" s="1851"/>
      <c r="B116" s="1852"/>
      <c r="C116" s="1846"/>
    </row>
    <row r="117" customFormat="false" ht="12.75" hidden="false" customHeight="true" outlineLevel="0" collapsed="false">
      <c r="A117" s="1851"/>
      <c r="B117" s="1852"/>
      <c r="C117" s="1846"/>
    </row>
    <row r="118" customFormat="false" ht="15" hidden="false" customHeight="true" outlineLevel="0" collapsed="false">
      <c r="A118" s="1070" t="s">
        <v>2124</v>
      </c>
      <c r="C118" s="1846"/>
    </row>
    <row r="119" customFormat="false" ht="15.75" hidden="false" customHeight="true" outlineLevel="0" collapsed="false">
      <c r="A119" s="1070" t="s">
        <v>2125</v>
      </c>
      <c r="K119" s="1070" t="s">
        <v>2126</v>
      </c>
    </row>
    <row r="120" customFormat="false" ht="63.75" hidden="false" customHeight="true" outlineLevel="0" collapsed="false">
      <c r="B120" s="1866" t="s">
        <v>2086</v>
      </c>
      <c r="C120" s="1866" t="s">
        <v>30</v>
      </c>
      <c r="D120" s="1866" t="s">
        <v>2087</v>
      </c>
      <c r="F120" s="1893" t="s">
        <v>2127</v>
      </c>
      <c r="G120" s="1894" t="s">
        <v>2128</v>
      </c>
      <c r="H120" s="1894" t="s">
        <v>2129</v>
      </c>
      <c r="I120" s="1895" t="s">
        <v>2130</v>
      </c>
      <c r="K120" s="1896"/>
    </row>
    <row r="121" customFormat="false" ht="15.75" hidden="false" customHeight="true" outlineLevel="0" collapsed="false">
      <c r="B121" s="1866"/>
      <c r="C121" s="1866"/>
      <c r="D121" s="1866"/>
      <c r="F121" s="1897" t="s">
        <v>2131</v>
      </c>
      <c r="G121" s="1897" t="s">
        <v>2132</v>
      </c>
      <c r="H121" s="1897" t="s">
        <v>2133</v>
      </c>
      <c r="I121" s="1898" t="n">
        <v>42000</v>
      </c>
      <c r="K121" s="1899" t="s">
        <v>2134</v>
      </c>
    </row>
    <row r="122" customFormat="false" ht="39" hidden="false" customHeight="true" outlineLevel="0" collapsed="false">
      <c r="B122" s="1900" t="s">
        <v>2135</v>
      </c>
      <c r="C122" s="1901" t="s">
        <v>1021</v>
      </c>
      <c r="D122" s="1901" t="n">
        <v>45.6</v>
      </c>
      <c r="F122" s="1897" t="s">
        <v>2136</v>
      </c>
      <c r="G122" s="1897" t="s">
        <v>535</v>
      </c>
      <c r="H122" s="1897" t="s">
        <v>2133</v>
      </c>
      <c r="I122" s="1902" t="n">
        <v>3.6</v>
      </c>
      <c r="K122" s="1903"/>
      <c r="L122" s="1904" t="s">
        <v>2137</v>
      </c>
      <c r="M122" s="1904" t="s">
        <v>2138</v>
      </c>
    </row>
    <row r="123" customFormat="false" ht="39" hidden="false" customHeight="true" outlineLevel="0" collapsed="false">
      <c r="B123" s="1900" t="s">
        <v>2139</v>
      </c>
      <c r="C123" s="1901" t="s">
        <v>1021</v>
      </c>
      <c r="D123" s="1901" t="n">
        <v>45.7</v>
      </c>
      <c r="F123" s="1897" t="s">
        <v>2140</v>
      </c>
      <c r="G123" s="1897" t="s">
        <v>1392</v>
      </c>
      <c r="H123" s="1897" t="s">
        <v>2141</v>
      </c>
      <c r="I123" s="1902" t="n">
        <v>35.8</v>
      </c>
      <c r="K123" s="1905" t="s">
        <v>2142</v>
      </c>
      <c r="L123" s="1906" t="s">
        <v>2143</v>
      </c>
      <c r="M123" s="1906" t="s">
        <v>2144</v>
      </c>
    </row>
    <row r="124" customFormat="false" ht="26.25" hidden="false" customHeight="true" outlineLevel="0" collapsed="false">
      <c r="B124" s="1900" t="s">
        <v>2145</v>
      </c>
      <c r="C124" s="1901" t="s">
        <v>1021</v>
      </c>
      <c r="D124" s="1901" t="n">
        <v>48</v>
      </c>
      <c r="F124" s="1897" t="s">
        <v>2146</v>
      </c>
      <c r="G124" s="1897" t="s">
        <v>2147</v>
      </c>
      <c r="H124" s="1897" t="s">
        <v>2148</v>
      </c>
      <c r="I124" s="1902" t="n">
        <v>45.6</v>
      </c>
      <c r="K124" s="1905" t="s">
        <v>2149</v>
      </c>
      <c r="L124" s="1905" t="s">
        <v>2150</v>
      </c>
      <c r="M124" s="1905" t="s">
        <v>2150</v>
      </c>
    </row>
    <row r="125" customFormat="false" ht="13.5" hidden="false" customHeight="true" outlineLevel="0" collapsed="false">
      <c r="B125" s="1900" t="s">
        <v>2151</v>
      </c>
      <c r="C125" s="1901" t="s">
        <v>540</v>
      </c>
      <c r="D125" s="1901" t="n">
        <v>57.5</v>
      </c>
      <c r="F125" s="1897" t="s">
        <v>2152</v>
      </c>
      <c r="G125" s="1897" t="s">
        <v>1962</v>
      </c>
      <c r="H125" s="1897" t="s">
        <v>2153</v>
      </c>
      <c r="I125" s="1902" t="n">
        <v>35.5</v>
      </c>
      <c r="K125" s="1907" t="s">
        <v>2154</v>
      </c>
    </row>
    <row r="126" customFormat="false" ht="13.5" hidden="false" customHeight="true" outlineLevel="0" collapsed="false">
      <c r="B126" s="1900" t="s">
        <v>2155</v>
      </c>
      <c r="C126" s="1901" t="s">
        <v>540</v>
      </c>
      <c r="D126" s="1901" t="n">
        <v>55.7</v>
      </c>
      <c r="F126" s="1897" t="s">
        <v>2156</v>
      </c>
      <c r="G126" s="1897" t="s">
        <v>1962</v>
      </c>
      <c r="H126" s="1897" t="s">
        <v>2153</v>
      </c>
      <c r="I126" s="1902" t="n">
        <v>35.6</v>
      </c>
    </row>
    <row r="127" customFormat="false" ht="12.75" hidden="false" customHeight="true" outlineLevel="0" collapsed="false">
      <c r="B127" s="1866" t="s">
        <v>2157</v>
      </c>
      <c r="C127" s="1908" t="s">
        <v>535</v>
      </c>
      <c r="D127" s="1908" t="n">
        <v>10.4</v>
      </c>
      <c r="F127" s="1897" t="s">
        <v>2158</v>
      </c>
      <c r="G127" s="1897" t="s">
        <v>1962</v>
      </c>
      <c r="H127" s="1897" t="s">
        <v>2153</v>
      </c>
      <c r="I127" s="1902" t="n">
        <v>32.3</v>
      </c>
    </row>
    <row r="128" customFormat="false" ht="25" hidden="false" customHeight="true" outlineLevel="0" collapsed="false">
      <c r="B128" s="1866"/>
      <c r="C128" s="1908"/>
      <c r="D128" s="1908"/>
      <c r="F128" s="1897" t="s">
        <v>2159</v>
      </c>
      <c r="G128" s="1897" t="s">
        <v>1962</v>
      </c>
      <c r="H128" s="1897" t="s">
        <v>2153</v>
      </c>
      <c r="I128" s="1897"/>
    </row>
    <row r="129" customFormat="false" ht="24.75" hidden="false" customHeight="true" outlineLevel="0" collapsed="false">
      <c r="B129" s="1900" t="s">
        <v>2160</v>
      </c>
      <c r="C129" s="1901" t="s">
        <v>535</v>
      </c>
      <c r="D129" s="1901" t="n">
        <v>10.4</v>
      </c>
      <c r="F129" s="1897" t="s">
        <v>2161</v>
      </c>
      <c r="G129" s="1897" t="s">
        <v>540</v>
      </c>
      <c r="H129" s="1897" t="s">
        <v>2153</v>
      </c>
      <c r="I129" s="1902" t="n">
        <v>28</v>
      </c>
    </row>
    <row r="130" customFormat="false" ht="12.75" hidden="false" customHeight="true" outlineLevel="0" collapsed="false">
      <c r="B130" s="1909" t="s">
        <v>2162</v>
      </c>
      <c r="C130" s="1910"/>
      <c r="D130" s="0" t="s">
        <v>2163</v>
      </c>
      <c r="F130" s="1897" t="s">
        <v>2164</v>
      </c>
      <c r="G130" s="1897" t="s">
        <v>1962</v>
      </c>
      <c r="H130" s="1897" t="s">
        <v>2153</v>
      </c>
      <c r="I130" s="1897"/>
    </row>
    <row r="131" customFormat="false" ht="12.75" hidden="false" customHeight="true" outlineLevel="0" collapsed="false">
      <c r="B131" s="1911"/>
      <c r="C131" s="1912"/>
      <c r="F131" s="1913" t="s">
        <v>2165</v>
      </c>
      <c r="G131" s="1913" t="s">
        <v>2166</v>
      </c>
      <c r="H131" s="1913" t="s">
        <v>2153</v>
      </c>
      <c r="I131" s="1914" t="n">
        <v>35000</v>
      </c>
    </row>
    <row r="132" customFormat="false" ht="12.75" hidden="false" customHeight="true" outlineLevel="0" collapsed="false">
      <c r="B132" s="1911"/>
      <c r="C132" s="1912"/>
    </row>
    <row r="133" customFormat="false" ht="12.75" hidden="false" customHeight="true" outlineLevel="0" collapsed="false">
      <c r="B133" s="1911"/>
      <c r="C133" s="1912"/>
      <c r="F133" s="1915" t="s">
        <v>2167</v>
      </c>
      <c r="G133" s="1915" t="s">
        <v>2168</v>
      </c>
    </row>
    <row r="134" customFormat="false" ht="12.75" hidden="false" customHeight="true" outlineLevel="0" collapsed="false">
      <c r="B134" s="1916"/>
      <c r="C134" s="1916"/>
    </row>
    <row r="135" customFormat="false" ht="15" hidden="false" customHeight="true" outlineLevel="0" collapsed="false">
      <c r="A135" s="1070" t="s">
        <v>2169</v>
      </c>
      <c r="B135" s="0" t="s">
        <v>2170</v>
      </c>
      <c r="F135" s="1917"/>
      <c r="G135" s="1918"/>
      <c r="H135" s="1918"/>
      <c r="I135" s="1919"/>
    </row>
    <row r="136" customFormat="false" ht="15" hidden="false" customHeight="true" outlineLevel="0" collapsed="false">
      <c r="A136" s="1070"/>
      <c r="F136" s="1917"/>
      <c r="G136" s="1918"/>
      <c r="H136" s="1918"/>
      <c r="I136" s="1919"/>
    </row>
    <row r="137" customFormat="false" ht="12.75" hidden="false" customHeight="true" outlineLevel="0" collapsed="false">
      <c r="B137" s="1868" t="s">
        <v>2171</v>
      </c>
      <c r="C137" s="1920" t="s">
        <v>2171</v>
      </c>
      <c r="D137" s="0" t="s">
        <v>2171</v>
      </c>
      <c r="E137" s="0" t="s">
        <v>2172</v>
      </c>
    </row>
    <row r="138" customFormat="false" ht="25.5" hidden="false" customHeight="true" outlineLevel="0" collapsed="false">
      <c r="A138" s="1921" t="s">
        <v>405</v>
      </c>
      <c r="B138" s="1922" t="s">
        <v>395</v>
      </c>
      <c r="C138" s="1922" t="s">
        <v>396</v>
      </c>
      <c r="D138" s="1922" t="s">
        <v>397</v>
      </c>
      <c r="E138" s="1923" t="s">
        <v>2173</v>
      </c>
      <c r="H138" s="1861" t="s">
        <v>2174</v>
      </c>
      <c r="I138" s="1861" t="s">
        <v>2175</v>
      </c>
    </row>
    <row r="139" customFormat="false" ht="38.25" hidden="false" customHeight="true" outlineLevel="0" collapsed="false">
      <c r="A139" s="1924"/>
      <c r="B139" s="1925" t="s">
        <v>2176</v>
      </c>
      <c r="C139" s="1925" t="s">
        <v>2176</v>
      </c>
      <c r="D139" s="1925" t="s">
        <v>2176</v>
      </c>
      <c r="H139" s="1926" t="s">
        <v>2177</v>
      </c>
      <c r="I139" s="1874" t="n">
        <v>5.7</v>
      </c>
      <c r="J139" s="0" t="s">
        <v>2178</v>
      </c>
    </row>
    <row r="140" customFormat="false" ht="12.75" hidden="false" customHeight="true" outlineLevel="0" collapsed="false">
      <c r="A140" s="1927" t="s">
        <v>373</v>
      </c>
      <c r="B140" s="1928" t="n">
        <v>0</v>
      </c>
      <c r="C140" s="1928" t="n">
        <v>0</v>
      </c>
      <c r="D140" s="1928" t="n">
        <v>600</v>
      </c>
      <c r="H140" s="1874" t="s">
        <v>396</v>
      </c>
      <c r="I140" s="1874" t="n">
        <v>9.8</v>
      </c>
      <c r="J140" s="0" t="s">
        <v>2179</v>
      </c>
    </row>
    <row r="141" customFormat="false" ht="25.5" hidden="false" customHeight="true" outlineLevel="0" collapsed="false">
      <c r="A141" s="1927" t="s">
        <v>374</v>
      </c>
      <c r="B141" s="1928" t="n">
        <v>0</v>
      </c>
      <c r="C141" s="1928" t="n">
        <v>0</v>
      </c>
      <c r="D141" s="1928" t="n">
        <v>300</v>
      </c>
      <c r="H141" s="1926" t="s">
        <v>2180</v>
      </c>
      <c r="I141" s="1874" t="n">
        <v>7.3</v>
      </c>
      <c r="J141" s="0" t="s">
        <v>2181</v>
      </c>
    </row>
    <row r="142" customFormat="false" ht="25.5" hidden="false" customHeight="true" outlineLevel="0" collapsed="false">
      <c r="A142" s="1927" t="s">
        <v>375</v>
      </c>
      <c r="B142" s="1928" t="n">
        <v>0</v>
      </c>
      <c r="C142" s="1928" t="n">
        <v>0</v>
      </c>
      <c r="D142" s="1928" t="n">
        <v>500</v>
      </c>
      <c r="H142" s="1929" t="s">
        <v>2182</v>
      </c>
      <c r="I142" s="1874" t="n">
        <v>21</v>
      </c>
      <c r="J142" s="0" t="s">
        <v>2183</v>
      </c>
    </row>
    <row r="143" customFormat="false" ht="12.75" hidden="false" customHeight="true" outlineLevel="0" collapsed="false">
      <c r="A143" s="1927" t="s">
        <v>376</v>
      </c>
      <c r="B143" s="1928" t="n">
        <v>335</v>
      </c>
      <c r="C143" s="1928" t="n">
        <v>0</v>
      </c>
      <c r="D143" s="1928" t="n">
        <v>0</v>
      </c>
      <c r="H143" s="1930" t="s">
        <v>2184</v>
      </c>
    </row>
    <row r="144" customFormat="false" ht="12.75" hidden="false" customHeight="true" outlineLevel="0" collapsed="false">
      <c r="A144" s="1927" t="s">
        <v>377</v>
      </c>
      <c r="B144" s="1928" t="n">
        <v>200</v>
      </c>
      <c r="C144" s="1928" t="n">
        <v>0</v>
      </c>
      <c r="D144" s="1928" t="n">
        <v>0</v>
      </c>
    </row>
    <row r="145" customFormat="false" ht="12.75" hidden="false" customHeight="true" outlineLevel="0" collapsed="false">
      <c r="A145" s="1927" t="s">
        <v>378</v>
      </c>
      <c r="B145" s="1928" t="n">
        <v>155</v>
      </c>
      <c r="C145" s="1928" t="n">
        <v>0</v>
      </c>
      <c r="D145" s="1928" t="n">
        <v>0</v>
      </c>
    </row>
    <row r="146" customFormat="false" ht="25.5" hidden="false" customHeight="true" outlineLevel="0" collapsed="false">
      <c r="A146" s="1927" t="s">
        <v>379</v>
      </c>
      <c r="B146" s="1928" t="n">
        <v>150</v>
      </c>
      <c r="C146" s="1928" t="n">
        <v>0</v>
      </c>
      <c r="D146" s="1928" t="n">
        <v>0</v>
      </c>
    </row>
    <row r="147" customFormat="false" ht="12.75" hidden="false" customHeight="true" outlineLevel="0" collapsed="false">
      <c r="A147" s="1927" t="s">
        <v>380</v>
      </c>
      <c r="B147" s="1928" t="n">
        <v>160</v>
      </c>
      <c r="C147" s="1928" t="n">
        <v>0</v>
      </c>
      <c r="D147" s="1928" t="n">
        <v>0</v>
      </c>
    </row>
    <row r="148" customFormat="false" ht="12.75" hidden="false" customHeight="true" outlineLevel="0" collapsed="false">
      <c r="A148" s="1927" t="s">
        <v>381</v>
      </c>
      <c r="B148" s="1928" t="n">
        <v>100</v>
      </c>
      <c r="C148" s="1928" t="n">
        <v>0</v>
      </c>
      <c r="D148" s="1928" t="n">
        <v>0</v>
      </c>
    </row>
    <row r="149" customFormat="false" ht="12.75" hidden="false" customHeight="true" outlineLevel="0" collapsed="false">
      <c r="A149" s="1927" t="s">
        <v>382</v>
      </c>
      <c r="B149" s="1928" t="n">
        <v>210</v>
      </c>
      <c r="C149" s="1928" t="n">
        <v>0</v>
      </c>
      <c r="D149" s="1928" t="n">
        <v>0</v>
      </c>
    </row>
    <row r="150" customFormat="false" ht="12.75" hidden="false" customHeight="true" outlineLevel="0" collapsed="false">
      <c r="A150" s="1927" t="s">
        <v>383</v>
      </c>
      <c r="B150" s="1928" t="n">
        <v>260</v>
      </c>
      <c r="C150" s="1928" t="n">
        <v>0</v>
      </c>
      <c r="D150" s="1928" t="n">
        <v>0</v>
      </c>
    </row>
    <row r="151" customFormat="false" ht="12.75" hidden="false" customHeight="true" outlineLevel="0" collapsed="false">
      <c r="A151" s="1927" t="s">
        <v>384</v>
      </c>
      <c r="B151" s="1928" t="n">
        <v>460</v>
      </c>
      <c r="C151" s="1928" t="n">
        <v>0</v>
      </c>
      <c r="D151" s="1928" t="n">
        <v>0</v>
      </c>
    </row>
    <row r="152" customFormat="false" ht="12.75" hidden="false" customHeight="true" outlineLevel="0" collapsed="false">
      <c r="A152" s="1927" t="s">
        <v>385</v>
      </c>
      <c r="B152" s="1928" t="n">
        <v>130</v>
      </c>
      <c r="C152" s="1928" t="n">
        <v>0</v>
      </c>
      <c r="D152" s="1928" t="n">
        <v>440</v>
      </c>
    </row>
    <row r="153" customFormat="false" ht="25.5" hidden="false" customHeight="true" outlineLevel="0" collapsed="false">
      <c r="A153" s="1927" t="s">
        <v>386</v>
      </c>
      <c r="B153" s="1928" t="n">
        <v>170</v>
      </c>
      <c r="C153" s="1928" t="n">
        <v>170</v>
      </c>
      <c r="D153" s="1928" t="n">
        <v>0</v>
      </c>
    </row>
    <row r="154" customFormat="false" ht="12.75" hidden="false" customHeight="true" outlineLevel="0" collapsed="false">
      <c r="A154" s="1927" t="s">
        <v>387</v>
      </c>
      <c r="B154" s="1928" t="n">
        <v>110</v>
      </c>
      <c r="C154" s="1928" t="n">
        <v>60</v>
      </c>
      <c r="D154" s="1928" t="n">
        <v>20</v>
      </c>
    </row>
    <row r="155" customFormat="false" ht="12.75" hidden="false" customHeight="true" outlineLevel="0" collapsed="false">
      <c r="A155" s="1927" t="s">
        <v>388</v>
      </c>
      <c r="B155" s="1928" t="n">
        <v>100</v>
      </c>
      <c r="C155" s="1928" t="n">
        <v>10</v>
      </c>
      <c r="D155" s="1928" t="n">
        <v>50</v>
      </c>
    </row>
    <row r="156" customFormat="false" ht="12.75" hidden="false" customHeight="true" outlineLevel="0" collapsed="false">
      <c r="A156" s="1927" t="s">
        <v>389</v>
      </c>
      <c r="B156" s="1928" t="n">
        <v>5</v>
      </c>
      <c r="C156" s="1928" t="n">
        <v>4</v>
      </c>
      <c r="D156" s="1928" t="n">
        <v>4.5</v>
      </c>
    </row>
    <row r="157" customFormat="false" ht="25.5" hidden="false" customHeight="true" outlineLevel="0" collapsed="false">
      <c r="A157" s="1927" t="s">
        <v>390</v>
      </c>
      <c r="B157" s="1928" t="n">
        <v>140</v>
      </c>
      <c r="C157" s="1928" t="n">
        <v>80</v>
      </c>
      <c r="D157" s="1928" t="n">
        <v>200</v>
      </c>
    </row>
    <row r="158" customFormat="false" ht="12.75" hidden="false" customHeight="true" outlineLevel="0" collapsed="false">
      <c r="A158" s="1927" t="s">
        <v>391</v>
      </c>
      <c r="B158" s="1928" t="n">
        <v>100</v>
      </c>
      <c r="C158" s="1928" t="n">
        <v>40</v>
      </c>
      <c r="D158" s="1928" t="n">
        <v>20</v>
      </c>
    </row>
    <row r="159" customFormat="false" ht="12.75" hidden="false" customHeight="true" outlineLevel="0" collapsed="false">
      <c r="A159" s="1927" t="s">
        <v>392</v>
      </c>
      <c r="B159" s="1928" t="n">
        <v>0</v>
      </c>
      <c r="C159" s="1928" t="n">
        <v>180</v>
      </c>
      <c r="D159" s="1928" t="n">
        <v>0</v>
      </c>
    </row>
    <row r="160" customFormat="false" ht="12.75" hidden="false" customHeight="true" outlineLevel="0" collapsed="false">
      <c r="A160" s="1927" t="s">
        <v>393</v>
      </c>
      <c r="B160" s="1928" t="n">
        <v>0</v>
      </c>
      <c r="C160" s="1928" t="n">
        <v>180</v>
      </c>
      <c r="D160" s="1928" t="n">
        <v>0</v>
      </c>
    </row>
    <row r="161" customFormat="false" ht="12.75" hidden="false" customHeight="true" outlineLevel="0" collapsed="false">
      <c r="A161" s="1927" t="s">
        <v>394</v>
      </c>
      <c r="B161" s="1928" t="n">
        <v>0</v>
      </c>
      <c r="C161" s="1928" t="n">
        <v>450</v>
      </c>
      <c r="D161" s="1928" t="n">
        <v>0</v>
      </c>
    </row>
    <row r="162" customFormat="false" ht="12.75" hidden="false" customHeight="true" outlineLevel="0" collapsed="false">
      <c r="A162" s="1927" t="s">
        <v>398</v>
      </c>
      <c r="B162" s="1928" t="n">
        <v>0</v>
      </c>
      <c r="C162" s="1928" t="n">
        <v>150</v>
      </c>
      <c r="D162" s="1928" t="n">
        <v>250</v>
      </c>
    </row>
    <row r="163" customFormat="false" ht="12.75" hidden="false" customHeight="true" outlineLevel="0" collapsed="false">
      <c r="A163" s="1927" t="s">
        <v>400</v>
      </c>
      <c r="B163" s="1928" t="n">
        <v>9</v>
      </c>
      <c r="C163" s="1928" t="n">
        <v>0</v>
      </c>
      <c r="D163" s="1928" t="n">
        <v>0</v>
      </c>
    </row>
    <row r="164" customFormat="false" ht="12.75" hidden="false" customHeight="true" outlineLevel="0" collapsed="false">
      <c r="A164" s="1931" t="s">
        <v>1116</v>
      </c>
      <c r="B164" s="1928"/>
      <c r="C164" s="1928"/>
      <c r="D164" s="1928"/>
    </row>
    <row r="165" customFormat="false" ht="12.75" hidden="false" customHeight="true" outlineLevel="0" collapsed="false">
      <c r="A165" s="1931" t="s">
        <v>1116</v>
      </c>
      <c r="B165" s="1928"/>
      <c r="C165" s="1928"/>
      <c r="D165" s="1928"/>
      <c r="K165" s="1604"/>
    </row>
    <row r="166" customFormat="false" ht="12.75" hidden="false" customHeight="true" outlineLevel="0" collapsed="false">
      <c r="A166" s="1631"/>
      <c r="B166" s="1632"/>
      <c r="C166" s="1632"/>
      <c r="D166" s="1632"/>
      <c r="K166" s="1604"/>
    </row>
    <row r="167" customFormat="false" ht="15" hidden="false" customHeight="true" outlineLevel="0" collapsed="false">
      <c r="A167" s="103" t="s">
        <v>2185</v>
      </c>
      <c r="B167" s="1932"/>
      <c r="C167" s="1932"/>
      <c r="D167" s="1932"/>
      <c r="E167" s="1070"/>
      <c r="F167" s="1070"/>
      <c r="G167" s="0" t="s">
        <v>2186</v>
      </c>
      <c r="K167" s="1604"/>
    </row>
    <row r="168" customFormat="false" ht="15" hidden="false" customHeight="true" outlineLevel="0" collapsed="false">
      <c r="A168" s="1933" t="s">
        <v>2187</v>
      </c>
      <c r="K168" s="1604"/>
    </row>
    <row r="169" customFormat="false" ht="12.75" hidden="false" customHeight="true" outlineLevel="0" collapsed="false">
      <c r="A169" s="1934"/>
    </row>
    <row r="170" customFormat="false" ht="12.75" hidden="false" customHeight="true" outlineLevel="0" collapsed="false">
      <c r="B170" s="1861" t="s">
        <v>2188</v>
      </c>
      <c r="C170" s="1861" t="s">
        <v>2189</v>
      </c>
      <c r="D170" s="0" t="s">
        <v>2190</v>
      </c>
    </row>
    <row r="171" customFormat="false" ht="15" hidden="false" customHeight="true" outlineLevel="0" collapsed="false">
      <c r="B171" s="1861" t="s">
        <v>2191</v>
      </c>
      <c r="C171" s="1861" t="n">
        <v>5580</v>
      </c>
      <c r="D171" s="1933" t="s">
        <v>2192</v>
      </c>
    </row>
    <row r="172" customFormat="false" ht="15" hidden="false" customHeight="true" outlineLevel="0" collapsed="false">
      <c r="B172" s="1861" t="s">
        <v>2193</v>
      </c>
      <c r="C172" s="1861" t="n">
        <v>5580</v>
      </c>
      <c r="D172" s="1933" t="s">
        <v>2194</v>
      </c>
    </row>
    <row r="173" customFormat="false" ht="15" hidden="false" customHeight="true" outlineLevel="0" collapsed="false">
      <c r="B173" s="1861" t="s">
        <v>2195</v>
      </c>
      <c r="C173" s="1861" t="n">
        <v>3600</v>
      </c>
      <c r="D173" s="1933" t="s">
        <v>2196</v>
      </c>
    </row>
    <row r="174" customFormat="false" ht="12.75" hidden="false" customHeight="true" outlineLevel="0" collapsed="false">
      <c r="B174" s="1861" t="s">
        <v>2197</v>
      </c>
      <c r="C174" s="1861" t="n">
        <v>13200</v>
      </c>
    </row>
    <row r="175" customFormat="false" ht="12.75" hidden="false" customHeight="true" outlineLevel="0" collapsed="false">
      <c r="B175" s="1861" t="s">
        <v>2198</v>
      </c>
      <c r="C175" s="1861" t="n">
        <v>7000</v>
      </c>
    </row>
    <row r="176" customFormat="false" ht="12.75" hidden="false" customHeight="true" outlineLevel="0" collapsed="false">
      <c r="B176" s="1930" t="s">
        <v>2199</v>
      </c>
      <c r="C176" s="1935"/>
      <c r="D176" s="1935"/>
    </row>
    <row r="178" customFormat="false" ht="15" hidden="false" customHeight="true" outlineLevel="0" collapsed="false">
      <c r="A178" s="1070" t="s">
        <v>2200</v>
      </c>
      <c r="G178" s="0" t="s">
        <v>2201</v>
      </c>
      <c r="H178" s="0" t="s">
        <v>2202</v>
      </c>
    </row>
    <row r="185" customFormat="false" ht="12.75" hidden="false" customHeight="true" outlineLevel="0" collapsed="false">
      <c r="B185" s="1917"/>
      <c r="C185" s="1918"/>
      <c r="D185" s="1918"/>
      <c r="E185" s="1919"/>
    </row>
    <row r="187" customFormat="false" ht="12.75" hidden="false" customHeight="true" outlineLevel="0" collapsed="false">
      <c r="A187" s="0" t="s">
        <v>2203</v>
      </c>
    </row>
    <row r="189" customFormat="false" ht="15" hidden="false" customHeight="true" outlineLevel="0" collapsed="false">
      <c r="A189" s="1070" t="s">
        <v>2204</v>
      </c>
      <c r="H189" s="0" t="s">
        <v>2205</v>
      </c>
    </row>
    <row r="191" customFormat="false" ht="12.75" hidden="false" customHeight="true" outlineLevel="0" collapsed="false">
      <c r="B191" s="1861" t="s">
        <v>1386</v>
      </c>
      <c r="C191" s="1861" t="s">
        <v>2206</v>
      </c>
    </row>
    <row r="192" customFormat="false" ht="12.75" hidden="false" customHeight="true" outlineLevel="0" collapsed="false">
      <c r="B192" s="1861" t="s">
        <v>2207</v>
      </c>
      <c r="C192" s="1861" t="n">
        <v>90</v>
      </c>
      <c r="D192" s="0" t="s">
        <v>2208</v>
      </c>
    </row>
    <row r="193" customFormat="false" ht="12.75" hidden="false" customHeight="true" outlineLevel="0" collapsed="false">
      <c r="B193" s="1861" t="s">
        <v>2209</v>
      </c>
      <c r="C193" s="1861" t="n">
        <v>3.3</v>
      </c>
      <c r="D193" s="0" t="s">
        <v>2210</v>
      </c>
    </row>
    <row r="194" customFormat="false" ht="12.75" hidden="false" customHeight="true" outlineLevel="0" collapsed="false">
      <c r="B194" s="1861" t="s">
        <v>2211</v>
      </c>
      <c r="C194" s="1861" t="n">
        <v>18</v>
      </c>
      <c r="D194" s="0" t="s">
        <v>2210</v>
      </c>
    </row>
    <row r="196" customFormat="false" ht="15" hidden="false" customHeight="true" outlineLevel="0" collapsed="false">
      <c r="A196" s="1070" t="s">
        <v>2212</v>
      </c>
      <c r="C196" s="0" t="s">
        <v>2213</v>
      </c>
    </row>
    <row r="198" customFormat="false" ht="12.75" hidden="false" customHeight="true" outlineLevel="0" collapsed="false">
      <c r="A198" s="1861" t="s">
        <v>1279</v>
      </c>
      <c r="B198" s="1861" t="s">
        <v>2214</v>
      </c>
    </row>
    <row r="199" customFormat="false" ht="12.75" hidden="false" customHeight="true" outlineLevel="0" collapsed="false">
      <c r="A199" s="1861" t="s">
        <v>1320</v>
      </c>
      <c r="B199" s="1861" t="n">
        <v>5</v>
      </c>
    </row>
    <row r="201" customFormat="false" ht="15.75" hidden="false" customHeight="true" outlineLevel="0" collapsed="false">
      <c r="A201" s="1070" t="s">
        <v>2215</v>
      </c>
    </row>
    <row r="202" customFormat="false" ht="16.5" hidden="false" customHeight="true" outlineLevel="0" collapsed="false">
      <c r="A202" s="1936" t="s">
        <v>2216</v>
      </c>
      <c r="G202" s="1937" t="s">
        <v>2217</v>
      </c>
      <c r="H202" s="1938" t="s">
        <v>2218</v>
      </c>
      <c r="I202" s="1939" t="s">
        <v>2219</v>
      </c>
    </row>
    <row r="203" customFormat="false" ht="16.5" hidden="false" customHeight="true" outlineLevel="0" collapsed="false">
      <c r="A203" s="1940"/>
      <c r="B203" s="1941" t="s">
        <v>2118</v>
      </c>
      <c r="C203" s="1941" t="s">
        <v>2119</v>
      </c>
      <c r="G203" s="1942" t="s">
        <v>1540</v>
      </c>
      <c r="H203" s="1943" t="s">
        <v>2220</v>
      </c>
      <c r="I203" s="1943" t="n">
        <v>600</v>
      </c>
    </row>
    <row r="204" customFormat="false" ht="16.5" hidden="false" customHeight="true" outlineLevel="0" collapsed="false">
      <c r="A204" s="3" t="s">
        <v>1540</v>
      </c>
      <c r="B204" s="6" t="n">
        <v>100</v>
      </c>
      <c r="C204" s="6" t="n">
        <v>7000</v>
      </c>
      <c r="G204" s="1942"/>
      <c r="H204" s="1944" t="s">
        <v>2221</v>
      </c>
      <c r="I204" s="1944" t="n">
        <v>2000</v>
      </c>
    </row>
    <row r="205" customFormat="false" ht="16.5" hidden="false" customHeight="true" outlineLevel="0" collapsed="false">
      <c r="A205" s="3" t="s">
        <v>2222</v>
      </c>
      <c r="B205" s="6" t="n">
        <v>100</v>
      </c>
      <c r="C205" s="6" t="n">
        <v>1200</v>
      </c>
      <c r="G205" s="1942"/>
      <c r="H205" s="1943" t="s">
        <v>2223</v>
      </c>
      <c r="I205" s="1943" t="n">
        <v>11000</v>
      </c>
    </row>
    <row r="206" customFormat="false" ht="16.5" hidden="false" customHeight="true" outlineLevel="0" collapsed="false">
      <c r="A206" s="3" t="s">
        <v>2224</v>
      </c>
      <c r="B206" s="6" t="n">
        <v>100</v>
      </c>
      <c r="C206" s="6" t="n">
        <v>500</v>
      </c>
      <c r="G206" s="1942"/>
      <c r="H206" s="1944" t="s">
        <v>2225</v>
      </c>
      <c r="I206" s="1944" t="n">
        <v>13000</v>
      </c>
    </row>
    <row r="207" customFormat="false" ht="16.5" hidden="false" customHeight="true" outlineLevel="0" collapsed="false">
      <c r="A207" s="3" t="s">
        <v>2226</v>
      </c>
      <c r="B207" s="6" t="n">
        <v>100</v>
      </c>
      <c r="C207" s="6" t="n">
        <v>10000</v>
      </c>
      <c r="G207" s="1945" t="s">
        <v>2227</v>
      </c>
      <c r="H207" s="1943" t="s">
        <v>2228</v>
      </c>
      <c r="I207" s="1943" t="n">
        <v>23000</v>
      </c>
    </row>
    <row r="208" customFormat="false" ht="16.5" hidden="false" customHeight="true" outlineLevel="0" collapsed="false">
      <c r="G208" s="1946" t="s">
        <v>2229</v>
      </c>
      <c r="H208" s="1944" t="s">
        <v>2230</v>
      </c>
      <c r="I208" s="1944" t="n">
        <v>145</v>
      </c>
    </row>
    <row r="209" customFormat="false" ht="16.5" hidden="false" customHeight="true" outlineLevel="0" collapsed="false">
      <c r="A209" s="1947"/>
      <c r="G209" s="1946"/>
      <c r="H209" s="1943" t="s">
        <v>2231</v>
      </c>
      <c r="I209" s="1943" t="n">
        <v>456</v>
      </c>
    </row>
    <row r="210" customFormat="false" ht="16.5" hidden="false" customHeight="true" outlineLevel="0" collapsed="false">
      <c r="A210" s="1947"/>
      <c r="G210" s="1946"/>
      <c r="H210" s="1944" t="s">
        <v>2232</v>
      </c>
      <c r="I210" s="1944" t="n">
        <v>931</v>
      </c>
    </row>
    <row r="211" customFormat="false" ht="16.5" hidden="false" customHeight="true" outlineLevel="0" collapsed="false">
      <c r="G211" s="1945" t="s">
        <v>2229</v>
      </c>
      <c r="H211" s="1943" t="s">
        <v>2233</v>
      </c>
      <c r="I211" s="1943"/>
    </row>
    <row r="212" customFormat="false" ht="16.5" hidden="false" customHeight="true" outlineLevel="0" collapsed="false">
      <c r="G212" s="1946" t="s">
        <v>2234</v>
      </c>
      <c r="H212" s="1944" t="s">
        <v>2235</v>
      </c>
      <c r="I212" s="1944" t="n">
        <v>23200</v>
      </c>
    </row>
    <row r="213" customFormat="false" ht="16.5" hidden="false" customHeight="true" outlineLevel="0" collapsed="false">
      <c r="G213" s="1946"/>
      <c r="H213" s="1943" t="s">
        <v>2236</v>
      </c>
      <c r="I213" s="1943" t="n">
        <v>23200</v>
      </c>
    </row>
    <row r="214" customFormat="false" ht="16.5" hidden="false" customHeight="true" outlineLevel="0" collapsed="false">
      <c r="G214" s="1946" t="s">
        <v>2237</v>
      </c>
      <c r="H214" s="1944" t="s">
        <v>2238</v>
      </c>
      <c r="I214" s="1944" t="n">
        <v>10000</v>
      </c>
    </row>
    <row r="215" customFormat="false" ht="16.5" hidden="false" customHeight="true" outlineLevel="0" collapsed="false">
      <c r="G215" s="1946"/>
      <c r="H215" s="1943" t="s">
        <v>2239</v>
      </c>
      <c r="I215" s="1943" t="n">
        <v>10000</v>
      </c>
    </row>
    <row r="216" customFormat="false" ht="16.5" hidden="false" customHeight="true" outlineLevel="0" collapsed="false">
      <c r="G216" s="1946" t="s">
        <v>2240</v>
      </c>
      <c r="H216" s="1944" t="s">
        <v>2241</v>
      </c>
      <c r="I216" s="1944" t="n">
        <v>10000</v>
      </c>
    </row>
    <row r="217" customFormat="false" ht="16.5" hidden="false" customHeight="true" outlineLevel="0" collapsed="false">
      <c r="G217" s="1946"/>
      <c r="H217" s="1943" t="s">
        <v>2242</v>
      </c>
      <c r="I217" s="1943" t="n">
        <v>1200</v>
      </c>
      <c r="K217" s="1948"/>
    </row>
    <row r="218" customFormat="false" ht="16.5" hidden="false" customHeight="true" outlineLevel="0" collapsed="false">
      <c r="G218" s="1946"/>
      <c r="H218" s="1944" t="s">
        <v>2243</v>
      </c>
      <c r="I218" s="1944" t="n">
        <v>10000</v>
      </c>
    </row>
    <row r="219" customFormat="false" ht="16.5" hidden="false" customHeight="true" outlineLevel="0" collapsed="false">
      <c r="G219" s="1946"/>
      <c r="H219" s="1943" t="s">
        <v>2244</v>
      </c>
      <c r="I219" s="1943" t="n">
        <v>10000</v>
      </c>
    </row>
    <row r="220" customFormat="false" ht="16.5" hidden="false" customHeight="true" outlineLevel="0" collapsed="false">
      <c r="G220" s="1946"/>
      <c r="H220" s="1944" t="s">
        <v>2245</v>
      </c>
      <c r="I220" s="1944" t="n">
        <v>10000</v>
      </c>
    </row>
    <row r="221" customFormat="false" ht="16.5" hidden="false" customHeight="true" outlineLevel="0" collapsed="false">
      <c r="G221" s="1946"/>
      <c r="H221" s="1943" t="s">
        <v>2246</v>
      </c>
      <c r="I221" s="1943" t="n">
        <v>100</v>
      </c>
    </row>
    <row r="222" customFormat="false" ht="16.5" hidden="false" customHeight="true" outlineLevel="0" collapsed="false">
      <c r="G222" s="1946"/>
      <c r="H222" s="1944" t="s">
        <v>2247</v>
      </c>
      <c r="I222" s="1944" t="n">
        <v>10</v>
      </c>
    </row>
    <row r="223" customFormat="false" ht="16.5" hidden="false" customHeight="true" outlineLevel="0" collapsed="false">
      <c r="G223" s="1946"/>
      <c r="H223" s="1943" t="s">
        <v>2248</v>
      </c>
      <c r="I223" s="1943" t="n">
        <v>10</v>
      </c>
    </row>
    <row r="224" customFormat="false" ht="16.5" hidden="false" customHeight="true" outlineLevel="0" collapsed="false">
      <c r="G224" s="1946"/>
      <c r="H224" s="1944" t="s">
        <v>2249</v>
      </c>
      <c r="I224" s="1944" t="n">
        <v>55600</v>
      </c>
    </row>
    <row r="225" customFormat="false" ht="16.5" hidden="false" customHeight="true" outlineLevel="0" collapsed="false">
      <c r="G225" s="1946"/>
      <c r="H225" s="1943" t="s">
        <v>2250</v>
      </c>
      <c r="I225" s="1943" t="n">
        <v>50160</v>
      </c>
    </row>
    <row r="226" customFormat="false" ht="16.5" hidden="false" customHeight="true" outlineLevel="0" collapsed="false">
      <c r="G226" s="1946"/>
      <c r="H226" s="1944" t="s">
        <v>2251</v>
      </c>
      <c r="I226" s="1944" t="n">
        <v>5680</v>
      </c>
    </row>
    <row r="227" customFormat="false" ht="12.75" hidden="false" customHeight="true" outlineLevel="0" collapsed="false">
      <c r="H227" s="0" t="s">
        <v>2252</v>
      </c>
    </row>
    <row r="230" customFormat="false" ht="15" hidden="false" customHeight="true" outlineLevel="0" collapsed="false">
      <c r="A230" s="1949" t="s">
        <v>2253</v>
      </c>
      <c r="D230" s="0" t="s">
        <v>2254</v>
      </c>
    </row>
    <row r="231" customFormat="false" ht="45.75" hidden="false" customHeight="true" outlineLevel="0" collapsed="false"/>
    <row r="232" customFormat="false" ht="15" hidden="false" customHeight="true" outlineLevel="0" collapsed="false">
      <c r="A232" s="1070" t="s">
        <v>2255</v>
      </c>
      <c r="D232" s="0" t="s">
        <v>2256</v>
      </c>
    </row>
    <row r="242" customFormat="false" ht="15.75" hidden="false" customHeight="true" outlineLevel="0" collapsed="false"/>
    <row r="255" customFormat="false" ht="45.75" hidden="false" customHeight="true" outlineLevel="0" collapsed="false"/>
    <row r="260" customFormat="false" ht="45.75" hidden="false" customHeight="true" outlineLevel="0" collapsed="false"/>
    <row r="278" customFormat="false" ht="15" hidden="false" customHeight="true" outlineLevel="0" collapsed="false">
      <c r="A278" s="1070" t="s">
        <v>2257</v>
      </c>
      <c r="C278" s="0" t="s">
        <v>2258</v>
      </c>
    </row>
    <row r="279" customFormat="false" ht="15" hidden="false" customHeight="true" outlineLevel="0" collapsed="false">
      <c r="A279" s="1070"/>
    </row>
    <row r="280" customFormat="false" ht="20.25" hidden="false" customHeight="true" outlineLevel="0" collapsed="false">
      <c r="A280" s="1950" t="s">
        <v>2259</v>
      </c>
      <c r="D280" s="1846"/>
    </row>
    <row r="281" customFormat="false" ht="12.75" hidden="false" customHeight="true" outlineLevel="0" collapsed="false">
      <c r="A281" s="1416"/>
      <c r="D281" s="1846"/>
    </row>
    <row r="282" customFormat="false" ht="18" hidden="false" customHeight="true" outlineLevel="0" collapsed="false">
      <c r="A282" s="1951" t="s">
        <v>2260</v>
      </c>
      <c r="D282" s="1846"/>
    </row>
    <row r="283" customFormat="false" ht="12.75" hidden="false" customHeight="true" outlineLevel="0" collapsed="false">
      <c r="A283" s="1416"/>
      <c r="D283" s="1846"/>
    </row>
    <row r="284" customFormat="false" ht="15" hidden="false" customHeight="true" outlineLevel="0" collapsed="false">
      <c r="A284" s="1853" t="s">
        <v>2261</v>
      </c>
      <c r="D284" s="1846"/>
    </row>
    <row r="285" customFormat="false" ht="12.75" hidden="false" customHeight="true" outlineLevel="0" collapsed="false">
      <c r="A285" s="1416"/>
      <c r="D285" s="1846"/>
    </row>
    <row r="286" customFormat="false" ht="12.75" hidden="false" customHeight="true" outlineLevel="0" collapsed="false">
      <c r="A286" s="1672" t="s">
        <v>1810</v>
      </c>
      <c r="B286" s="1671" t="s">
        <v>2262</v>
      </c>
      <c r="C286" s="1671"/>
      <c r="D286" s="1671" t="s">
        <v>1514</v>
      </c>
      <c r="E286" s="1671" t="s">
        <v>2263</v>
      </c>
      <c r="F286" s="1671"/>
      <c r="G286" s="1671"/>
    </row>
    <row r="287" customFormat="false" ht="15.75" hidden="false" customHeight="true" outlineLevel="0" collapsed="false">
      <c r="A287" s="1672"/>
      <c r="B287" s="1671"/>
      <c r="C287" s="1671"/>
      <c r="D287" s="1671"/>
      <c r="E287" s="1858" t="s">
        <v>395</v>
      </c>
      <c r="F287" s="1858" t="s">
        <v>2264</v>
      </c>
      <c r="G287" s="1858" t="s">
        <v>2265</v>
      </c>
    </row>
    <row r="288" customFormat="false" ht="12.75" hidden="false" customHeight="true" outlineLevel="0" collapsed="false">
      <c r="A288" s="1952" t="n">
        <v>1</v>
      </c>
      <c r="B288" s="1953" t="s">
        <v>2266</v>
      </c>
      <c r="C288" s="1954"/>
      <c r="D288" s="1874" t="s">
        <v>2267</v>
      </c>
      <c r="E288" s="1955" t="n">
        <v>0</v>
      </c>
      <c r="F288" s="1955" t="n">
        <v>6</v>
      </c>
      <c r="G288" s="1955" t="n">
        <v>12</v>
      </c>
    </row>
    <row r="289" customFormat="false" ht="12.75" hidden="false" customHeight="true" outlineLevel="0" collapsed="false">
      <c r="A289" s="1956" t="n">
        <v>2</v>
      </c>
      <c r="B289" s="1953" t="s">
        <v>2268</v>
      </c>
      <c r="C289" s="1954"/>
      <c r="D289" s="1874" t="s">
        <v>2267</v>
      </c>
      <c r="E289" s="1955" t="n">
        <v>0</v>
      </c>
      <c r="F289" s="1955" t="n">
        <v>14</v>
      </c>
      <c r="G289" s="1955" t="n">
        <v>42</v>
      </c>
    </row>
    <row r="290" customFormat="false" ht="12.75" hidden="false" customHeight="true" outlineLevel="0" collapsed="false">
      <c r="A290" s="1952" t="n">
        <v>3</v>
      </c>
      <c r="B290" s="1957" t="s">
        <v>2269</v>
      </c>
      <c r="C290" s="1958"/>
      <c r="D290" s="1874" t="s">
        <v>2267</v>
      </c>
      <c r="E290" s="1955" t="n">
        <v>0</v>
      </c>
      <c r="F290" s="1955" t="n">
        <v>18</v>
      </c>
      <c r="G290" s="1955" t="n">
        <v>18</v>
      </c>
    </row>
    <row r="291" customFormat="false" ht="12.75" hidden="false" customHeight="true" outlineLevel="0" collapsed="false">
      <c r="A291" s="1956" t="n">
        <v>4</v>
      </c>
      <c r="B291" s="1957" t="s">
        <v>2270</v>
      </c>
      <c r="C291" s="1958"/>
      <c r="D291" s="1874" t="s">
        <v>2267</v>
      </c>
      <c r="E291" s="1955" t="n">
        <v>0</v>
      </c>
      <c r="F291" s="1955" t="n">
        <v>25</v>
      </c>
      <c r="G291" s="1955" t="n">
        <v>25</v>
      </c>
    </row>
    <row r="292" customFormat="false" ht="12.75" hidden="false" customHeight="true" outlineLevel="0" collapsed="false">
      <c r="A292" s="1952" t="n">
        <v>5</v>
      </c>
      <c r="B292" s="1959" t="s">
        <v>2271</v>
      </c>
      <c r="C292" s="1960"/>
      <c r="D292" s="1874" t="s">
        <v>2267</v>
      </c>
      <c r="E292" s="1961" t="n">
        <v>3</v>
      </c>
      <c r="F292" s="1961" t="n">
        <v>4</v>
      </c>
      <c r="G292" s="1961" t="n">
        <v>12</v>
      </c>
    </row>
    <row r="293" customFormat="false" ht="12.75" hidden="false" customHeight="true" outlineLevel="0" collapsed="false">
      <c r="A293" s="1956" t="n">
        <v>6</v>
      </c>
      <c r="B293" s="1962" t="s">
        <v>2272</v>
      </c>
      <c r="C293" s="1958"/>
      <c r="D293" s="1874" t="s">
        <v>2267</v>
      </c>
      <c r="E293" s="1955" t="n">
        <v>3</v>
      </c>
      <c r="F293" s="1955" t="n">
        <v>8</v>
      </c>
      <c r="G293" s="1955" t="n">
        <v>14</v>
      </c>
    </row>
    <row r="294" customFormat="false" ht="12.75" hidden="false" customHeight="true" outlineLevel="0" collapsed="false">
      <c r="A294" s="1952" t="n">
        <v>7</v>
      </c>
      <c r="B294" s="1962" t="s">
        <v>2273</v>
      </c>
      <c r="C294" s="1958"/>
      <c r="D294" s="1874" t="s">
        <v>2267</v>
      </c>
      <c r="E294" s="1955" t="n">
        <v>4</v>
      </c>
      <c r="F294" s="1955" t="n">
        <v>4</v>
      </c>
      <c r="G294" s="1955" t="n">
        <v>15</v>
      </c>
    </row>
    <row r="295" customFormat="false" ht="12.75" hidden="false" customHeight="true" outlineLevel="0" collapsed="false">
      <c r="A295" s="1956" t="n">
        <v>8</v>
      </c>
      <c r="B295" s="1962" t="s">
        <v>2274</v>
      </c>
      <c r="C295" s="1958"/>
      <c r="D295" s="1874" t="s">
        <v>2267</v>
      </c>
      <c r="E295" s="1955" t="n">
        <v>4</v>
      </c>
      <c r="F295" s="1955" t="n">
        <v>5</v>
      </c>
      <c r="G295" s="1955" t="n">
        <v>16</v>
      </c>
    </row>
    <row r="296" customFormat="false" ht="12.75" hidden="false" customHeight="true" outlineLevel="0" collapsed="false">
      <c r="A296" s="1952" t="n">
        <v>9</v>
      </c>
      <c r="B296" s="1963" t="s">
        <v>2275</v>
      </c>
      <c r="C296" s="1954"/>
      <c r="D296" s="1874" t="s">
        <v>2267</v>
      </c>
      <c r="E296" s="1955" t="n">
        <v>4</v>
      </c>
      <c r="F296" s="1955" t="n">
        <v>7</v>
      </c>
      <c r="G296" s="1955" t="n">
        <v>16</v>
      </c>
    </row>
    <row r="297" customFormat="false" ht="12.75" hidden="false" customHeight="true" outlineLevel="0" collapsed="false">
      <c r="A297" s="1956" t="n">
        <v>10</v>
      </c>
      <c r="B297" s="1957" t="s">
        <v>2276</v>
      </c>
      <c r="C297" s="1958"/>
      <c r="D297" s="1874" t="s">
        <v>2267</v>
      </c>
      <c r="E297" s="1955" t="n">
        <v>4</v>
      </c>
      <c r="F297" s="1955" t="n">
        <v>20</v>
      </c>
      <c r="G297" s="1955" t="n">
        <v>20</v>
      </c>
    </row>
    <row r="298" customFormat="false" ht="12.75" hidden="false" customHeight="true" outlineLevel="0" collapsed="false">
      <c r="A298" s="1952" t="n">
        <v>11</v>
      </c>
      <c r="B298" s="1962" t="s">
        <v>2277</v>
      </c>
      <c r="C298" s="1958"/>
      <c r="D298" s="1874" t="s">
        <v>2267</v>
      </c>
      <c r="E298" s="1955" t="n">
        <v>5</v>
      </c>
      <c r="F298" s="1955" t="n">
        <v>8</v>
      </c>
      <c r="G298" s="1955" t="n">
        <v>12</v>
      </c>
    </row>
    <row r="299" customFormat="false" ht="12.75" hidden="false" customHeight="true" outlineLevel="0" collapsed="false">
      <c r="A299" s="1956" t="n">
        <v>12</v>
      </c>
      <c r="B299" s="1962" t="s">
        <v>2278</v>
      </c>
      <c r="C299" s="1958"/>
      <c r="D299" s="1874" t="s">
        <v>2267</v>
      </c>
      <c r="E299" s="1955" t="n">
        <v>5</v>
      </c>
      <c r="F299" s="1955" t="n">
        <v>12</v>
      </c>
      <c r="G299" s="1955" t="n">
        <v>24</v>
      </c>
    </row>
    <row r="300" customFormat="false" ht="12.75" hidden="false" customHeight="true" outlineLevel="0" collapsed="false">
      <c r="A300" s="1956" t="n">
        <v>14</v>
      </c>
      <c r="B300" s="1957" t="s">
        <v>2279</v>
      </c>
      <c r="C300" s="1958"/>
      <c r="D300" s="1874" t="s">
        <v>2267</v>
      </c>
      <c r="E300" s="1955" t="n">
        <v>5</v>
      </c>
      <c r="F300" s="1955" t="n">
        <v>20</v>
      </c>
      <c r="G300" s="1955" t="n">
        <v>15</v>
      </c>
    </row>
    <row r="301" customFormat="false" ht="12.75" hidden="false" customHeight="true" outlineLevel="0" collapsed="false">
      <c r="A301" s="1952" t="n">
        <v>15</v>
      </c>
      <c r="B301" s="1957" t="s">
        <v>2280</v>
      </c>
      <c r="C301" s="1958"/>
      <c r="D301" s="1874" t="s">
        <v>2267</v>
      </c>
      <c r="E301" s="1955" t="n">
        <v>6</v>
      </c>
      <c r="F301" s="1955" t="n">
        <v>15</v>
      </c>
      <c r="G301" s="1955" t="n">
        <v>30</v>
      </c>
    </row>
    <row r="302" customFormat="false" ht="12.75" hidden="false" customHeight="true" outlineLevel="0" collapsed="false">
      <c r="A302" s="1956" t="n">
        <v>16</v>
      </c>
      <c r="B302" s="1962" t="s">
        <v>2281</v>
      </c>
      <c r="C302" s="1958"/>
      <c r="D302" s="1874" t="s">
        <v>2267</v>
      </c>
      <c r="E302" s="1955" t="n">
        <v>7</v>
      </c>
      <c r="F302" s="1955" t="n">
        <v>7</v>
      </c>
      <c r="G302" s="1955" t="n">
        <v>10</v>
      </c>
    </row>
    <row r="303" customFormat="false" ht="12.75" hidden="false" customHeight="true" outlineLevel="0" collapsed="false">
      <c r="A303" s="1952" t="n">
        <v>17</v>
      </c>
      <c r="B303" s="1953" t="s">
        <v>2282</v>
      </c>
      <c r="C303" s="1954"/>
      <c r="D303" s="1874" t="s">
        <v>2267</v>
      </c>
      <c r="E303" s="1955" t="n">
        <v>7</v>
      </c>
      <c r="F303" s="1955" t="n">
        <v>8</v>
      </c>
      <c r="G303" s="1955" t="n">
        <v>14</v>
      </c>
    </row>
    <row r="304" customFormat="false" ht="12.75" hidden="false" customHeight="true" outlineLevel="0" collapsed="false">
      <c r="A304" s="1956" t="n">
        <v>18</v>
      </c>
      <c r="B304" s="1957" t="s">
        <v>2283</v>
      </c>
      <c r="C304" s="1958"/>
      <c r="D304" s="1874" t="s">
        <v>2267</v>
      </c>
      <c r="E304" s="1955" t="n">
        <v>7</v>
      </c>
      <c r="F304" s="1955" t="n">
        <v>18</v>
      </c>
      <c r="G304" s="1955" t="n">
        <v>30</v>
      </c>
    </row>
    <row r="305" customFormat="false" ht="12.75" hidden="false" customHeight="true" outlineLevel="0" collapsed="false">
      <c r="A305" s="1952" t="n">
        <v>19</v>
      </c>
      <c r="B305" s="1962" t="s">
        <v>2284</v>
      </c>
      <c r="C305" s="1958"/>
      <c r="D305" s="1874" t="s">
        <v>2267</v>
      </c>
      <c r="E305" s="1955" t="n">
        <v>8</v>
      </c>
      <c r="F305" s="1955" t="n">
        <v>5</v>
      </c>
      <c r="G305" s="1955" t="n">
        <v>5</v>
      </c>
    </row>
    <row r="306" customFormat="false" ht="12.75" hidden="false" customHeight="true" outlineLevel="0" collapsed="false">
      <c r="A306" s="1956" t="n">
        <v>20</v>
      </c>
      <c r="B306" s="1957" t="s">
        <v>2285</v>
      </c>
      <c r="C306" s="1958"/>
      <c r="D306" s="1874" t="s">
        <v>2267</v>
      </c>
      <c r="E306" s="1955" t="n">
        <v>8</v>
      </c>
      <c r="F306" s="1955" t="n">
        <v>15</v>
      </c>
      <c r="G306" s="1955" t="n">
        <v>22</v>
      </c>
    </row>
    <row r="307" customFormat="false" ht="12.75" hidden="false" customHeight="true" outlineLevel="0" collapsed="false">
      <c r="A307" s="1952" t="n">
        <v>21</v>
      </c>
      <c r="B307" s="1957" t="s">
        <v>2286</v>
      </c>
      <c r="C307" s="1958"/>
      <c r="D307" s="1874" t="s">
        <v>2267</v>
      </c>
      <c r="E307" s="1955" t="n">
        <v>8</v>
      </c>
      <c r="F307" s="1955" t="n">
        <v>15</v>
      </c>
      <c r="G307" s="1955" t="n">
        <v>22</v>
      </c>
    </row>
    <row r="308" customFormat="false" ht="12.75" hidden="false" customHeight="true" outlineLevel="0" collapsed="false">
      <c r="A308" s="1956" t="n">
        <v>22</v>
      </c>
      <c r="B308" s="1957" t="s">
        <v>2287</v>
      </c>
      <c r="C308" s="1958"/>
      <c r="D308" s="1874" t="s">
        <v>2267</v>
      </c>
      <c r="E308" s="1955" t="n">
        <v>8</v>
      </c>
      <c r="F308" s="1955" t="n">
        <v>21</v>
      </c>
      <c r="G308" s="1955" t="n">
        <v>33</v>
      </c>
    </row>
    <row r="309" customFormat="false" ht="12.75" hidden="false" customHeight="true" outlineLevel="0" collapsed="false">
      <c r="A309" s="1952" t="n">
        <v>23</v>
      </c>
      <c r="B309" s="1957" t="s">
        <v>2288</v>
      </c>
      <c r="C309" s="1958"/>
      <c r="D309" s="1874" t="s">
        <v>2267</v>
      </c>
      <c r="E309" s="1955" t="n">
        <v>9</v>
      </c>
      <c r="F309" s="1955" t="n">
        <v>16</v>
      </c>
      <c r="G309" s="1955" t="n">
        <v>18</v>
      </c>
    </row>
    <row r="310" customFormat="false" ht="12.75" hidden="false" customHeight="true" outlineLevel="0" collapsed="false">
      <c r="A310" s="1956" t="n">
        <v>24</v>
      </c>
      <c r="B310" s="1962" t="s">
        <v>2289</v>
      </c>
      <c r="C310" s="1958"/>
      <c r="D310" s="1874" t="s">
        <v>2267</v>
      </c>
      <c r="E310" s="1955" t="n">
        <v>1.8</v>
      </c>
      <c r="F310" s="1955" t="n">
        <f aca="false">9/0.437/10</f>
        <v>2.05949656750572</v>
      </c>
      <c r="G310" s="1955" t="n">
        <f aca="false">18/0.83/10</f>
        <v>2.16867469879518</v>
      </c>
    </row>
    <row r="311" customFormat="false" ht="12.75" hidden="false" customHeight="true" outlineLevel="0" collapsed="false">
      <c r="A311" s="1952" t="n">
        <v>25</v>
      </c>
      <c r="B311" s="1963" t="s">
        <v>2290</v>
      </c>
      <c r="C311" s="1954" t="s">
        <v>2291</v>
      </c>
      <c r="D311" s="1874" t="s">
        <v>2267</v>
      </c>
      <c r="E311" s="1955" t="n">
        <v>10</v>
      </c>
      <c r="F311" s="1955" t="n">
        <v>5</v>
      </c>
      <c r="G311" s="1955" t="n">
        <v>20</v>
      </c>
    </row>
    <row r="312" customFormat="false" ht="12.75" hidden="false" customHeight="true" outlineLevel="0" collapsed="false">
      <c r="A312" s="1956" t="n">
        <v>26</v>
      </c>
      <c r="B312" s="1963" t="s">
        <v>2292</v>
      </c>
      <c r="C312" s="1954"/>
      <c r="D312" s="1874" t="s">
        <v>2267</v>
      </c>
      <c r="E312" s="1955" t="n">
        <v>10</v>
      </c>
      <c r="F312" s="1955" t="n">
        <v>10</v>
      </c>
      <c r="G312" s="1955" t="n">
        <v>15</v>
      </c>
    </row>
    <row r="313" customFormat="false" ht="12.75" hidden="false" customHeight="true" outlineLevel="0" collapsed="false">
      <c r="A313" s="1952" t="n">
        <v>27</v>
      </c>
      <c r="B313" s="1963" t="s">
        <v>2293</v>
      </c>
      <c r="C313" s="1954"/>
      <c r="D313" s="1874" t="s">
        <v>2267</v>
      </c>
      <c r="E313" s="1955" t="n">
        <v>10</v>
      </c>
      <c r="F313" s="1955" t="n">
        <v>12</v>
      </c>
      <c r="G313" s="1955" t="n">
        <v>24</v>
      </c>
    </row>
    <row r="314" customFormat="false" ht="12.75" hidden="false" customHeight="true" outlineLevel="0" collapsed="false">
      <c r="A314" s="1956" t="n">
        <v>28</v>
      </c>
      <c r="B314" s="1964" t="s">
        <v>2294</v>
      </c>
      <c r="C314" s="1960"/>
      <c r="D314" s="1874" t="s">
        <v>2267</v>
      </c>
      <c r="E314" s="1961" t="n">
        <v>10</v>
      </c>
      <c r="F314" s="1961" t="n">
        <v>20</v>
      </c>
      <c r="G314" s="1961" t="n">
        <v>20</v>
      </c>
    </row>
    <row r="315" customFormat="false" ht="12.75" hidden="false" customHeight="true" outlineLevel="0" collapsed="false">
      <c r="A315" s="1952" t="n">
        <v>29</v>
      </c>
      <c r="B315" s="1957" t="s">
        <v>2295</v>
      </c>
      <c r="C315" s="1958"/>
      <c r="D315" s="1874" t="s">
        <v>2267</v>
      </c>
      <c r="E315" s="1955" t="n">
        <v>10</v>
      </c>
      <c r="F315" s="1955" t="n">
        <v>25</v>
      </c>
      <c r="G315" s="1955" t="n">
        <v>20</v>
      </c>
    </row>
    <row r="316" customFormat="false" ht="12.75" hidden="false" customHeight="true" outlineLevel="0" collapsed="false">
      <c r="A316" s="1956" t="n">
        <v>30</v>
      </c>
      <c r="B316" s="1964" t="s">
        <v>2296</v>
      </c>
      <c r="C316" s="1960"/>
      <c r="D316" s="1874" t="s">
        <v>2267</v>
      </c>
      <c r="E316" s="1961" t="n">
        <v>10</v>
      </c>
      <c r="F316" s="1961" t="n">
        <v>26</v>
      </c>
      <c r="G316" s="1961" t="n">
        <v>26</v>
      </c>
    </row>
    <row r="317" customFormat="false" ht="12.75" hidden="false" customHeight="true" outlineLevel="0" collapsed="false">
      <c r="A317" s="1952" t="n">
        <v>31</v>
      </c>
      <c r="B317" s="1953" t="s">
        <v>2297</v>
      </c>
      <c r="C317" s="1954"/>
      <c r="D317" s="1874" t="s">
        <v>2267</v>
      </c>
      <c r="E317" s="1955" t="n">
        <v>12</v>
      </c>
      <c r="F317" s="1955" t="n">
        <v>20</v>
      </c>
      <c r="G317" s="1955" t="n">
        <v>10</v>
      </c>
    </row>
    <row r="318" customFormat="false" ht="12.75" hidden="false" customHeight="true" outlineLevel="0" collapsed="false">
      <c r="A318" s="1956" t="n">
        <v>32</v>
      </c>
      <c r="B318" s="1965" t="s">
        <v>2298</v>
      </c>
      <c r="C318" s="1958"/>
      <c r="D318" s="1874" t="s">
        <v>2267</v>
      </c>
      <c r="E318" s="1966" t="n">
        <v>12</v>
      </c>
      <c r="F318" s="1966" t="n">
        <v>30</v>
      </c>
      <c r="G318" s="1966" t="n">
        <v>20</v>
      </c>
    </row>
    <row r="319" customFormat="false" ht="12.75" hidden="false" customHeight="true" outlineLevel="0" collapsed="false">
      <c r="A319" s="1952" t="n">
        <v>33</v>
      </c>
      <c r="B319" s="1957" t="s">
        <v>2299</v>
      </c>
      <c r="C319" s="1958"/>
      <c r="D319" s="1874" t="s">
        <v>2267</v>
      </c>
      <c r="E319" s="1955" t="n">
        <v>13</v>
      </c>
      <c r="F319" s="1955" t="n">
        <v>13</v>
      </c>
      <c r="G319" s="1955" t="n">
        <v>26</v>
      </c>
    </row>
    <row r="320" customFormat="false" ht="12.75" hidden="false" customHeight="true" outlineLevel="0" collapsed="false">
      <c r="A320" s="1956" t="n">
        <v>34</v>
      </c>
      <c r="B320" s="1963" t="s">
        <v>2300</v>
      </c>
      <c r="C320" s="1954"/>
      <c r="D320" s="1874" t="s">
        <v>2267</v>
      </c>
      <c r="E320" s="1955" t="n">
        <v>14</v>
      </c>
      <c r="F320" s="1955" t="n">
        <v>9</v>
      </c>
      <c r="G320" s="1955" t="n">
        <v>18</v>
      </c>
    </row>
    <row r="321" customFormat="false" ht="12.75" hidden="false" customHeight="true" outlineLevel="0" collapsed="false">
      <c r="A321" s="1952" t="n">
        <v>35</v>
      </c>
      <c r="B321" s="1957" t="s">
        <v>2301</v>
      </c>
      <c r="C321" s="1958"/>
      <c r="D321" s="1874" t="s">
        <v>2267</v>
      </c>
      <c r="E321" s="1955" t="n">
        <v>15</v>
      </c>
      <c r="F321" s="1955" t="n">
        <v>15</v>
      </c>
      <c r="G321" s="1955" t="n">
        <v>15</v>
      </c>
    </row>
    <row r="322" customFormat="false" ht="12.75" hidden="false" customHeight="true" outlineLevel="0" collapsed="false">
      <c r="A322" s="1956" t="n">
        <v>36</v>
      </c>
      <c r="B322" s="1965" t="s">
        <v>2302</v>
      </c>
      <c r="C322" s="1958"/>
      <c r="D322" s="1874" t="s">
        <v>2267</v>
      </c>
      <c r="E322" s="1966" t="n">
        <v>17</v>
      </c>
      <c r="F322" s="1966" t="n">
        <v>17</v>
      </c>
      <c r="G322" s="1966" t="n">
        <v>17</v>
      </c>
    </row>
    <row r="323" customFormat="false" ht="12.75" hidden="false" customHeight="true" outlineLevel="0" collapsed="false">
      <c r="A323" s="1952" t="n">
        <v>37</v>
      </c>
      <c r="B323" s="1963" t="s">
        <v>2303</v>
      </c>
      <c r="C323" s="1954"/>
      <c r="D323" s="1874" t="s">
        <v>2267</v>
      </c>
      <c r="E323" s="1955" t="n">
        <v>20</v>
      </c>
      <c r="F323" s="1955" t="n">
        <v>5</v>
      </c>
      <c r="G323" s="1955" t="n">
        <v>10</v>
      </c>
    </row>
    <row r="324" customFormat="false" ht="12.75" hidden="false" customHeight="true" outlineLevel="0" collapsed="false">
      <c r="A324" s="1956" t="n">
        <v>38</v>
      </c>
      <c r="B324" s="1962" t="s">
        <v>2304</v>
      </c>
      <c r="C324" s="1958"/>
      <c r="D324" s="1874" t="s">
        <v>2267</v>
      </c>
      <c r="E324" s="1955" t="n">
        <v>2.5</v>
      </c>
      <c r="F324" s="1955" t="n">
        <f aca="false">15/0.437/10</f>
        <v>3.4324942791762</v>
      </c>
      <c r="G324" s="1955" t="n">
        <f aca="false">20/0.83/10</f>
        <v>2.40963855421687</v>
      </c>
    </row>
    <row r="325" customFormat="false" ht="12.75" hidden="false" customHeight="true" outlineLevel="0" collapsed="false">
      <c r="A325" s="1952" t="n">
        <v>39</v>
      </c>
      <c r="B325" s="1962" t="s">
        <v>2305</v>
      </c>
      <c r="C325" s="1958"/>
      <c r="D325" s="1874" t="s">
        <v>2267</v>
      </c>
      <c r="E325" s="1955" t="s">
        <v>2306</v>
      </c>
      <c r="F325" s="1955" t="n">
        <v>4</v>
      </c>
      <c r="G325" s="1955" t="n">
        <v>15</v>
      </c>
    </row>
    <row r="326" customFormat="false" ht="12.75" hidden="false" customHeight="true" outlineLevel="0" collapsed="false">
      <c r="A326" s="1956" t="n">
        <v>40</v>
      </c>
      <c r="B326" s="1962" t="s">
        <v>2307</v>
      </c>
      <c r="C326" s="1960"/>
      <c r="D326" s="1874" t="s">
        <v>2267</v>
      </c>
      <c r="E326" s="1955" t="n">
        <v>17</v>
      </c>
      <c r="F326" s="1955" t="n">
        <v>9</v>
      </c>
      <c r="G326" s="1955" t="n">
        <v>8</v>
      </c>
    </row>
    <row r="327" customFormat="false" ht="12.75" hidden="false" customHeight="true" outlineLevel="0" collapsed="false">
      <c r="A327" s="1952" t="n">
        <v>41</v>
      </c>
      <c r="B327" s="1962" t="s">
        <v>2308</v>
      </c>
      <c r="C327" s="1960"/>
      <c r="D327" s="1874" t="s">
        <v>2267</v>
      </c>
      <c r="E327" s="1955" t="n">
        <v>11</v>
      </c>
      <c r="F327" s="1955" t="n">
        <v>22</v>
      </c>
      <c r="G327" s="1955" t="n">
        <v>9</v>
      </c>
    </row>
    <row r="328" customFormat="false" ht="12.75" hidden="false" customHeight="true" outlineLevel="0" collapsed="false">
      <c r="A328" s="1956" t="n">
        <v>42</v>
      </c>
      <c r="B328" s="1962" t="s">
        <v>2309</v>
      </c>
      <c r="C328" s="1958"/>
      <c r="D328" s="1874" t="s">
        <v>2267</v>
      </c>
      <c r="E328" s="1955" t="n">
        <v>2</v>
      </c>
      <c r="F328" s="1955" t="n">
        <f aca="false">10/0.437/10</f>
        <v>2.2883295194508</v>
      </c>
      <c r="G328" s="1955" t="n">
        <f aca="false">10/0.83/10</f>
        <v>1.20481927710843</v>
      </c>
    </row>
    <row r="329" customFormat="false" ht="12.75" hidden="false" customHeight="true" outlineLevel="0" collapsed="false">
      <c r="A329" s="1952" t="n">
        <v>43</v>
      </c>
      <c r="B329" s="1964" t="s">
        <v>2310</v>
      </c>
      <c r="C329" s="1960"/>
      <c r="D329" s="1874" t="s">
        <v>2267</v>
      </c>
      <c r="E329" s="1955" t="n">
        <v>33.5</v>
      </c>
      <c r="F329" s="1955" t="n">
        <v>0</v>
      </c>
      <c r="G329" s="1955" t="n">
        <v>0</v>
      </c>
    </row>
    <row r="330" customFormat="false" ht="12.75" hidden="false" customHeight="true" outlineLevel="0" collapsed="false">
      <c r="A330" s="1956" t="n">
        <v>44</v>
      </c>
      <c r="B330" s="1959" t="s">
        <v>2311</v>
      </c>
      <c r="C330" s="1954"/>
      <c r="D330" s="1874" t="s">
        <v>2267</v>
      </c>
      <c r="E330" s="1966" t="n">
        <v>33</v>
      </c>
      <c r="F330" s="1966" t="n">
        <v>0</v>
      </c>
      <c r="G330" s="1966" t="n">
        <v>0</v>
      </c>
    </row>
    <row r="331" customFormat="false" ht="12.75" hidden="false" customHeight="true" outlineLevel="0" collapsed="false">
      <c r="A331" s="1672" t="s">
        <v>1810</v>
      </c>
      <c r="B331" s="1671" t="s">
        <v>2262</v>
      </c>
      <c r="C331" s="1671"/>
      <c r="D331" s="1671" t="s">
        <v>1514</v>
      </c>
      <c r="E331" s="1671" t="s">
        <v>2312</v>
      </c>
      <c r="F331" s="1671"/>
      <c r="G331" s="1671"/>
    </row>
    <row r="332" customFormat="false" ht="15.75" hidden="false" customHeight="true" outlineLevel="0" collapsed="false">
      <c r="A332" s="1672"/>
      <c r="B332" s="1671"/>
      <c r="C332" s="1671"/>
      <c r="D332" s="1671"/>
      <c r="E332" s="1858" t="s">
        <v>395</v>
      </c>
      <c r="F332" s="1858" t="s">
        <v>2264</v>
      </c>
      <c r="G332" s="1858" t="s">
        <v>2265</v>
      </c>
    </row>
    <row r="333" customFormat="false" ht="12.75" hidden="false" customHeight="true" outlineLevel="0" collapsed="false">
      <c r="A333" s="1952" t="n">
        <v>45</v>
      </c>
      <c r="B333" s="1962" t="s">
        <v>2313</v>
      </c>
      <c r="C333" s="1958"/>
      <c r="D333" s="1874" t="s">
        <v>2267</v>
      </c>
      <c r="E333" s="1955" t="n">
        <v>1</v>
      </c>
      <c r="F333" s="1955" t="n">
        <f aca="false">3.5/0.437/10</f>
        <v>0.800915331807781</v>
      </c>
      <c r="G333" s="1955" t="n">
        <f aca="false">10/0.83/10</f>
        <v>1.20481927710843</v>
      </c>
    </row>
    <row r="334" customFormat="false" ht="12.75" hidden="false" customHeight="true" outlineLevel="0" collapsed="false">
      <c r="A334" s="1956" t="n">
        <v>46</v>
      </c>
      <c r="B334" s="1967" t="s">
        <v>2314</v>
      </c>
      <c r="C334" s="1968" t="s">
        <v>2315</v>
      </c>
      <c r="D334" s="1874" t="s">
        <v>2267</v>
      </c>
      <c r="E334" s="1955" t="n">
        <v>16</v>
      </c>
      <c r="F334" s="1955" t="n">
        <v>8</v>
      </c>
      <c r="G334" s="1955" t="n">
        <v>12</v>
      </c>
    </row>
    <row r="335" customFormat="false" ht="12.75" hidden="false" customHeight="true" outlineLevel="0" collapsed="false">
      <c r="A335" s="1952" t="n">
        <v>47</v>
      </c>
      <c r="B335" s="1962" t="s">
        <v>2316</v>
      </c>
      <c r="C335" s="1954"/>
      <c r="D335" s="1874" t="s">
        <v>2267</v>
      </c>
      <c r="E335" s="1955" t="n">
        <v>1.5</v>
      </c>
      <c r="F335" s="1955" t="n">
        <f aca="false">10/0.437/10</f>
        <v>2.2883295194508</v>
      </c>
      <c r="G335" s="1955" t="n">
        <f aca="false">18/0.83/10</f>
        <v>2.16867469879518</v>
      </c>
    </row>
    <row r="336" customFormat="false" ht="12.75" hidden="false" customHeight="true" outlineLevel="0" collapsed="false">
      <c r="A336" s="1956" t="n">
        <v>48</v>
      </c>
      <c r="B336" s="1962" t="s">
        <v>2317</v>
      </c>
      <c r="C336" s="1960"/>
      <c r="D336" s="1874" t="s">
        <v>2267</v>
      </c>
      <c r="E336" s="1955" t="n">
        <v>0.8</v>
      </c>
      <c r="F336" s="1955" t="n">
        <f aca="false">5/0.437/10</f>
        <v>1.1441647597254</v>
      </c>
      <c r="G336" s="1955" t="n">
        <f aca="false">8/0.83/10</f>
        <v>0.963855421686747</v>
      </c>
    </row>
    <row r="337" customFormat="false" ht="12.75" hidden="false" customHeight="true" outlineLevel="0" collapsed="false">
      <c r="A337" s="1952" t="n">
        <v>49</v>
      </c>
      <c r="B337" s="1962" t="s">
        <v>2318</v>
      </c>
      <c r="C337" s="1960"/>
      <c r="D337" s="1874" t="s">
        <v>2267</v>
      </c>
      <c r="E337" s="1955" t="n">
        <v>0.13</v>
      </c>
      <c r="F337" s="1955" t="n">
        <f aca="false">0.2/0.437/10</f>
        <v>0.045766590389016</v>
      </c>
      <c r="G337" s="1955" t="n">
        <f aca="false">0.4/0.83/10</f>
        <v>0.0481927710843374</v>
      </c>
    </row>
    <row r="338" customFormat="false" ht="12.75" hidden="false" customHeight="true" outlineLevel="0" collapsed="false">
      <c r="A338" s="1956" t="n">
        <v>50</v>
      </c>
      <c r="B338" s="1962" t="s">
        <v>2319</v>
      </c>
      <c r="C338" s="1954"/>
      <c r="D338" s="1874" t="s">
        <v>2267</v>
      </c>
      <c r="E338" s="1955" t="n">
        <v>2.5</v>
      </c>
      <c r="F338" s="1955" t="n">
        <f aca="false">30/0.437/10</f>
        <v>6.8649885583524</v>
      </c>
      <c r="G338" s="1955" t="n">
        <f aca="false">30/0.83/10</f>
        <v>3.6144578313253</v>
      </c>
    </row>
    <row r="339" customFormat="false" ht="12.75" hidden="false" customHeight="true" outlineLevel="0" collapsed="false">
      <c r="A339" s="1952" t="n">
        <v>51</v>
      </c>
      <c r="B339" s="1962" t="s">
        <v>2320</v>
      </c>
      <c r="C339" s="1958"/>
      <c r="D339" s="1874" t="s">
        <v>2267</v>
      </c>
      <c r="E339" s="1955" t="n">
        <v>1.5</v>
      </c>
      <c r="F339" s="1955" t="n">
        <f aca="false">5/0.437/10</f>
        <v>1.1441647597254</v>
      </c>
      <c r="G339" s="1955" t="n">
        <f aca="false">13/0.83/10</f>
        <v>1.56626506024096</v>
      </c>
    </row>
    <row r="340" customFormat="false" ht="12.75" hidden="false" customHeight="true" outlineLevel="0" collapsed="false">
      <c r="A340" s="1956" t="n">
        <v>52</v>
      </c>
      <c r="B340" s="1953" t="s">
        <v>2321</v>
      </c>
      <c r="C340" s="1954"/>
      <c r="D340" s="1874" t="s">
        <v>2267</v>
      </c>
      <c r="E340" s="1955" t="n">
        <v>0</v>
      </c>
      <c r="F340" s="1955" t="n">
        <v>0</v>
      </c>
      <c r="G340" s="1955" t="n">
        <v>60</v>
      </c>
    </row>
    <row r="341" customFormat="false" ht="12.75" hidden="false" customHeight="true" outlineLevel="0" collapsed="false">
      <c r="A341" s="1952" t="n">
        <v>53</v>
      </c>
      <c r="B341" s="1959" t="s">
        <v>2322</v>
      </c>
      <c r="C341" s="1960"/>
      <c r="D341" s="1874" t="s">
        <v>2267</v>
      </c>
      <c r="E341" s="1961" t="n">
        <v>14</v>
      </c>
      <c r="F341" s="1961" t="n">
        <v>0</v>
      </c>
      <c r="G341" s="1961" t="n">
        <v>0</v>
      </c>
    </row>
    <row r="342" customFormat="false" ht="12.75" hidden="false" customHeight="true" outlineLevel="0" collapsed="false">
      <c r="A342" s="1956" t="n">
        <v>54</v>
      </c>
      <c r="B342" s="1962" t="s">
        <v>2323</v>
      </c>
      <c r="C342" s="1960"/>
      <c r="D342" s="1874" t="s">
        <v>2267</v>
      </c>
      <c r="E342" s="1955" t="n">
        <v>0.86</v>
      </c>
      <c r="F342" s="1955" t="n">
        <f aca="false">4.1/0.437/10</f>
        <v>0.938215102974828</v>
      </c>
      <c r="G342" s="1955" t="n">
        <f aca="false">6.8/0.83/10</f>
        <v>0.819277108433735</v>
      </c>
    </row>
    <row r="343" customFormat="false" ht="12.75" hidden="false" customHeight="true" outlineLevel="0" collapsed="false">
      <c r="A343" s="1952" t="n">
        <v>55</v>
      </c>
      <c r="B343" s="1962" t="s">
        <v>2324</v>
      </c>
      <c r="C343" s="1960"/>
      <c r="D343" s="1874" t="s">
        <v>2267</v>
      </c>
      <c r="E343" s="1955" t="n">
        <v>0.4</v>
      </c>
      <c r="F343" s="1955" t="n">
        <f aca="false">3/0.437/10</f>
        <v>0.68649885583524</v>
      </c>
      <c r="G343" s="1955" t="n">
        <f aca="false">6/0.83/10</f>
        <v>0.72289156626506</v>
      </c>
    </row>
    <row r="344" customFormat="false" ht="12.75" hidden="false" customHeight="true" outlineLevel="0" collapsed="false">
      <c r="A344" s="1956" t="n">
        <v>56</v>
      </c>
      <c r="B344" s="1962" t="s">
        <v>2325</v>
      </c>
      <c r="C344" s="1960"/>
      <c r="D344" s="1874" t="s">
        <v>2267</v>
      </c>
      <c r="E344" s="1955" t="n">
        <v>0.36</v>
      </c>
      <c r="F344" s="1955" t="n">
        <f aca="false">1.3/0.437/10</f>
        <v>0.297482837528604</v>
      </c>
      <c r="G344" s="1955" t="n">
        <f aca="false">3.6/0.83/10</f>
        <v>0.433734939759036</v>
      </c>
    </row>
    <row r="345" customFormat="false" ht="12.75" hidden="false" customHeight="true" outlineLevel="0" collapsed="false">
      <c r="A345" s="1952" t="n">
        <v>57</v>
      </c>
      <c r="B345" s="1962" t="s">
        <v>2326</v>
      </c>
      <c r="C345" s="1960"/>
      <c r="D345" s="1874" t="s">
        <v>2267</v>
      </c>
      <c r="E345" s="1955" t="n">
        <v>0.32</v>
      </c>
      <c r="F345" s="1955" t="n">
        <f aca="false">0.8/0.437/10</f>
        <v>0.183066361556064</v>
      </c>
      <c r="G345" s="1955" t="n">
        <f aca="false">3.9/0.83/10</f>
        <v>0.469879518072289</v>
      </c>
    </row>
    <row r="346" customFormat="false" ht="12.75" hidden="false" customHeight="true" outlineLevel="0" collapsed="false">
      <c r="A346" s="1956" t="n">
        <v>58</v>
      </c>
      <c r="B346" s="1962" t="s">
        <v>2327</v>
      </c>
      <c r="C346" s="1954"/>
      <c r="D346" s="1874" t="s">
        <v>2267</v>
      </c>
      <c r="E346" s="1969" t="n">
        <v>1.8</v>
      </c>
      <c r="F346" s="1955" t="n">
        <f aca="false">7/0.437/10</f>
        <v>1.60183066361556</v>
      </c>
      <c r="G346" s="1955" t="n">
        <f aca="false">15/0.83/10</f>
        <v>1.80722891566265</v>
      </c>
    </row>
    <row r="347" customFormat="false" ht="12.75" hidden="false" customHeight="true" outlineLevel="0" collapsed="false">
      <c r="A347" s="1952" t="n">
        <v>59</v>
      </c>
      <c r="B347" s="1962" t="s">
        <v>2328</v>
      </c>
      <c r="C347" s="1960"/>
      <c r="D347" s="1874" t="s">
        <v>2267</v>
      </c>
      <c r="E347" s="1955" t="n">
        <v>19</v>
      </c>
      <c r="F347" s="1955" t="n">
        <v>7</v>
      </c>
      <c r="G347" s="1955" t="n">
        <v>10</v>
      </c>
    </row>
    <row r="348" customFormat="false" ht="12.75" hidden="false" customHeight="true" outlineLevel="0" collapsed="false">
      <c r="A348" s="1956" t="n">
        <v>60</v>
      </c>
      <c r="B348" s="1970" t="s">
        <v>2329</v>
      </c>
      <c r="C348" s="1958"/>
      <c r="D348" s="1874" t="s">
        <v>2267</v>
      </c>
      <c r="E348" s="1966" t="n">
        <v>15</v>
      </c>
      <c r="F348" s="1966" t="n">
        <v>9</v>
      </c>
      <c r="G348" s="1966" t="n">
        <v>15</v>
      </c>
    </row>
    <row r="349" customFormat="false" ht="12.75" hidden="false" customHeight="true" outlineLevel="0" collapsed="false">
      <c r="A349" s="1952" t="n">
        <v>61</v>
      </c>
      <c r="B349" s="1970" t="s">
        <v>2329</v>
      </c>
      <c r="C349" s="1958"/>
      <c r="D349" s="1874" t="s">
        <v>2267</v>
      </c>
      <c r="E349" s="1955" t="n">
        <v>20</v>
      </c>
      <c r="F349" s="1955" t="n">
        <v>5</v>
      </c>
      <c r="G349" s="1955" t="n">
        <v>8</v>
      </c>
    </row>
    <row r="350" customFormat="false" ht="12.75" hidden="false" customHeight="true" outlineLevel="0" collapsed="false">
      <c r="A350" s="1956" t="n">
        <v>62</v>
      </c>
      <c r="B350" s="1970" t="s">
        <v>2329</v>
      </c>
      <c r="C350" s="1958"/>
      <c r="D350" s="1874" t="s">
        <v>2267</v>
      </c>
      <c r="E350" s="1955" t="n">
        <v>6</v>
      </c>
      <c r="F350" s="1955" t="n">
        <v>5</v>
      </c>
      <c r="G350" s="1955" t="n">
        <v>10</v>
      </c>
    </row>
    <row r="351" customFormat="false" ht="12.75" hidden="false" customHeight="true" outlineLevel="0" collapsed="false">
      <c r="A351" s="1952" t="n">
        <v>63</v>
      </c>
      <c r="B351" s="1963" t="s">
        <v>2330</v>
      </c>
      <c r="C351" s="1954"/>
      <c r="D351" s="1874" t="s">
        <v>2267</v>
      </c>
      <c r="E351" s="1955" t="n">
        <v>16</v>
      </c>
      <c r="F351" s="1955" t="n">
        <v>8</v>
      </c>
      <c r="G351" s="1955" t="n">
        <v>10</v>
      </c>
    </row>
    <row r="352" customFormat="false" ht="12.75" hidden="false" customHeight="true" outlineLevel="0" collapsed="false">
      <c r="A352" s="1956" t="n">
        <v>64</v>
      </c>
      <c r="B352" s="1959" t="s">
        <v>2331</v>
      </c>
      <c r="C352" s="1960"/>
      <c r="D352" s="1874" t="s">
        <v>2267</v>
      </c>
      <c r="E352" s="1961" t="n">
        <v>15</v>
      </c>
      <c r="F352" s="1961" t="n">
        <v>8</v>
      </c>
      <c r="G352" s="1961" t="n">
        <v>12</v>
      </c>
    </row>
    <row r="353" customFormat="false" ht="12.75" hidden="false" customHeight="true" outlineLevel="0" collapsed="false">
      <c r="A353" s="1952" t="n">
        <v>65</v>
      </c>
      <c r="B353" s="1962" t="s">
        <v>2332</v>
      </c>
      <c r="C353" s="1958"/>
      <c r="D353" s="1874" t="s">
        <v>2267</v>
      </c>
      <c r="E353" s="1955" t="n">
        <v>11</v>
      </c>
      <c r="F353" s="1955" t="n">
        <v>4</v>
      </c>
      <c r="G353" s="1955" t="n">
        <v>24</v>
      </c>
    </row>
    <row r="354" customFormat="false" ht="12.75" hidden="false" customHeight="true" outlineLevel="0" collapsed="false">
      <c r="A354" s="1956" t="n">
        <v>66</v>
      </c>
      <c r="B354" s="1962" t="s">
        <v>2333</v>
      </c>
      <c r="C354" s="1960"/>
      <c r="D354" s="1874" t="s">
        <v>2267</v>
      </c>
      <c r="E354" s="1955" t="n">
        <v>0.45</v>
      </c>
      <c r="F354" s="1955" t="n">
        <f aca="false">1.1/0.437/10</f>
        <v>0.251716247139588</v>
      </c>
      <c r="G354" s="1955" t="n">
        <f aca="false">2.8/0.83/10</f>
        <v>0.337349397590361</v>
      </c>
    </row>
    <row r="355" customFormat="false" ht="12.75" hidden="false" customHeight="true" outlineLevel="0" collapsed="false">
      <c r="A355" s="1971" t="n">
        <v>67</v>
      </c>
      <c r="B355" s="1962" t="s">
        <v>2334</v>
      </c>
      <c r="C355" s="1960"/>
      <c r="D355" s="1874" t="s">
        <v>2267</v>
      </c>
      <c r="E355" s="1955" t="n">
        <v>2.5</v>
      </c>
      <c r="F355" s="1955" t="n">
        <f aca="false">18/0.437/10</f>
        <v>4.11899313501144</v>
      </c>
      <c r="G355" s="1955" t="n">
        <f aca="false">30/0.83/10</f>
        <v>3.6144578313253</v>
      </c>
    </row>
    <row r="356" customFormat="false" ht="12.75" hidden="false" customHeight="true" outlineLevel="0" collapsed="false">
      <c r="A356" s="1956" t="n">
        <v>68</v>
      </c>
      <c r="B356" s="1959" t="s">
        <v>2335</v>
      </c>
      <c r="C356" s="1960"/>
      <c r="D356" s="1874" t="s">
        <v>2267</v>
      </c>
      <c r="E356" s="1961" t="s">
        <v>2336</v>
      </c>
      <c r="F356" s="1961" t="n">
        <v>3</v>
      </c>
      <c r="G356" s="1961" t="n">
        <v>20</v>
      </c>
    </row>
    <row r="357" customFormat="false" ht="12.75" hidden="false" customHeight="true" outlineLevel="0" collapsed="false">
      <c r="A357" s="1952" t="n">
        <v>69</v>
      </c>
      <c r="B357" s="1953" t="s">
        <v>2337</v>
      </c>
      <c r="C357" s="1954"/>
      <c r="D357" s="1874" t="s">
        <v>2267</v>
      </c>
      <c r="E357" s="1955" t="n">
        <v>3</v>
      </c>
      <c r="F357" s="1955" t="n">
        <v>2</v>
      </c>
      <c r="G357" s="1955" t="n">
        <v>2</v>
      </c>
    </row>
    <row r="358" customFormat="false" ht="12.75" hidden="false" customHeight="true" outlineLevel="0" collapsed="false">
      <c r="A358" s="1956" t="n">
        <v>70</v>
      </c>
      <c r="B358" s="1962" t="s">
        <v>2338</v>
      </c>
      <c r="C358" s="1958"/>
      <c r="D358" s="1874" t="s">
        <v>2339</v>
      </c>
      <c r="E358" s="1955" t="n">
        <v>9</v>
      </c>
      <c r="F358" s="1955" t="n">
        <v>6</v>
      </c>
      <c r="G358" s="1955" t="n">
        <v>21</v>
      </c>
    </row>
    <row r="359" customFormat="false" ht="12.75" hidden="false" customHeight="true" outlineLevel="0" collapsed="false">
      <c r="A359" s="1952" t="n">
        <v>71</v>
      </c>
      <c r="B359" s="1962" t="s">
        <v>2340</v>
      </c>
      <c r="C359" s="1958"/>
      <c r="D359" s="1874" t="s">
        <v>2339</v>
      </c>
      <c r="E359" s="1955" t="n">
        <v>3</v>
      </c>
      <c r="F359" s="1955" t="n">
        <v>6</v>
      </c>
      <c r="G359" s="1955" t="n">
        <v>14</v>
      </c>
    </row>
    <row r="360" customFormat="false" ht="12.75" hidden="false" customHeight="true" outlineLevel="0" collapsed="false">
      <c r="A360" s="1956" t="n">
        <v>72</v>
      </c>
      <c r="B360" s="1970" t="s">
        <v>2341</v>
      </c>
      <c r="C360" s="1958"/>
      <c r="D360" s="1874" t="s">
        <v>2267</v>
      </c>
      <c r="E360" s="1972" t="s">
        <v>2342</v>
      </c>
      <c r="F360" s="1972" t="n">
        <v>6</v>
      </c>
      <c r="G360" s="1972" t="n">
        <v>10</v>
      </c>
    </row>
    <row r="361" customFormat="false" ht="12.75" hidden="false" customHeight="true" outlineLevel="0" collapsed="false">
      <c r="A361" s="1952" t="n">
        <v>73</v>
      </c>
      <c r="B361" s="1962" t="s">
        <v>2343</v>
      </c>
      <c r="C361" s="1960"/>
      <c r="D361" s="1874" t="s">
        <v>2267</v>
      </c>
      <c r="E361" s="1955" t="n">
        <v>1.5</v>
      </c>
      <c r="F361" s="1955" t="n">
        <f aca="false">3/0.437/10</f>
        <v>0.68649885583524</v>
      </c>
      <c r="G361" s="1955" t="n">
        <f aca="false">24/0.83/10</f>
        <v>2.89156626506024</v>
      </c>
    </row>
    <row r="362" customFormat="false" ht="12.75" hidden="false" customHeight="true" outlineLevel="0" collapsed="false">
      <c r="A362" s="1956" t="n">
        <v>74</v>
      </c>
      <c r="B362" s="1962" t="s">
        <v>2344</v>
      </c>
      <c r="C362" s="1960"/>
      <c r="D362" s="1874" t="s">
        <v>2267</v>
      </c>
      <c r="E362" s="1955" t="n">
        <v>0.6</v>
      </c>
      <c r="F362" s="1955" t="n">
        <f aca="false">1/0.437/10</f>
        <v>0.22883295194508</v>
      </c>
      <c r="G362" s="1955" t="n">
        <f aca="false">4/0.83/10</f>
        <v>0.481927710843373</v>
      </c>
    </row>
    <row r="363" customFormat="false" ht="12.75" hidden="false" customHeight="true" outlineLevel="0" collapsed="false">
      <c r="A363" s="1952" t="n">
        <v>75</v>
      </c>
      <c r="B363" s="1962" t="s">
        <v>2345</v>
      </c>
      <c r="C363" s="1960"/>
      <c r="D363" s="1874" t="s">
        <v>2267</v>
      </c>
      <c r="E363" s="1955" t="n">
        <v>1.6</v>
      </c>
      <c r="F363" s="1955" t="n">
        <f aca="false">5/0.437/10</f>
        <v>1.1441647597254</v>
      </c>
      <c r="G363" s="1955" t="n">
        <f aca="false">13/0.83/10</f>
        <v>1.56626506024096</v>
      </c>
    </row>
    <row r="364" customFormat="false" ht="12.75" hidden="false" customHeight="true" outlineLevel="0" collapsed="false">
      <c r="A364" s="1956" t="n">
        <v>76</v>
      </c>
      <c r="B364" s="1962" t="s">
        <v>2346</v>
      </c>
      <c r="C364" s="1958"/>
      <c r="D364" s="1874" t="s">
        <v>2267</v>
      </c>
      <c r="E364" s="1955" t="n">
        <v>2</v>
      </c>
      <c r="F364" s="1955" t="n">
        <f aca="false">10/0.437/10</f>
        <v>2.2883295194508</v>
      </c>
      <c r="G364" s="1955" t="n">
        <f aca="false">10/0.83/10</f>
        <v>1.20481927710843</v>
      </c>
    </row>
    <row r="365" customFormat="false" ht="12.75" hidden="false" customHeight="true" outlineLevel="0" collapsed="false">
      <c r="A365" s="1952" t="n">
        <v>77</v>
      </c>
      <c r="B365" s="1962" t="s">
        <v>2347</v>
      </c>
      <c r="C365" s="1958"/>
      <c r="D365" s="1874" t="s">
        <v>2267</v>
      </c>
      <c r="E365" s="1955" t="n">
        <v>1.2</v>
      </c>
      <c r="F365" s="1955" t="n">
        <f aca="false">8/0.437/10</f>
        <v>1.83066361556064</v>
      </c>
      <c r="G365" s="1955" t="n">
        <f aca="false">8/0.83/10</f>
        <v>0.963855421686747</v>
      </c>
    </row>
    <row r="366" customFormat="false" ht="12.75" hidden="false" customHeight="true" outlineLevel="0" collapsed="false">
      <c r="A366" s="1956" t="n">
        <v>78</v>
      </c>
      <c r="B366" s="1962" t="s">
        <v>2348</v>
      </c>
      <c r="C366" s="1958"/>
      <c r="D366" s="1874" t="s">
        <v>2267</v>
      </c>
      <c r="E366" s="1955" t="n">
        <v>1.35</v>
      </c>
      <c r="F366" s="1955" t="n">
        <f aca="false">8/0.437/10</f>
        <v>1.83066361556064</v>
      </c>
      <c r="G366" s="1955" t="n">
        <f aca="false">8/0.83/10</f>
        <v>0.963855421686747</v>
      </c>
    </row>
    <row r="367" customFormat="false" ht="12.75" hidden="false" customHeight="true" outlineLevel="0" collapsed="false">
      <c r="A367" s="1952" t="n">
        <v>79</v>
      </c>
      <c r="B367" s="1962" t="s">
        <v>2349</v>
      </c>
      <c r="C367" s="1958"/>
      <c r="D367" s="1874" t="s">
        <v>2267</v>
      </c>
      <c r="E367" s="1955" t="n">
        <v>1.2</v>
      </c>
      <c r="F367" s="1955" t="n">
        <f aca="false">4/0.437/10</f>
        <v>0.91533180778032</v>
      </c>
      <c r="G367" s="1955" t="n">
        <f aca="false">12/0.83/10</f>
        <v>1.44578313253012</v>
      </c>
    </row>
    <row r="368" customFormat="false" ht="12.75" hidden="false" customHeight="true" outlineLevel="0" collapsed="false">
      <c r="A368" s="1956" t="n">
        <v>80</v>
      </c>
      <c r="B368" s="1962" t="s">
        <v>2350</v>
      </c>
      <c r="C368" s="1958"/>
      <c r="D368" s="1874" t="s">
        <v>2267</v>
      </c>
      <c r="E368" s="1955" t="n">
        <v>2</v>
      </c>
      <c r="F368" s="1955" t="n">
        <f aca="false">5/0.437/10</f>
        <v>1.1441647597254</v>
      </c>
      <c r="G368" s="1955" t="n">
        <f aca="false">5/0.83/10</f>
        <v>0.602409638554217</v>
      </c>
    </row>
    <row r="369" customFormat="false" ht="12.75" hidden="false" customHeight="true" outlineLevel="0" collapsed="false">
      <c r="A369" s="1952" t="n">
        <v>81</v>
      </c>
      <c r="B369" s="1959" t="s">
        <v>2351</v>
      </c>
      <c r="C369" s="1954"/>
      <c r="D369" s="1874" t="s">
        <v>2267</v>
      </c>
      <c r="E369" s="1966" t="n">
        <v>12</v>
      </c>
      <c r="F369" s="1966" t="n">
        <v>6</v>
      </c>
      <c r="G369" s="1966" t="n">
        <v>26</v>
      </c>
    </row>
    <row r="370" customFormat="false" ht="12.75" hidden="false" customHeight="true" outlineLevel="0" collapsed="false">
      <c r="A370" s="1956" t="n">
        <v>82</v>
      </c>
      <c r="B370" s="1953" t="s">
        <v>2352</v>
      </c>
      <c r="C370" s="1954"/>
      <c r="D370" s="1874" t="s">
        <v>2267</v>
      </c>
      <c r="E370" s="1955" t="n">
        <v>82</v>
      </c>
      <c r="F370" s="1955" t="n">
        <v>0</v>
      </c>
      <c r="G370" s="1955" t="n">
        <v>0</v>
      </c>
    </row>
    <row r="371" customFormat="false" ht="12.75" hidden="false" customHeight="true" outlineLevel="0" collapsed="false">
      <c r="A371" s="1952" t="n">
        <v>83</v>
      </c>
      <c r="B371" s="1964" t="s">
        <v>2353</v>
      </c>
      <c r="C371" s="1960"/>
      <c r="D371" s="1874" t="s">
        <v>2267</v>
      </c>
      <c r="E371" s="1961" t="n">
        <v>15</v>
      </c>
      <c r="F371" s="1961" t="n">
        <v>0</v>
      </c>
      <c r="G371" s="1961" t="n">
        <v>0</v>
      </c>
    </row>
    <row r="372" customFormat="false" ht="12.75" hidden="false" customHeight="true" outlineLevel="0" collapsed="false">
      <c r="A372" s="1956" t="n">
        <v>84</v>
      </c>
      <c r="B372" s="1957" t="s">
        <v>2354</v>
      </c>
      <c r="C372" s="1958"/>
      <c r="D372" s="1874" t="s">
        <v>2267</v>
      </c>
      <c r="E372" s="1955" t="n">
        <v>13</v>
      </c>
      <c r="F372" s="1955" t="n">
        <v>0</v>
      </c>
      <c r="G372" s="1955" t="n">
        <v>46</v>
      </c>
    </row>
    <row r="373" customFormat="false" ht="12.75" hidden="false" customHeight="true" outlineLevel="0" collapsed="false">
      <c r="A373" s="1956" t="n">
        <v>85</v>
      </c>
      <c r="B373" s="1963" t="s">
        <v>2355</v>
      </c>
      <c r="C373" s="1954"/>
      <c r="D373" s="1874" t="s">
        <v>2267</v>
      </c>
      <c r="E373" s="1955" t="n">
        <v>12</v>
      </c>
      <c r="F373" s="1955" t="n">
        <v>12</v>
      </c>
      <c r="G373" s="1955" t="n">
        <v>17</v>
      </c>
    </row>
    <row r="374" customFormat="false" ht="12.75" hidden="false" customHeight="true" outlineLevel="0" collapsed="false">
      <c r="A374" s="1956" t="n">
        <v>86</v>
      </c>
      <c r="B374" s="1963" t="s">
        <v>2356</v>
      </c>
      <c r="C374" s="1954"/>
      <c r="D374" s="1874" t="s">
        <v>2267</v>
      </c>
      <c r="E374" s="1955" t="n">
        <v>15</v>
      </c>
      <c r="F374" s="1955" t="n">
        <v>5</v>
      </c>
      <c r="G374" s="1955" t="n">
        <v>20</v>
      </c>
    </row>
    <row r="375" customFormat="false" ht="12.75" hidden="false" customHeight="true" outlineLevel="0" collapsed="false">
      <c r="A375" s="1956" t="n">
        <v>87</v>
      </c>
      <c r="B375" s="1957" t="s">
        <v>2357</v>
      </c>
      <c r="C375" s="1958"/>
      <c r="D375" s="1874" t="s">
        <v>2267</v>
      </c>
      <c r="E375" s="1955" t="n">
        <v>30</v>
      </c>
      <c r="F375" s="1955" t="n">
        <v>0</v>
      </c>
      <c r="G375" s="1955" t="n">
        <v>0</v>
      </c>
    </row>
    <row r="376" customFormat="false" ht="12.75" hidden="false" customHeight="true" outlineLevel="0" collapsed="false">
      <c r="A376" s="1956" t="n">
        <v>88</v>
      </c>
      <c r="B376" s="1962" t="s">
        <v>2358</v>
      </c>
      <c r="C376" s="1960"/>
      <c r="D376" s="1874" t="s">
        <v>2267</v>
      </c>
      <c r="E376" s="1955" t="n">
        <v>16</v>
      </c>
      <c r="F376" s="1955" t="n">
        <v>10</v>
      </c>
      <c r="G376" s="1955" t="n">
        <v>10</v>
      </c>
    </row>
    <row r="377" customFormat="false" ht="12.75" hidden="false" customHeight="true" outlineLevel="0" collapsed="false">
      <c r="A377" s="1956" t="n">
        <v>89</v>
      </c>
      <c r="B377" s="1962" t="s">
        <v>2359</v>
      </c>
      <c r="C377" s="1958"/>
      <c r="D377" s="1874" t="s">
        <v>2267</v>
      </c>
      <c r="E377" s="1955" t="n">
        <v>2.4</v>
      </c>
      <c r="F377" s="1955" t="n">
        <f aca="false">20/0.437/10</f>
        <v>4.5766590389016</v>
      </c>
      <c r="G377" s="1955" t="n">
        <f aca="false">18/0.83/10</f>
        <v>2.16867469879518</v>
      </c>
    </row>
    <row r="378" customFormat="false" ht="12.75" hidden="false" customHeight="true" outlineLevel="0" collapsed="false">
      <c r="A378" s="1956" t="n">
        <v>90</v>
      </c>
      <c r="B378" s="1963" t="s">
        <v>2360</v>
      </c>
      <c r="C378" s="1954"/>
      <c r="D378" s="1874" t="s">
        <v>2267</v>
      </c>
      <c r="E378" s="1955" t="n">
        <v>14</v>
      </c>
      <c r="F378" s="1955" t="n">
        <v>14</v>
      </c>
      <c r="G378" s="1955" t="n">
        <v>14</v>
      </c>
    </row>
    <row r="379" customFormat="false" ht="12.75" hidden="false" customHeight="true" outlineLevel="0" collapsed="false">
      <c r="A379" s="1956" t="n">
        <v>91</v>
      </c>
      <c r="B379" s="1962" t="s">
        <v>2361</v>
      </c>
      <c r="C379" s="1958"/>
      <c r="D379" s="1874" t="s">
        <v>2267</v>
      </c>
      <c r="E379" s="1955" t="n">
        <v>1.6</v>
      </c>
      <c r="F379" s="1955" t="n">
        <f aca="false">1/0.437/10</f>
        <v>0.22883295194508</v>
      </c>
      <c r="G379" s="1955" t="n">
        <f aca="false">7.5/0.83/10</f>
        <v>0.903614457831325</v>
      </c>
    </row>
    <row r="380" customFormat="false" ht="12.75" hidden="false" customHeight="true" outlineLevel="0" collapsed="false">
      <c r="A380" s="1956" t="n">
        <v>92</v>
      </c>
      <c r="B380" s="1959" t="s">
        <v>2362</v>
      </c>
      <c r="C380" s="1960"/>
      <c r="D380" s="1874" t="s">
        <v>2267</v>
      </c>
      <c r="E380" s="1961" t="n">
        <v>0</v>
      </c>
      <c r="F380" s="1961" t="n">
        <v>0</v>
      </c>
      <c r="G380" s="1961" t="n">
        <v>18</v>
      </c>
    </row>
    <row r="381" customFormat="false" ht="12.75" hidden="false" customHeight="true" outlineLevel="0" collapsed="false">
      <c r="A381" s="1956" t="n">
        <v>93</v>
      </c>
      <c r="B381" s="1964" t="s">
        <v>2363</v>
      </c>
      <c r="C381" s="1960"/>
      <c r="D381" s="1874" t="s">
        <v>2267</v>
      </c>
      <c r="E381" s="1961" t="n">
        <v>0</v>
      </c>
      <c r="F381" s="1961" t="n">
        <v>0</v>
      </c>
      <c r="G381" s="1961" t="n">
        <v>30</v>
      </c>
    </row>
    <row r="382" customFormat="false" ht="12.75" hidden="false" customHeight="true" outlineLevel="0" collapsed="false">
      <c r="A382" s="1672" t="s">
        <v>1810</v>
      </c>
      <c r="B382" s="1671" t="s">
        <v>2262</v>
      </c>
      <c r="C382" s="1671"/>
      <c r="D382" s="1671" t="s">
        <v>1514</v>
      </c>
      <c r="E382" s="1671" t="s">
        <v>2312</v>
      </c>
      <c r="F382" s="1671"/>
      <c r="G382" s="1671"/>
    </row>
    <row r="383" customFormat="false" ht="15.75" hidden="false" customHeight="true" outlineLevel="0" collapsed="false">
      <c r="A383" s="1672"/>
      <c r="B383" s="1671"/>
      <c r="C383" s="1671"/>
      <c r="D383" s="1671"/>
      <c r="E383" s="1858" t="s">
        <v>395</v>
      </c>
      <c r="F383" s="1858" t="s">
        <v>2264</v>
      </c>
      <c r="G383" s="1858" t="s">
        <v>2265</v>
      </c>
    </row>
    <row r="384" customFormat="false" ht="12.75" hidden="false" customHeight="true" outlineLevel="0" collapsed="false">
      <c r="A384" s="1956" t="n">
        <v>94</v>
      </c>
      <c r="B384" s="1957" t="s">
        <v>2364</v>
      </c>
      <c r="C384" s="1958"/>
      <c r="D384" s="1874" t="s">
        <v>2267</v>
      </c>
      <c r="E384" s="1955" t="n">
        <v>46</v>
      </c>
      <c r="F384" s="1955" t="n">
        <v>0</v>
      </c>
      <c r="G384" s="1955" t="n">
        <v>0</v>
      </c>
    </row>
    <row r="385" customFormat="false" ht="12.75" hidden="false" customHeight="true" outlineLevel="0" collapsed="false">
      <c r="A385" s="1956" t="n">
        <v>95</v>
      </c>
      <c r="B385" s="1963" t="s">
        <v>2365</v>
      </c>
      <c r="C385" s="1954"/>
      <c r="D385" s="1874" t="s">
        <v>2267</v>
      </c>
      <c r="E385" s="1955" t="n">
        <v>3</v>
      </c>
      <c r="F385" s="1955" t="n">
        <v>6</v>
      </c>
      <c r="G385" s="1955" t="n">
        <v>16</v>
      </c>
    </row>
    <row r="386" customFormat="false" ht="12.75" hidden="false" customHeight="true" outlineLevel="0" collapsed="false">
      <c r="A386" s="1956" t="n">
        <v>96</v>
      </c>
      <c r="B386" s="1953" t="s">
        <v>2366</v>
      </c>
      <c r="C386" s="1958"/>
      <c r="D386" s="1874" t="s">
        <v>2267</v>
      </c>
      <c r="E386" s="1966" t="n">
        <v>0</v>
      </c>
      <c r="F386" s="1966" t="n">
        <v>18</v>
      </c>
      <c r="G386" s="1966" t="n">
        <v>10</v>
      </c>
    </row>
    <row r="387" customFormat="false" ht="12.75" hidden="false" customHeight="true" outlineLevel="0" collapsed="false">
      <c r="A387" s="1956" t="n">
        <v>97</v>
      </c>
      <c r="B387" s="1963" t="s">
        <v>2367</v>
      </c>
      <c r="C387" s="1954"/>
      <c r="D387" s="1874" t="s">
        <v>2267</v>
      </c>
      <c r="E387" s="1955" t="n">
        <v>0</v>
      </c>
      <c r="F387" s="1955" t="n">
        <v>27</v>
      </c>
      <c r="G387" s="1955" t="n">
        <v>0</v>
      </c>
    </row>
    <row r="388" customFormat="false" ht="12.75" hidden="false" customHeight="true" outlineLevel="0" collapsed="false">
      <c r="A388" s="1956" t="n">
        <v>98</v>
      </c>
      <c r="B388" s="1964" t="s">
        <v>2368</v>
      </c>
      <c r="C388" s="1960"/>
      <c r="D388" s="1874" t="s">
        <v>2267</v>
      </c>
      <c r="E388" s="1961" t="n">
        <v>18</v>
      </c>
      <c r="F388" s="1961" t="n">
        <v>46</v>
      </c>
      <c r="G388" s="1961" t="n">
        <v>0</v>
      </c>
    </row>
    <row r="389" customFormat="false" ht="12.75" hidden="false" customHeight="true" outlineLevel="0" collapsed="false">
      <c r="A389" s="1956" t="n">
        <v>99</v>
      </c>
      <c r="B389" s="1962" t="s">
        <v>2369</v>
      </c>
      <c r="C389" s="1960"/>
      <c r="D389" s="1874" t="s">
        <v>2267</v>
      </c>
      <c r="E389" s="1955" t="n">
        <v>10</v>
      </c>
      <c r="F389" s="1955" t="n">
        <v>52</v>
      </c>
      <c r="G389" s="1955" t="n">
        <v>10</v>
      </c>
    </row>
    <row r="390" customFormat="false" ht="12.75" hidden="false" customHeight="true" outlineLevel="0" collapsed="false">
      <c r="A390" s="1956" t="n">
        <v>100</v>
      </c>
      <c r="B390" s="1957" t="s">
        <v>2370</v>
      </c>
      <c r="C390" s="1958"/>
      <c r="D390" s="1874" t="s">
        <v>2267</v>
      </c>
      <c r="E390" s="1955" t="n">
        <v>0</v>
      </c>
      <c r="F390" s="1955" t="n">
        <v>0</v>
      </c>
      <c r="G390" s="1955" t="n">
        <v>40</v>
      </c>
    </row>
    <row r="391" customFormat="false" ht="12.75" hidden="false" customHeight="true" outlineLevel="0" collapsed="false">
      <c r="A391" s="1956" t="n">
        <v>101</v>
      </c>
      <c r="B391" s="1962" t="s">
        <v>2371</v>
      </c>
      <c r="C391" s="1958"/>
      <c r="D391" s="1874" t="s">
        <v>2267</v>
      </c>
      <c r="E391" s="1955" t="n">
        <v>2</v>
      </c>
      <c r="F391" s="1955" t="n">
        <f aca="false">7/0.437/10</f>
        <v>1.60183066361556</v>
      </c>
      <c r="G391" s="1955" t="n">
        <f aca="false">10/0.83/10</f>
        <v>1.20481927710843</v>
      </c>
    </row>
    <row r="392" customFormat="false" ht="12.75" hidden="false" customHeight="true" outlineLevel="0" collapsed="false">
      <c r="A392" s="1956" t="n">
        <v>102</v>
      </c>
      <c r="B392" s="1962" t="s">
        <v>2372</v>
      </c>
      <c r="C392" s="1960"/>
      <c r="D392" s="1874" t="s">
        <v>2267</v>
      </c>
      <c r="E392" s="1955" t="n">
        <v>1</v>
      </c>
      <c r="F392" s="1955" t="n">
        <f aca="false">5/0.437/10</f>
        <v>1.1441647597254</v>
      </c>
      <c r="G392" s="1955" t="n">
        <f aca="false">5/0.83/10</f>
        <v>0.602409638554217</v>
      </c>
    </row>
    <row r="393" customFormat="false" ht="12.75" hidden="false" customHeight="true" outlineLevel="0" collapsed="false">
      <c r="A393" s="1956" t="n">
        <v>103</v>
      </c>
      <c r="B393" s="1970" t="s">
        <v>2373</v>
      </c>
      <c r="C393" s="1958"/>
      <c r="D393" s="1874" t="s">
        <v>2267</v>
      </c>
      <c r="E393" s="1966" t="s">
        <v>2374</v>
      </c>
      <c r="F393" s="1966" t="n">
        <v>6</v>
      </c>
      <c r="G393" s="1966" t="n">
        <v>15</v>
      </c>
    </row>
    <row r="394" customFormat="false" ht="12.75" hidden="false" customHeight="true" outlineLevel="0" collapsed="false">
      <c r="A394" s="1956" t="n">
        <v>104</v>
      </c>
      <c r="B394" s="1957" t="s">
        <v>2375</v>
      </c>
      <c r="C394" s="1958"/>
      <c r="D394" s="1874" t="s">
        <v>2267</v>
      </c>
      <c r="E394" s="1955" t="n">
        <v>0</v>
      </c>
      <c r="F394" s="1955" t="n">
        <v>12</v>
      </c>
      <c r="G394" s="1955" t="n">
        <v>0</v>
      </c>
    </row>
    <row r="395" customFormat="false" ht="12.75" hidden="false" customHeight="true" outlineLevel="0" collapsed="false">
      <c r="A395" s="1956" t="n">
        <v>105</v>
      </c>
      <c r="B395" s="1957" t="s">
        <v>2376</v>
      </c>
      <c r="C395" s="1958"/>
      <c r="D395" s="1874" t="s">
        <v>2267</v>
      </c>
      <c r="E395" s="1955" t="n">
        <v>0</v>
      </c>
      <c r="F395" s="1955" t="n">
        <v>16</v>
      </c>
      <c r="G395" s="1955" t="n">
        <v>0</v>
      </c>
    </row>
    <row r="396" customFormat="false" ht="12.75" hidden="false" customHeight="true" outlineLevel="0" collapsed="false">
      <c r="A396" s="1956" t="n">
        <v>106</v>
      </c>
      <c r="B396" s="1957" t="s">
        <v>2377</v>
      </c>
      <c r="C396" s="1958"/>
      <c r="D396" s="1874" t="s">
        <v>2267</v>
      </c>
      <c r="E396" s="1955" t="n">
        <v>0</v>
      </c>
      <c r="F396" s="1955" t="n">
        <v>18</v>
      </c>
      <c r="G396" s="1955" t="n">
        <v>0</v>
      </c>
    </row>
    <row r="397" customFormat="false" ht="12.75" hidden="false" customHeight="true" outlineLevel="0" collapsed="false">
      <c r="A397" s="1956" t="n">
        <v>107</v>
      </c>
      <c r="B397" s="1953" t="s">
        <v>2378</v>
      </c>
      <c r="C397" s="1954"/>
      <c r="D397" s="1874" t="s">
        <v>2267</v>
      </c>
      <c r="E397" s="1955" t="n">
        <v>0</v>
      </c>
      <c r="F397" s="1955" t="n">
        <v>7</v>
      </c>
      <c r="G397" s="1955" t="n">
        <v>21</v>
      </c>
    </row>
    <row r="398" customFormat="false" ht="12.75" hidden="false" customHeight="true" outlineLevel="0" collapsed="false">
      <c r="A398" s="1956" t="n">
        <v>108</v>
      </c>
      <c r="B398" s="1962" t="s">
        <v>2379</v>
      </c>
      <c r="C398" s="1958"/>
      <c r="D398" s="1874" t="s">
        <v>2267</v>
      </c>
      <c r="E398" s="1955" t="n">
        <v>0</v>
      </c>
      <c r="F398" s="1955" t="n">
        <v>8</v>
      </c>
      <c r="G398" s="1955" t="n">
        <v>24</v>
      </c>
    </row>
    <row r="399" customFormat="false" ht="12.75" hidden="false" customHeight="true" outlineLevel="0" collapsed="false">
      <c r="A399" s="1956" t="n">
        <v>109</v>
      </c>
      <c r="B399" s="1953" t="s">
        <v>2380</v>
      </c>
      <c r="C399" s="1954"/>
      <c r="D399" s="1874" t="s">
        <v>2267</v>
      </c>
      <c r="E399" s="1955" t="n">
        <v>0</v>
      </c>
      <c r="F399" s="1955" t="n">
        <v>10</v>
      </c>
      <c r="G399" s="1955" t="n">
        <v>10</v>
      </c>
    </row>
    <row r="400" customFormat="false" ht="12.75" hidden="false" customHeight="true" outlineLevel="0" collapsed="false">
      <c r="A400" s="1956" t="n">
        <v>110</v>
      </c>
      <c r="B400" s="1953" t="s">
        <v>2381</v>
      </c>
      <c r="C400" s="1954"/>
      <c r="D400" s="1874" t="s">
        <v>2267</v>
      </c>
      <c r="E400" s="1955" t="n">
        <v>0</v>
      </c>
      <c r="F400" s="1955" t="n">
        <v>10</v>
      </c>
      <c r="G400" s="1955" t="n">
        <v>15</v>
      </c>
    </row>
    <row r="401" customFormat="false" ht="12.75" hidden="false" customHeight="true" outlineLevel="0" collapsed="false">
      <c r="A401" s="1956" t="n">
        <v>111</v>
      </c>
      <c r="B401" s="1953" t="s">
        <v>2382</v>
      </c>
      <c r="C401" s="1954"/>
      <c r="D401" s="1874" t="s">
        <v>2267</v>
      </c>
      <c r="E401" s="1955" t="n">
        <v>0</v>
      </c>
      <c r="F401" s="1955" t="n">
        <v>10</v>
      </c>
      <c r="G401" s="1955" t="n">
        <v>20</v>
      </c>
    </row>
    <row r="402" customFormat="false" ht="12.75" hidden="false" customHeight="true" outlineLevel="0" collapsed="false">
      <c r="A402" s="1956" t="n">
        <v>112</v>
      </c>
      <c r="B402" s="1953" t="s">
        <v>2383</v>
      </c>
      <c r="C402" s="1954"/>
      <c r="D402" s="1874" t="s">
        <v>2267</v>
      </c>
      <c r="E402" s="1955" t="n">
        <v>0</v>
      </c>
      <c r="F402" s="1955" t="n">
        <v>12</v>
      </c>
      <c r="G402" s="1955" t="n">
        <v>12</v>
      </c>
    </row>
    <row r="403" customFormat="false" ht="12.75" hidden="false" customHeight="true" outlineLevel="0" collapsed="false">
      <c r="A403" s="1956" t="n">
        <v>113</v>
      </c>
      <c r="B403" s="1953" t="s">
        <v>2384</v>
      </c>
      <c r="C403" s="1958"/>
      <c r="D403" s="1874" t="s">
        <v>2267</v>
      </c>
      <c r="E403" s="1955" t="n">
        <v>0</v>
      </c>
      <c r="F403" s="1955" t="n">
        <v>15</v>
      </c>
      <c r="G403" s="1955" t="n">
        <v>15</v>
      </c>
    </row>
    <row r="404" customFormat="false" ht="12.75" hidden="false" customHeight="true" outlineLevel="0" collapsed="false">
      <c r="A404" s="1956" t="n">
        <v>114</v>
      </c>
      <c r="B404" s="1953" t="s">
        <v>2385</v>
      </c>
      <c r="C404" s="1954"/>
      <c r="D404" s="1874" t="s">
        <v>2267</v>
      </c>
      <c r="E404" s="1955" t="n">
        <v>0</v>
      </c>
      <c r="F404" s="1955" t="n">
        <v>6</v>
      </c>
      <c r="G404" s="1955" t="n">
        <v>18</v>
      </c>
    </row>
    <row r="405" customFormat="false" ht="12.75" hidden="false" customHeight="true" outlineLevel="0" collapsed="false">
      <c r="A405" s="1956" t="n">
        <v>115</v>
      </c>
      <c r="B405" s="1959" t="s">
        <v>2386</v>
      </c>
      <c r="C405" s="1960"/>
      <c r="D405" s="1874" t="s">
        <v>2267</v>
      </c>
      <c r="E405" s="1961" t="n">
        <v>8</v>
      </c>
      <c r="F405" s="1961" t="n">
        <v>5</v>
      </c>
      <c r="G405" s="1961" t="n">
        <v>20</v>
      </c>
    </row>
    <row r="406" customFormat="false" ht="12.75" hidden="false" customHeight="true" outlineLevel="0" collapsed="false">
      <c r="A406" s="1956" t="n">
        <v>116</v>
      </c>
      <c r="B406" s="1957" t="s">
        <v>2387</v>
      </c>
      <c r="C406" s="1958"/>
      <c r="D406" s="1874" t="s">
        <v>2267</v>
      </c>
      <c r="E406" s="1955" t="n">
        <v>30</v>
      </c>
      <c r="F406" s="1955" t="n">
        <v>0</v>
      </c>
      <c r="G406" s="1955" t="n">
        <v>0</v>
      </c>
    </row>
    <row r="407" customFormat="false" ht="12.75" hidden="false" customHeight="true" outlineLevel="0" collapsed="false">
      <c r="A407" s="1956" t="n">
        <v>117</v>
      </c>
      <c r="B407" s="1959" t="s">
        <v>2388</v>
      </c>
      <c r="C407" s="1973"/>
      <c r="D407" s="1874" t="s">
        <v>2267</v>
      </c>
      <c r="E407" s="1955" t="n">
        <v>7</v>
      </c>
      <c r="F407" s="1955" t="n">
        <v>5</v>
      </c>
      <c r="G407" s="1955" t="n">
        <v>20</v>
      </c>
    </row>
    <row r="408" customFormat="false" ht="12.75" hidden="false" customHeight="true" outlineLevel="0" collapsed="false">
      <c r="A408" s="1956" t="n">
        <v>118</v>
      </c>
      <c r="B408" s="1959" t="s">
        <v>2389</v>
      </c>
      <c r="C408" s="1973"/>
      <c r="D408" s="1874" t="s">
        <v>2267</v>
      </c>
      <c r="E408" s="1955" t="n">
        <v>10</v>
      </c>
      <c r="F408" s="1955" t="n">
        <v>3</v>
      </c>
      <c r="G408" s="1955" t="n">
        <v>30</v>
      </c>
    </row>
    <row r="409" customFormat="false" ht="12.75" hidden="false" customHeight="true" outlineLevel="0" collapsed="false">
      <c r="A409" s="1956" t="n">
        <v>119</v>
      </c>
      <c r="B409" s="1962" t="s">
        <v>2390</v>
      </c>
      <c r="C409" s="1958"/>
      <c r="D409" s="1874" t="s">
        <v>2267</v>
      </c>
      <c r="E409" s="1955" t="n">
        <v>0</v>
      </c>
      <c r="F409" s="1955" t="n">
        <v>10</v>
      </c>
      <c r="G409" s="1955" t="n">
        <v>26</v>
      </c>
    </row>
    <row r="410" customFormat="false" ht="12.75" hidden="false" customHeight="true" outlineLevel="0" collapsed="false">
      <c r="A410" s="1956" t="n">
        <v>120</v>
      </c>
      <c r="B410" s="1957" t="s">
        <v>2391</v>
      </c>
      <c r="C410" s="1958"/>
      <c r="D410" s="1874" t="s">
        <v>2267</v>
      </c>
      <c r="E410" s="1955" t="n">
        <v>21</v>
      </c>
      <c r="F410" s="1955" t="n">
        <v>0</v>
      </c>
      <c r="G410" s="1955" t="n">
        <v>0</v>
      </c>
    </row>
    <row r="411" customFormat="false" ht="12.75" hidden="false" customHeight="true" outlineLevel="0" collapsed="false">
      <c r="A411" s="1974" t="n">
        <v>121</v>
      </c>
      <c r="B411" s="1619" t="s">
        <v>2392</v>
      </c>
      <c r="C411" s="1619"/>
      <c r="D411" s="1874" t="s">
        <v>2267</v>
      </c>
      <c r="E411" s="1961" t="n">
        <v>0</v>
      </c>
      <c r="F411" s="1961" t="n">
        <v>0</v>
      </c>
      <c r="G411" s="1961" t="n">
        <v>50</v>
      </c>
    </row>
    <row r="412" customFormat="false" ht="12.75" hidden="false" customHeight="true" outlineLevel="0" collapsed="false">
      <c r="A412" s="1956" t="n">
        <v>122</v>
      </c>
      <c r="B412" s="1957" t="s">
        <v>2393</v>
      </c>
      <c r="C412" s="1958"/>
      <c r="D412" s="1874" t="s">
        <v>2267</v>
      </c>
      <c r="E412" s="1955" t="n">
        <v>0</v>
      </c>
      <c r="F412" s="1955" t="n">
        <v>18</v>
      </c>
      <c r="G412" s="1955" t="n">
        <v>0</v>
      </c>
    </row>
    <row r="413" customFormat="false" ht="12.75" hidden="false" customHeight="true" outlineLevel="0" collapsed="false">
      <c r="A413" s="1956" t="n">
        <v>123</v>
      </c>
      <c r="B413" s="1957" t="s">
        <v>2394</v>
      </c>
      <c r="C413" s="1958"/>
      <c r="D413" s="1874" t="s">
        <v>2267</v>
      </c>
      <c r="E413" s="1955" t="n">
        <v>0</v>
      </c>
      <c r="F413" s="1955" t="n">
        <v>25</v>
      </c>
      <c r="G413" s="1955" t="n">
        <v>0</v>
      </c>
    </row>
    <row r="414" customFormat="false" ht="12.75" hidden="false" customHeight="true" outlineLevel="0" collapsed="false">
      <c r="A414" s="1956" t="n">
        <v>124</v>
      </c>
      <c r="B414" s="1957" t="s">
        <v>2395</v>
      </c>
      <c r="C414" s="1958"/>
      <c r="D414" s="1874" t="s">
        <v>2267</v>
      </c>
      <c r="E414" s="1955" t="n">
        <v>0</v>
      </c>
      <c r="F414" s="1955" t="n">
        <v>45</v>
      </c>
      <c r="G414" s="1955" t="n">
        <v>0</v>
      </c>
    </row>
    <row r="415" customFormat="false" ht="12.75" hidden="false" customHeight="true" outlineLevel="0" collapsed="false">
      <c r="A415" s="1956" t="n">
        <v>125</v>
      </c>
      <c r="B415" s="1953" t="s">
        <v>2396</v>
      </c>
      <c r="C415" s="1958"/>
      <c r="D415" s="1874" t="s">
        <v>2267</v>
      </c>
      <c r="E415" s="1955" t="n">
        <v>0</v>
      </c>
      <c r="F415" s="1955" t="n">
        <v>12</v>
      </c>
      <c r="G415" s="1955" t="n">
        <v>24</v>
      </c>
    </row>
    <row r="416" customFormat="false" ht="12.75" hidden="false" customHeight="true" outlineLevel="0" collapsed="false">
      <c r="A416" s="1956" t="n">
        <v>126</v>
      </c>
      <c r="B416" s="1953" t="s">
        <v>2397</v>
      </c>
      <c r="C416" s="1958"/>
      <c r="D416" s="1874" t="s">
        <v>2267</v>
      </c>
      <c r="E416" s="1955" t="n">
        <v>0</v>
      </c>
      <c r="F416" s="1955" t="n">
        <v>13</v>
      </c>
      <c r="G416" s="1955" t="n">
        <v>18</v>
      </c>
    </row>
    <row r="417" customFormat="false" ht="12.75" hidden="false" customHeight="true" outlineLevel="0" collapsed="false">
      <c r="A417" s="1956" t="n">
        <v>127</v>
      </c>
      <c r="B417" s="1953" t="s">
        <v>2398</v>
      </c>
      <c r="C417" s="1954"/>
      <c r="D417" s="1874" t="s">
        <v>2267</v>
      </c>
      <c r="E417" s="1955" t="n">
        <v>0</v>
      </c>
      <c r="F417" s="1955" t="n">
        <v>14</v>
      </c>
      <c r="G417" s="1955" t="n">
        <v>28</v>
      </c>
    </row>
    <row r="418" customFormat="false" ht="12.75" hidden="false" customHeight="true" outlineLevel="0" collapsed="false">
      <c r="A418" s="1956" t="n">
        <v>128</v>
      </c>
      <c r="B418" s="1953" t="s">
        <v>2399</v>
      </c>
      <c r="C418" s="1954"/>
      <c r="D418" s="1874" t="s">
        <v>2267</v>
      </c>
      <c r="E418" s="1955" t="n">
        <v>0</v>
      </c>
      <c r="F418" s="1955" t="n">
        <v>20</v>
      </c>
      <c r="G418" s="1955" t="n">
        <v>20</v>
      </c>
    </row>
    <row r="419" customFormat="false" ht="12.75" hidden="false" customHeight="true" outlineLevel="0" collapsed="false">
      <c r="A419" s="1956" t="n">
        <v>129</v>
      </c>
      <c r="B419" s="1953" t="s">
        <v>2400</v>
      </c>
      <c r="C419" s="1960"/>
      <c r="D419" s="1874" t="s">
        <v>2267</v>
      </c>
      <c r="E419" s="1955" t="n">
        <v>0</v>
      </c>
      <c r="F419" s="1955" t="n">
        <v>25</v>
      </c>
      <c r="G419" s="1955" t="n">
        <v>25</v>
      </c>
    </row>
    <row r="420" customFormat="false" ht="12.75" hidden="false" customHeight="true" outlineLevel="0" collapsed="false">
      <c r="A420" s="1956" t="n">
        <v>130</v>
      </c>
      <c r="B420" s="1962" t="s">
        <v>2401</v>
      </c>
      <c r="C420" s="1960"/>
      <c r="D420" s="1874" t="s">
        <v>2267</v>
      </c>
      <c r="E420" s="1955" t="n">
        <v>0.6</v>
      </c>
      <c r="F420" s="1955" t="n">
        <f aca="false">2/0.437/10</f>
        <v>0.45766590389016</v>
      </c>
      <c r="G420" s="1955" t="n">
        <f aca="false">3/0.83/10</f>
        <v>0.36144578313253</v>
      </c>
    </row>
    <row r="421" customFormat="false" ht="12.75" hidden="false" customHeight="true" outlineLevel="0" collapsed="false">
      <c r="A421" s="1956" t="n">
        <v>131</v>
      </c>
      <c r="B421" s="1962" t="s">
        <v>2402</v>
      </c>
      <c r="C421" s="1960"/>
      <c r="D421" s="1874" t="s">
        <v>2267</v>
      </c>
      <c r="E421" s="1955" t="n">
        <v>0.5</v>
      </c>
      <c r="F421" s="1955" t="n">
        <f aca="false">3/0.437/10</f>
        <v>0.68649885583524</v>
      </c>
      <c r="G421" s="1955" t="n">
        <f aca="false">1/0.83/10</f>
        <v>0.120481927710843</v>
      </c>
    </row>
    <row r="422" customFormat="false" ht="12.75" hidden="false" customHeight="true" outlineLevel="0" collapsed="false">
      <c r="A422" s="1956" t="n">
        <v>132</v>
      </c>
      <c r="B422" s="1962" t="s">
        <v>2403</v>
      </c>
      <c r="C422" s="1958"/>
      <c r="D422" s="1874" t="s">
        <v>2267</v>
      </c>
      <c r="E422" s="1955" t="n">
        <v>2.3</v>
      </c>
      <c r="F422" s="1955" t="n">
        <f aca="false">7/0.437/10</f>
        <v>1.60183066361556</v>
      </c>
      <c r="G422" s="1955" t="n">
        <f aca="false">13/0.83/10</f>
        <v>1.56626506024096</v>
      </c>
    </row>
    <row r="423" customFormat="false" ht="12.75" hidden="false" customHeight="true" outlineLevel="0" collapsed="false">
      <c r="A423" s="1956" t="n">
        <v>133</v>
      </c>
      <c r="B423" s="1964" t="s">
        <v>2404</v>
      </c>
      <c r="C423" s="1960"/>
      <c r="D423" s="1874" t="s">
        <v>2267</v>
      </c>
      <c r="E423" s="1955" t="n">
        <v>2.3</v>
      </c>
      <c r="F423" s="1955" t="n">
        <v>1.6</v>
      </c>
      <c r="G423" s="1955" t="n">
        <v>1.6</v>
      </c>
    </row>
    <row r="424" customFormat="false" ht="12.75" hidden="false" customHeight="true" outlineLevel="0" collapsed="false">
      <c r="A424" s="1416"/>
      <c r="D424" s="1846"/>
    </row>
    <row r="425" customFormat="false" ht="15" hidden="false" customHeight="true" outlineLevel="0" collapsed="false">
      <c r="A425" s="1853" t="s">
        <v>2405</v>
      </c>
      <c r="D425" s="1846"/>
    </row>
    <row r="426" customFormat="false" ht="12.75" hidden="false" customHeight="true" outlineLevel="0" collapsed="false">
      <c r="A426" s="1416"/>
      <c r="D426" s="1846"/>
    </row>
    <row r="427" customFormat="false" ht="12.75" hidden="false" customHeight="true" outlineLevel="0" collapsed="false">
      <c r="A427" s="1975" t="s">
        <v>2406</v>
      </c>
      <c r="B427" s="1671" t="s">
        <v>2407</v>
      </c>
      <c r="C427" s="1671"/>
      <c r="D427" s="1671" t="s">
        <v>2408</v>
      </c>
      <c r="E427" s="1671"/>
      <c r="F427" s="1671"/>
    </row>
    <row r="428" customFormat="false" ht="15.75" hidden="false" customHeight="true" outlineLevel="0" collapsed="false">
      <c r="A428" s="1975"/>
      <c r="B428" s="1671"/>
      <c r="C428" s="1671"/>
      <c r="D428" s="1858" t="s">
        <v>395</v>
      </c>
      <c r="E428" s="1858" t="s">
        <v>2264</v>
      </c>
      <c r="F428" s="1858" t="s">
        <v>2265</v>
      </c>
    </row>
    <row r="429" customFormat="false" ht="12.75" hidden="false" customHeight="true" outlineLevel="0" collapsed="false">
      <c r="A429" s="1975"/>
      <c r="B429" s="1976" t="s">
        <v>2409</v>
      </c>
      <c r="C429" s="1976"/>
      <c r="D429" s="1977" t="n">
        <v>8</v>
      </c>
      <c r="E429" s="1977" t="n">
        <v>5</v>
      </c>
      <c r="F429" s="1977" t="n">
        <v>14</v>
      </c>
    </row>
    <row r="430" customFormat="false" ht="12.75" hidden="false" customHeight="true" outlineLevel="0" collapsed="false">
      <c r="A430" s="1975"/>
      <c r="B430" s="1976" t="s">
        <v>2410</v>
      </c>
      <c r="C430" s="1976"/>
      <c r="D430" s="1977" t="n">
        <v>11.5</v>
      </c>
      <c r="E430" s="1977" t="n">
        <v>7</v>
      </c>
      <c r="F430" s="1977" t="n">
        <v>2.3</v>
      </c>
    </row>
    <row r="431" customFormat="false" ht="12.75" hidden="false" customHeight="true" outlineLevel="0" collapsed="false">
      <c r="A431" s="1975"/>
      <c r="B431" s="1976" t="s">
        <v>428</v>
      </c>
      <c r="C431" s="1976"/>
      <c r="D431" s="1977" t="n">
        <v>7</v>
      </c>
      <c r="E431" s="1977" t="n">
        <v>5</v>
      </c>
      <c r="F431" s="1977" t="n">
        <v>5</v>
      </c>
    </row>
    <row r="432" customFormat="false" ht="12.75" hidden="false" customHeight="true" outlineLevel="0" collapsed="false">
      <c r="A432" s="1975"/>
      <c r="B432" s="1976" t="s">
        <v>2411</v>
      </c>
      <c r="C432" s="1976"/>
      <c r="D432" s="1977" t="n">
        <v>2.3</v>
      </c>
      <c r="E432" s="1977" t="n">
        <v>2.8</v>
      </c>
      <c r="F432" s="1977" t="n">
        <v>2.4</v>
      </c>
    </row>
    <row r="433" customFormat="false" ht="22" hidden="false" customHeight="true" outlineLevel="0" collapsed="false">
      <c r="A433" s="1975"/>
      <c r="B433" s="1978" t="s">
        <v>2412</v>
      </c>
      <c r="C433" s="1978"/>
      <c r="D433" s="1979" t="n">
        <v>2.2</v>
      </c>
      <c r="E433" s="1979" t="n">
        <v>2.2</v>
      </c>
      <c r="F433" s="1979" t="n">
        <v>1.9</v>
      </c>
      <c r="G433" s="999"/>
    </row>
    <row r="435" customFormat="false" ht="12.75" hidden="false" customHeight="true" outlineLevel="0" collapsed="false">
      <c r="A435" s="1975" t="s">
        <v>2413</v>
      </c>
      <c r="B435" s="1980" t="s">
        <v>2407</v>
      </c>
      <c r="C435" s="1671" t="s">
        <v>2414</v>
      </c>
      <c r="D435" s="1671" t="s">
        <v>2408</v>
      </c>
      <c r="E435" s="1671"/>
      <c r="F435" s="1671"/>
    </row>
    <row r="436" customFormat="false" ht="15.75" hidden="false" customHeight="true" outlineLevel="0" collapsed="false">
      <c r="A436" s="1975"/>
      <c r="B436" s="1980"/>
      <c r="C436" s="1671"/>
      <c r="D436" s="1858" t="s">
        <v>395</v>
      </c>
      <c r="E436" s="1858" t="s">
        <v>2264</v>
      </c>
      <c r="F436" s="1858" t="s">
        <v>2265</v>
      </c>
    </row>
    <row r="437" customFormat="false" ht="12.75" hidden="false" customHeight="true" outlineLevel="0" collapsed="false">
      <c r="A437" s="1975"/>
      <c r="B437" s="1981" t="s">
        <v>2415</v>
      </c>
      <c r="C437" s="1976"/>
      <c r="D437" s="1977" t="n">
        <v>29</v>
      </c>
      <c r="E437" s="1977" t="n">
        <v>25</v>
      </c>
      <c r="F437" s="1977" t="n">
        <v>20</v>
      </c>
    </row>
    <row r="438" customFormat="false" ht="12.75" hidden="false" customHeight="true" outlineLevel="0" collapsed="false">
      <c r="A438" s="1975"/>
      <c r="B438" s="1981" t="s">
        <v>2416</v>
      </c>
      <c r="C438" s="1976"/>
      <c r="D438" s="1977" t="n">
        <v>26</v>
      </c>
      <c r="E438" s="1977" t="n">
        <v>24</v>
      </c>
      <c r="F438" s="1977" t="n">
        <v>19</v>
      </c>
    </row>
    <row r="439" customFormat="false" ht="26" hidden="false" customHeight="true" outlineLevel="0" collapsed="false">
      <c r="A439" s="1975"/>
      <c r="B439" s="1982" t="s">
        <v>2417</v>
      </c>
      <c r="C439" s="1982"/>
      <c r="D439" s="1979" t="n">
        <v>22</v>
      </c>
      <c r="E439" s="1979" t="n">
        <v>23</v>
      </c>
      <c r="F439" s="1979" t="n">
        <v>18</v>
      </c>
      <c r="G439" s="999"/>
    </row>
    <row r="440" customFormat="false" ht="23" hidden="false" customHeight="true" outlineLevel="0" collapsed="false">
      <c r="A440" s="1975"/>
      <c r="B440" s="1981" t="s">
        <v>2418</v>
      </c>
      <c r="C440" s="1976"/>
      <c r="D440" s="1977" t="n">
        <v>22</v>
      </c>
      <c r="E440" s="1977" t="n">
        <v>22</v>
      </c>
      <c r="F440" s="1977" t="n">
        <v>15</v>
      </c>
    </row>
    <row r="441" customFormat="false" ht="12.75" hidden="false" customHeight="true" outlineLevel="0" collapsed="false">
      <c r="A441" s="1975"/>
      <c r="B441" s="1983"/>
      <c r="C441" s="1983"/>
      <c r="D441" s="1984"/>
      <c r="E441" s="1984"/>
      <c r="F441" s="1984"/>
    </row>
    <row r="442" customFormat="false" ht="12.75" hidden="false" customHeight="true" outlineLevel="0" collapsed="false">
      <c r="A442" s="1975"/>
      <c r="B442" s="1980" t="s">
        <v>2407</v>
      </c>
      <c r="C442" s="1671" t="s">
        <v>2419</v>
      </c>
      <c r="D442" s="1671" t="s">
        <v>2408</v>
      </c>
      <c r="E442" s="1671"/>
      <c r="F442" s="1671"/>
    </row>
    <row r="443" customFormat="false" ht="15.75" hidden="false" customHeight="true" outlineLevel="0" collapsed="false">
      <c r="A443" s="1975"/>
      <c r="B443" s="1980"/>
      <c r="C443" s="1671"/>
      <c r="D443" s="1858" t="s">
        <v>395</v>
      </c>
      <c r="E443" s="1858" t="s">
        <v>2264</v>
      </c>
      <c r="F443" s="1858" t="s">
        <v>2265</v>
      </c>
    </row>
    <row r="444" customFormat="false" ht="12.75" hidden="false" customHeight="true" outlineLevel="0" collapsed="false">
      <c r="A444" s="1975"/>
      <c r="B444" s="1981" t="s">
        <v>2415</v>
      </c>
      <c r="C444" s="1976"/>
      <c r="D444" s="1977" t="n">
        <v>20</v>
      </c>
      <c r="E444" s="1977" t="n">
        <v>18</v>
      </c>
      <c r="F444" s="1977" t="n">
        <v>15</v>
      </c>
    </row>
    <row r="445" customFormat="false" ht="12.75" hidden="false" customHeight="true" outlineLevel="0" collapsed="false">
      <c r="A445" s="1975"/>
      <c r="B445" s="1981" t="s">
        <v>2416</v>
      </c>
      <c r="C445" s="1976"/>
      <c r="D445" s="1977" t="n">
        <v>18</v>
      </c>
      <c r="E445" s="1977" t="n">
        <v>17</v>
      </c>
      <c r="F445" s="1977" t="n">
        <v>15</v>
      </c>
    </row>
    <row r="446" customFormat="false" ht="21" hidden="false" customHeight="true" outlineLevel="0" collapsed="false">
      <c r="A446" s="1975"/>
      <c r="B446" s="1982" t="s">
        <v>2417</v>
      </c>
      <c r="C446" s="1982"/>
      <c r="D446" s="1979" t="n">
        <v>15</v>
      </c>
      <c r="E446" s="1979" t="n">
        <v>17</v>
      </c>
      <c r="F446" s="1979" t="n">
        <v>14</v>
      </c>
      <c r="G446" s="999"/>
    </row>
    <row r="447" customFormat="false" ht="12.75" hidden="false" customHeight="true" outlineLevel="0" collapsed="false">
      <c r="A447" s="1975"/>
      <c r="B447" s="1981" t="s">
        <v>2418</v>
      </c>
      <c r="C447" s="1976"/>
      <c r="D447" s="1977" t="n">
        <v>15</v>
      </c>
      <c r="E447" s="1977" t="n">
        <v>16</v>
      </c>
      <c r="F447" s="1977" t="n">
        <v>12</v>
      </c>
    </row>
    <row r="448" customFormat="false" ht="12.75" hidden="false" customHeight="true" outlineLevel="0" collapsed="false">
      <c r="A448" s="1975"/>
    </row>
    <row r="449" customFormat="false" ht="12.75" hidden="false" customHeight="true" outlineLevel="0" collapsed="false">
      <c r="A449" s="1975"/>
      <c r="B449" s="1980" t="s">
        <v>2407</v>
      </c>
      <c r="C449" s="1671" t="s">
        <v>2420</v>
      </c>
      <c r="D449" s="1671" t="s">
        <v>2408</v>
      </c>
      <c r="E449" s="1671"/>
      <c r="F449" s="1671"/>
    </row>
    <row r="450" customFormat="false" ht="15.75" hidden="false" customHeight="true" outlineLevel="0" collapsed="false">
      <c r="A450" s="1975"/>
      <c r="B450" s="1980"/>
      <c r="C450" s="1671"/>
      <c r="D450" s="1858" t="s">
        <v>395</v>
      </c>
      <c r="E450" s="1858" t="s">
        <v>2264</v>
      </c>
      <c r="F450" s="1858" t="s">
        <v>2265</v>
      </c>
    </row>
    <row r="451" customFormat="false" ht="12.75" hidden="false" customHeight="true" outlineLevel="0" collapsed="false">
      <c r="A451" s="1975"/>
      <c r="B451" s="1981" t="s">
        <v>2415</v>
      </c>
      <c r="C451" s="1976"/>
      <c r="D451" s="1977" t="n">
        <v>27</v>
      </c>
      <c r="E451" s="1977" t="n">
        <v>27</v>
      </c>
      <c r="F451" s="1977" t="n">
        <v>20</v>
      </c>
    </row>
    <row r="452" customFormat="false" ht="12.75" hidden="false" customHeight="true" outlineLevel="0" collapsed="false">
      <c r="A452" s="1975"/>
      <c r="B452" s="1981" t="s">
        <v>2416</v>
      </c>
      <c r="C452" s="1976"/>
      <c r="D452" s="1977" t="n">
        <v>25</v>
      </c>
      <c r="E452" s="1977" t="n">
        <v>26</v>
      </c>
      <c r="F452" s="1977" t="n">
        <v>19</v>
      </c>
    </row>
    <row r="453" customFormat="false" ht="20" hidden="false" customHeight="true" outlineLevel="0" collapsed="false">
      <c r="A453" s="1975"/>
      <c r="B453" s="1982" t="s">
        <v>2417</v>
      </c>
      <c r="C453" s="1982"/>
      <c r="D453" s="1979" t="n">
        <v>21</v>
      </c>
      <c r="E453" s="1979" t="n">
        <v>25</v>
      </c>
      <c r="F453" s="1979" t="n">
        <v>18</v>
      </c>
      <c r="G453" s="999"/>
    </row>
    <row r="454" customFormat="false" ht="12.75" hidden="false" customHeight="true" outlineLevel="0" collapsed="false">
      <c r="A454" s="1975"/>
      <c r="B454" s="1981" t="s">
        <v>2418</v>
      </c>
      <c r="C454" s="1976"/>
      <c r="D454" s="1977" t="n">
        <v>21</v>
      </c>
      <c r="E454" s="1977" t="n">
        <v>23</v>
      </c>
      <c r="F454" s="1977" t="n">
        <v>15</v>
      </c>
    </row>
    <row r="455" customFormat="false" ht="12.75" hidden="false" customHeight="true" outlineLevel="0" collapsed="false">
      <c r="A455" s="1975"/>
    </row>
    <row r="456" customFormat="false" ht="12.75" hidden="false" customHeight="true" outlineLevel="0" collapsed="false">
      <c r="A456" s="1975"/>
      <c r="B456" s="1980" t="s">
        <v>2407</v>
      </c>
      <c r="C456" s="1671" t="s">
        <v>2421</v>
      </c>
      <c r="D456" s="1671" t="s">
        <v>2408</v>
      </c>
      <c r="E456" s="1671"/>
      <c r="F456" s="1671"/>
    </row>
    <row r="457" customFormat="false" ht="15.75" hidden="false" customHeight="true" outlineLevel="0" collapsed="false">
      <c r="A457" s="1975"/>
      <c r="B457" s="1980"/>
      <c r="C457" s="1671"/>
      <c r="D457" s="1858" t="s">
        <v>395</v>
      </c>
      <c r="E457" s="1858" t="s">
        <v>2264</v>
      </c>
      <c r="F457" s="1858" t="s">
        <v>2265</v>
      </c>
    </row>
    <row r="458" customFormat="false" ht="12.75" hidden="false" customHeight="true" outlineLevel="0" collapsed="false">
      <c r="A458" s="1975"/>
      <c r="B458" s="1981" t="s">
        <v>2415</v>
      </c>
      <c r="C458" s="1976"/>
      <c r="D458" s="1977" t="n">
        <v>32</v>
      </c>
      <c r="E458" s="1977" t="n">
        <v>25</v>
      </c>
      <c r="F458" s="1977" t="n">
        <v>20</v>
      </c>
    </row>
    <row r="459" customFormat="false" ht="12.75" hidden="false" customHeight="true" outlineLevel="0" collapsed="false">
      <c r="A459" s="1975"/>
      <c r="B459" s="1981" t="s">
        <v>2416</v>
      </c>
      <c r="C459" s="1976"/>
      <c r="D459" s="1977" t="n">
        <v>29</v>
      </c>
      <c r="E459" s="1977" t="n">
        <v>24</v>
      </c>
      <c r="F459" s="1977" t="n">
        <v>19</v>
      </c>
    </row>
    <row r="460" customFormat="false" ht="21" hidden="false" customHeight="true" outlineLevel="0" collapsed="false">
      <c r="A460" s="1975"/>
      <c r="B460" s="1982" t="s">
        <v>2417</v>
      </c>
      <c r="C460" s="1982"/>
      <c r="D460" s="1979" t="n">
        <v>24</v>
      </c>
      <c r="E460" s="1979" t="n">
        <v>23</v>
      </c>
      <c r="F460" s="1979" t="n">
        <v>18</v>
      </c>
      <c r="G460" s="999"/>
    </row>
    <row r="461" customFormat="false" ht="15.75" hidden="false" customHeight="true" outlineLevel="0" collapsed="false">
      <c r="A461" s="1975"/>
      <c r="B461" s="1981" t="s">
        <v>2418</v>
      </c>
      <c r="C461" s="1976"/>
      <c r="D461" s="1977" t="n">
        <v>24</v>
      </c>
      <c r="E461" s="1977" t="n">
        <v>22</v>
      </c>
      <c r="F461" s="1977" t="n">
        <v>15</v>
      </c>
      <c r="H461" s="1985" t="s">
        <v>2422</v>
      </c>
      <c r="I461" s="1986" t="s">
        <v>2423</v>
      </c>
      <c r="J461" s="1987"/>
      <c r="K461" s="1987"/>
      <c r="L461" s="1987"/>
      <c r="M461" s="1988" t="s">
        <v>2424</v>
      </c>
      <c r="N461" s="1989"/>
    </row>
    <row r="462" customFormat="false" ht="12.75" hidden="false" customHeight="true" outlineLevel="0" collapsed="false">
      <c r="H462" s="1990" t="s">
        <v>982</v>
      </c>
      <c r="I462" s="1991" t="s">
        <v>2425</v>
      </c>
      <c r="J462" s="1992"/>
      <c r="K462" s="1992"/>
      <c r="L462" s="1993"/>
      <c r="M462" s="1992" t="n">
        <v>5.8</v>
      </c>
      <c r="N462" s="1993"/>
    </row>
    <row r="463" customFormat="false" ht="12.75" hidden="false" customHeight="true" outlineLevel="0" collapsed="false">
      <c r="A463" s="1975" t="s">
        <v>2426</v>
      </c>
      <c r="B463" s="1980" t="s">
        <v>2407</v>
      </c>
      <c r="C463" s="1671" t="s">
        <v>2427</v>
      </c>
      <c r="D463" s="1671" t="s">
        <v>2408</v>
      </c>
      <c r="E463" s="1671"/>
      <c r="F463" s="1671"/>
      <c r="H463" s="1990"/>
      <c r="I463" s="1994" t="s">
        <v>2428</v>
      </c>
      <c r="J463" s="972"/>
      <c r="K463" s="972"/>
      <c r="L463" s="1995"/>
      <c r="M463" s="972" t="n">
        <v>5</v>
      </c>
      <c r="N463" s="1995"/>
    </row>
    <row r="464" customFormat="false" ht="15.75" hidden="false" customHeight="true" outlineLevel="0" collapsed="false">
      <c r="A464" s="1975"/>
      <c r="B464" s="1980"/>
      <c r="C464" s="1671"/>
      <c r="D464" s="1858" t="s">
        <v>395</v>
      </c>
      <c r="E464" s="1858" t="s">
        <v>2264</v>
      </c>
      <c r="F464" s="1858" t="s">
        <v>2265</v>
      </c>
      <c r="H464" s="1990"/>
      <c r="I464" s="1996" t="s">
        <v>2429</v>
      </c>
      <c r="J464" s="972"/>
      <c r="K464" s="972"/>
      <c r="L464" s="1995"/>
      <c r="M464" s="972" t="n">
        <v>5.1</v>
      </c>
      <c r="N464" s="1995"/>
    </row>
    <row r="465" customFormat="false" ht="12.75" hidden="false" customHeight="true" outlineLevel="0" collapsed="false">
      <c r="A465" s="1975"/>
      <c r="B465" s="1997" t="s">
        <v>2430</v>
      </c>
      <c r="C465" s="1981"/>
      <c r="D465" s="1977" t="n">
        <v>15</v>
      </c>
      <c r="E465" s="1977" t="n">
        <v>14</v>
      </c>
      <c r="F465" s="1977" t="n">
        <v>12</v>
      </c>
      <c r="H465" s="1990"/>
      <c r="I465" s="1994" t="s">
        <v>410</v>
      </c>
      <c r="J465" s="972"/>
      <c r="K465" s="972"/>
      <c r="L465" s="1995"/>
      <c r="M465" s="972" t="n">
        <v>5.2</v>
      </c>
      <c r="N465" s="1995"/>
    </row>
    <row r="466" customFormat="false" ht="12.75" hidden="false" customHeight="true" outlineLevel="0" collapsed="false">
      <c r="A466" s="1975"/>
      <c r="B466" s="1981" t="s">
        <v>418</v>
      </c>
      <c r="C466" s="1976"/>
      <c r="D466" s="1977" t="n">
        <v>22</v>
      </c>
      <c r="E466" s="1977" t="n">
        <v>20</v>
      </c>
      <c r="F466" s="1977" t="n">
        <v>12</v>
      </c>
      <c r="H466" s="1990"/>
      <c r="I466" s="1994" t="s">
        <v>411</v>
      </c>
      <c r="J466" s="972"/>
      <c r="K466" s="972"/>
      <c r="L466" s="1995"/>
      <c r="M466" s="972" t="n">
        <v>3.5</v>
      </c>
      <c r="N466" s="1995"/>
    </row>
    <row r="467" customFormat="false" ht="12.75" hidden="false" customHeight="true" outlineLevel="0" collapsed="false">
      <c r="A467" s="1975"/>
      <c r="B467" s="1998" t="s">
        <v>2431</v>
      </c>
      <c r="C467" s="1998"/>
      <c r="D467" s="1979" t="n">
        <v>30</v>
      </c>
      <c r="E467" s="1979" t="n">
        <v>40</v>
      </c>
      <c r="F467" s="1979" t="n">
        <v>28</v>
      </c>
      <c r="G467" s="999"/>
      <c r="H467" s="1990"/>
      <c r="I467" s="1994" t="s">
        <v>2432</v>
      </c>
      <c r="J467" s="972"/>
      <c r="K467" s="972"/>
      <c r="L467" s="1995"/>
      <c r="M467" s="972" t="n">
        <v>2.7</v>
      </c>
      <c r="N467" s="1995"/>
    </row>
    <row r="468" customFormat="false" ht="12.75" hidden="false" customHeight="true" outlineLevel="0" collapsed="false">
      <c r="A468" s="1975"/>
      <c r="B468" s="1981" t="s">
        <v>419</v>
      </c>
      <c r="C468" s="1976"/>
      <c r="D468" s="1977" t="n">
        <v>40</v>
      </c>
      <c r="E468" s="1977" t="n">
        <v>40</v>
      </c>
      <c r="F468" s="1977" t="n">
        <v>28</v>
      </c>
      <c r="H468" s="1990"/>
      <c r="I468" s="1994" t="s">
        <v>2433</v>
      </c>
      <c r="J468" s="972"/>
      <c r="K468" s="972"/>
      <c r="L468" s="1995"/>
      <c r="M468" s="972" t="n">
        <v>1.6</v>
      </c>
      <c r="N468" s="1995"/>
    </row>
    <row r="469" customFormat="false" ht="12.75" hidden="false" customHeight="true" outlineLevel="0" collapsed="false">
      <c r="H469" s="1990"/>
      <c r="I469" s="1994" t="s">
        <v>2434</v>
      </c>
      <c r="J469" s="972"/>
      <c r="K469" s="972"/>
      <c r="L469" s="1995"/>
      <c r="M469" s="972" t="n">
        <v>3</v>
      </c>
      <c r="N469" s="1995"/>
    </row>
    <row r="470" customFormat="false" ht="13.5" hidden="false" customHeight="true" outlineLevel="0" collapsed="false">
      <c r="A470" s="1999" t="s">
        <v>2435</v>
      </c>
      <c r="B470" s="1980" t="s">
        <v>2436</v>
      </c>
      <c r="C470" s="1671" t="s">
        <v>1057</v>
      </c>
      <c r="D470" s="1671" t="s">
        <v>2408</v>
      </c>
      <c r="E470" s="1671"/>
      <c r="F470" s="1671"/>
      <c r="H470" s="1990"/>
      <c r="I470" s="2000" t="s">
        <v>2437</v>
      </c>
      <c r="J470" s="2001"/>
      <c r="K470" s="2001"/>
      <c r="L470" s="2002"/>
      <c r="M470" s="2001" t="n">
        <v>0.4</v>
      </c>
      <c r="N470" s="2002"/>
    </row>
    <row r="471" customFormat="false" ht="15.75" hidden="false" customHeight="true" outlineLevel="0" collapsed="false">
      <c r="A471" s="1999"/>
      <c r="B471" s="1980"/>
      <c r="C471" s="1671"/>
      <c r="D471" s="1858" t="s">
        <v>395</v>
      </c>
      <c r="E471" s="1858" t="s">
        <v>2264</v>
      </c>
      <c r="F471" s="1858" t="s">
        <v>2265</v>
      </c>
      <c r="H471" s="2003" t="s">
        <v>1839</v>
      </c>
      <c r="I471" s="2004" t="s">
        <v>416</v>
      </c>
      <c r="J471" s="1992"/>
      <c r="K471" s="1992"/>
      <c r="L471" s="1993"/>
      <c r="M471" s="1992" t="n">
        <v>6.8</v>
      </c>
      <c r="N471" s="1993"/>
    </row>
    <row r="472" customFormat="false" ht="12.75" hidden="false" customHeight="true" outlineLevel="0" collapsed="false">
      <c r="A472" s="1999"/>
      <c r="B472" s="2005" t="s">
        <v>2438</v>
      </c>
      <c r="C472" s="1981"/>
      <c r="D472" s="1977" t="n">
        <v>4.4</v>
      </c>
      <c r="E472" s="1977" t="n">
        <v>1.7</v>
      </c>
      <c r="F472" s="1977" t="n">
        <v>2.5</v>
      </c>
      <c r="H472" s="2003"/>
      <c r="I472" s="1994" t="s">
        <v>417</v>
      </c>
      <c r="J472" s="972"/>
      <c r="K472" s="972"/>
      <c r="L472" s="1995"/>
      <c r="M472" s="972" t="n">
        <v>22</v>
      </c>
      <c r="N472" s="1995"/>
    </row>
    <row r="473" customFormat="false" ht="12.75" hidden="false" customHeight="true" outlineLevel="0" collapsed="false">
      <c r="A473" s="1999"/>
      <c r="B473" s="1997" t="s">
        <v>2439</v>
      </c>
      <c r="C473" s="1981"/>
      <c r="D473" s="1977" t="n">
        <v>5.9</v>
      </c>
      <c r="E473" s="1977" t="n">
        <v>5.9</v>
      </c>
      <c r="F473" s="1977" t="n">
        <v>4.1</v>
      </c>
      <c r="H473" s="2003"/>
      <c r="I473" s="1994" t="s">
        <v>418</v>
      </c>
      <c r="J473" s="972"/>
      <c r="K473" s="972"/>
      <c r="L473" s="1995"/>
      <c r="M473" s="972" t="n">
        <v>40</v>
      </c>
      <c r="N473" s="1995"/>
    </row>
    <row r="474" customFormat="false" ht="13.5" hidden="false" customHeight="true" outlineLevel="0" collapsed="false">
      <c r="A474" s="1999"/>
      <c r="B474" s="1998" t="s">
        <v>2440</v>
      </c>
      <c r="C474" s="1998"/>
      <c r="D474" s="1979" t="n">
        <v>8.6</v>
      </c>
      <c r="E474" s="1979" t="n">
        <v>8.6</v>
      </c>
      <c r="F474" s="1979" t="n">
        <v>8.4</v>
      </c>
      <c r="G474" s="999"/>
      <c r="H474" s="2003"/>
      <c r="I474" s="2000" t="s">
        <v>419</v>
      </c>
      <c r="J474" s="2001"/>
      <c r="K474" s="2001"/>
      <c r="L474" s="2002"/>
      <c r="M474" s="2001" t="n">
        <v>22</v>
      </c>
      <c r="N474" s="2002"/>
    </row>
    <row r="475" customFormat="false" ht="12.75" hidden="false" customHeight="true" outlineLevel="0" collapsed="false">
      <c r="A475" s="1999"/>
      <c r="B475" s="2006"/>
      <c r="C475" s="2006"/>
      <c r="D475" s="2007"/>
      <c r="E475" s="2007"/>
      <c r="F475" s="2007"/>
      <c r="G475" s="999"/>
      <c r="H475" s="2008" t="s">
        <v>2441</v>
      </c>
      <c r="I475" s="1994" t="s">
        <v>420</v>
      </c>
      <c r="J475" s="972"/>
      <c r="K475" s="972"/>
      <c r="L475" s="1995"/>
      <c r="M475" s="972" t="n">
        <v>9.6</v>
      </c>
      <c r="N475" s="1995"/>
    </row>
    <row r="476" customFormat="false" ht="12.75" hidden="false" customHeight="true" outlineLevel="0" collapsed="false">
      <c r="A476" s="1999"/>
      <c r="B476" s="1980" t="s">
        <v>2436</v>
      </c>
      <c r="C476" s="1671" t="s">
        <v>2442</v>
      </c>
      <c r="D476" s="1671" t="s">
        <v>2408</v>
      </c>
      <c r="E476" s="1671"/>
      <c r="F476" s="1671"/>
      <c r="G476" s="999"/>
      <c r="H476" s="2008"/>
      <c r="I476" s="1994" t="s">
        <v>2443</v>
      </c>
      <c r="J476" s="972"/>
      <c r="K476" s="972"/>
      <c r="L476" s="1995"/>
      <c r="M476" s="972" t="n">
        <v>4.3</v>
      </c>
      <c r="N476" s="1995"/>
    </row>
    <row r="477" customFormat="false" ht="15.75" hidden="false" customHeight="true" outlineLevel="0" collapsed="false">
      <c r="A477" s="1999"/>
      <c r="B477" s="1980"/>
      <c r="C477" s="1671"/>
      <c r="D477" s="1858" t="s">
        <v>395</v>
      </c>
      <c r="E477" s="1858" t="s">
        <v>2264</v>
      </c>
      <c r="F477" s="1858" t="s">
        <v>2265</v>
      </c>
      <c r="H477" s="2008"/>
      <c r="I477" s="1996" t="s">
        <v>2444</v>
      </c>
      <c r="J477" s="972"/>
      <c r="K477" s="972"/>
      <c r="L477" s="1995"/>
      <c r="M477" s="972" t="n">
        <v>7.2</v>
      </c>
      <c r="N477" s="1995"/>
    </row>
    <row r="478" customFormat="false" ht="13.5" hidden="false" customHeight="true" outlineLevel="0" collapsed="false">
      <c r="A478" s="1999"/>
      <c r="B478" s="1997" t="s">
        <v>2445</v>
      </c>
      <c r="C478" s="1981"/>
      <c r="D478" s="1977" t="n">
        <v>3</v>
      </c>
      <c r="E478" s="1977" t="n">
        <v>1.5</v>
      </c>
      <c r="F478" s="1977" t="n">
        <v>1</v>
      </c>
      <c r="H478" s="2008"/>
      <c r="I478" s="2000" t="s">
        <v>2446</v>
      </c>
      <c r="J478" s="2001"/>
      <c r="K478" s="2001"/>
      <c r="L478" s="2002"/>
      <c r="M478" s="2001" t="n">
        <v>9.1</v>
      </c>
      <c r="N478" s="2002"/>
    </row>
    <row r="479" customFormat="false" ht="12.75" hidden="false" customHeight="true" outlineLevel="0" collapsed="false">
      <c r="A479" s="1999"/>
      <c r="B479" s="2006"/>
      <c r="C479" s="2006"/>
      <c r="D479" s="2007"/>
      <c r="E479" s="2007"/>
      <c r="F479" s="2007"/>
      <c r="G479" s="999"/>
      <c r="H479" s="0" t="s">
        <v>2447</v>
      </c>
    </row>
    <row r="480" customFormat="false" ht="12.75" hidden="false" customHeight="true" outlineLevel="0" collapsed="false">
      <c r="A480" s="1999"/>
      <c r="B480" s="1980" t="s">
        <v>2436</v>
      </c>
      <c r="C480" s="1671" t="s">
        <v>2427</v>
      </c>
      <c r="D480" s="1671" t="s">
        <v>2408</v>
      </c>
      <c r="E480" s="1671"/>
      <c r="F480" s="1671"/>
      <c r="G480" s="999"/>
    </row>
    <row r="481" customFormat="false" ht="15.75" hidden="false" customHeight="true" outlineLevel="0" collapsed="false">
      <c r="A481" s="1999"/>
      <c r="B481" s="1980"/>
      <c r="C481" s="1671"/>
      <c r="D481" s="1858" t="s">
        <v>395</v>
      </c>
      <c r="E481" s="1858" t="s">
        <v>2264</v>
      </c>
      <c r="F481" s="1858" t="s">
        <v>2265</v>
      </c>
    </row>
    <row r="482" customFormat="false" ht="12.75" hidden="false" customHeight="true" outlineLevel="0" collapsed="false">
      <c r="A482" s="1999"/>
      <c r="B482" s="1981" t="s">
        <v>2448</v>
      </c>
      <c r="C482" s="1976"/>
      <c r="D482" s="1857" t="n">
        <v>6.8</v>
      </c>
      <c r="E482" s="1857" t="n">
        <v>9.5</v>
      </c>
      <c r="F482" s="1857" t="n">
        <v>5.5</v>
      </c>
    </row>
    <row r="484" customFormat="false" ht="12.75" hidden="false" customHeight="true" outlineLevel="0" collapsed="false">
      <c r="A484" s="1999" t="s">
        <v>2449</v>
      </c>
      <c r="B484" s="1980" t="s">
        <v>2407</v>
      </c>
      <c r="C484" s="1671" t="s">
        <v>1834</v>
      </c>
      <c r="D484" s="1671" t="s">
        <v>2408</v>
      </c>
      <c r="E484" s="1671"/>
      <c r="F484" s="1671"/>
    </row>
    <row r="485" customFormat="false" ht="15.75" hidden="false" customHeight="true" outlineLevel="0" collapsed="false">
      <c r="A485" s="1999"/>
      <c r="B485" s="1980"/>
      <c r="C485" s="1671"/>
      <c r="D485" s="1858" t="s">
        <v>395</v>
      </c>
      <c r="E485" s="1858" t="s">
        <v>2264</v>
      </c>
      <c r="F485" s="1858" t="s">
        <v>2265</v>
      </c>
    </row>
    <row r="486" customFormat="false" ht="12.75" hidden="false" customHeight="true" outlineLevel="0" collapsed="false">
      <c r="A486" s="1999"/>
      <c r="B486" s="2009" t="s">
        <v>2450</v>
      </c>
      <c r="C486" s="2009"/>
      <c r="D486" s="1979" t="n">
        <v>5.3</v>
      </c>
      <c r="E486" s="1979" t="n">
        <v>1.7</v>
      </c>
      <c r="F486" s="1979" t="n">
        <v>7.1</v>
      </c>
    </row>
    <row r="487" customFormat="false" ht="12.75" hidden="false" customHeight="true" outlineLevel="0" collapsed="false">
      <c r="A487" s="1999"/>
      <c r="B487" s="2009" t="s">
        <v>2451</v>
      </c>
      <c r="C487" s="2009"/>
      <c r="D487" s="1979" t="n">
        <v>5.1</v>
      </c>
      <c r="E487" s="1979" t="n">
        <v>2.3</v>
      </c>
      <c r="F487" s="1979" t="n">
        <v>6.2</v>
      </c>
    </row>
    <row r="488" customFormat="false" ht="12.75" hidden="false" customHeight="true" outlineLevel="0" collapsed="false">
      <c r="A488" s="1999"/>
      <c r="B488" s="2010" t="s">
        <v>2452</v>
      </c>
      <c r="C488" s="2010"/>
      <c r="D488" s="1979" t="n">
        <v>5.8</v>
      </c>
      <c r="E488" s="1979" t="n">
        <v>2.3</v>
      </c>
      <c r="F488" s="1979" t="n">
        <v>9.6</v>
      </c>
    </row>
    <row r="489" customFormat="false" ht="12.75" hidden="false" customHeight="true" outlineLevel="0" collapsed="false">
      <c r="A489" s="1999"/>
      <c r="B489" s="2009" t="s">
        <v>2453</v>
      </c>
      <c r="C489" s="2009"/>
      <c r="D489" s="1979" t="n">
        <v>4.9</v>
      </c>
      <c r="E489" s="1979" t="n">
        <v>2.3</v>
      </c>
      <c r="F489" s="1979" t="n">
        <v>9</v>
      </c>
    </row>
    <row r="490" customFormat="false" ht="12.75" hidden="false" customHeight="true" outlineLevel="0" collapsed="false">
      <c r="A490" s="2011"/>
      <c r="B490" s="2012"/>
      <c r="C490" s="2012"/>
      <c r="D490" s="2013"/>
      <c r="E490" s="2013"/>
      <c r="F490" s="2013"/>
    </row>
    <row r="491" customFormat="false" ht="12.75" hidden="false" customHeight="true" outlineLevel="0" collapsed="false">
      <c r="A491" s="1999" t="s">
        <v>2454</v>
      </c>
      <c r="B491" s="1980" t="s">
        <v>2407</v>
      </c>
      <c r="C491" s="1671" t="s">
        <v>2455</v>
      </c>
      <c r="D491" s="1671" t="s">
        <v>2408</v>
      </c>
      <c r="E491" s="1671"/>
      <c r="F491" s="1671"/>
    </row>
    <row r="492" customFormat="false" ht="15.75" hidden="false" customHeight="true" outlineLevel="0" collapsed="false">
      <c r="A492" s="1999"/>
      <c r="B492" s="1980"/>
      <c r="C492" s="1671"/>
      <c r="D492" s="1858" t="s">
        <v>395</v>
      </c>
      <c r="E492" s="1858" t="s">
        <v>2264</v>
      </c>
      <c r="F492" s="1858" t="s">
        <v>2265</v>
      </c>
    </row>
    <row r="493" customFormat="false" ht="12.75" hidden="false" customHeight="true" outlineLevel="0" collapsed="false">
      <c r="A493" s="1999"/>
      <c r="B493" s="2014" t="s">
        <v>2456</v>
      </c>
      <c r="C493" s="2015"/>
      <c r="D493" s="1979" t="n">
        <v>6.1</v>
      </c>
      <c r="E493" s="1979" t="n">
        <v>5.2</v>
      </c>
      <c r="F493" s="1979" t="n">
        <v>7</v>
      </c>
      <c r="G493" s="2016"/>
    </row>
    <row r="494" customFormat="false" ht="12.75" hidden="false" customHeight="true" outlineLevel="0" collapsed="false">
      <c r="A494" s="1999"/>
      <c r="B494" s="2014" t="s">
        <v>2457</v>
      </c>
      <c r="C494" s="2015"/>
      <c r="D494" s="1979" t="n">
        <v>6.7</v>
      </c>
      <c r="E494" s="1979" t="n">
        <v>4</v>
      </c>
      <c r="F494" s="1979" t="n">
        <v>12</v>
      </c>
      <c r="G494" s="2016"/>
    </row>
    <row r="495" customFormat="false" ht="12.75" hidden="false" customHeight="true" outlineLevel="0" collapsed="false">
      <c r="A495" s="1999"/>
      <c r="B495" s="2017"/>
      <c r="C495" s="2018"/>
      <c r="D495" s="2007"/>
      <c r="E495" s="2007"/>
      <c r="F495" s="2007"/>
      <c r="G495" s="2016"/>
    </row>
    <row r="496" customFormat="false" ht="12.75" hidden="false" customHeight="true" outlineLevel="0" collapsed="false">
      <c r="A496" s="1999"/>
      <c r="B496" s="1980" t="s">
        <v>2407</v>
      </c>
      <c r="C496" s="1671" t="s">
        <v>2458</v>
      </c>
      <c r="D496" s="1671" t="s">
        <v>2408</v>
      </c>
      <c r="E496" s="1671"/>
      <c r="F496" s="1671"/>
      <c r="G496" s="2016"/>
    </row>
    <row r="497" customFormat="false" ht="15.75" hidden="false" customHeight="true" outlineLevel="0" collapsed="false">
      <c r="A497" s="1999"/>
      <c r="B497" s="1980"/>
      <c r="C497" s="1671"/>
      <c r="D497" s="1858" t="s">
        <v>395</v>
      </c>
      <c r="E497" s="1858" t="s">
        <v>2264</v>
      </c>
      <c r="F497" s="1858" t="s">
        <v>2265</v>
      </c>
      <c r="G497" s="2016"/>
    </row>
    <row r="498" customFormat="false" ht="12.75" hidden="false" customHeight="true" outlineLevel="0" collapsed="false">
      <c r="A498" s="1999"/>
      <c r="B498" s="1998" t="s">
        <v>2459</v>
      </c>
      <c r="C498" s="1998"/>
      <c r="D498" s="1979" t="n">
        <v>7.2</v>
      </c>
      <c r="E498" s="1979" t="n">
        <v>7</v>
      </c>
      <c r="F498" s="1979" t="n">
        <v>10.2</v>
      </c>
      <c r="G498" s="2016"/>
    </row>
    <row r="499" customFormat="false" ht="12.75" hidden="false" customHeight="true" outlineLevel="0" collapsed="false">
      <c r="A499" s="1999"/>
      <c r="B499" s="2015" t="s">
        <v>2460</v>
      </c>
      <c r="C499" s="2019"/>
      <c r="D499" s="1979" t="n">
        <v>9.1</v>
      </c>
      <c r="E499" s="1979" t="n">
        <v>10.9</v>
      </c>
      <c r="F499" s="1979" t="n">
        <v>11.2</v>
      </c>
      <c r="G499" s="2016"/>
    </row>
    <row r="500" customFormat="false" ht="12.75" hidden="false" customHeight="true" outlineLevel="0" collapsed="false">
      <c r="A500" s="2020"/>
      <c r="B500" s="2021"/>
      <c r="C500" s="2021"/>
      <c r="D500" s="2022"/>
      <c r="E500" s="2022"/>
      <c r="F500" s="2022"/>
      <c r="G500" s="2016"/>
    </row>
    <row r="501" customFormat="false" ht="12.75" hidden="false" customHeight="true" outlineLevel="0" collapsed="false">
      <c r="A501" s="1999" t="s">
        <v>2461</v>
      </c>
      <c r="B501" s="1980" t="s">
        <v>2436</v>
      </c>
      <c r="C501" s="1671" t="s">
        <v>1834</v>
      </c>
      <c r="D501" s="1671" t="s">
        <v>2408</v>
      </c>
      <c r="E501" s="1671"/>
      <c r="F501" s="1671"/>
    </row>
    <row r="502" customFormat="false" ht="15.75" hidden="false" customHeight="true" outlineLevel="0" collapsed="false">
      <c r="A502" s="1999"/>
      <c r="B502" s="1980"/>
      <c r="C502" s="1671"/>
      <c r="D502" s="1858" t="s">
        <v>395</v>
      </c>
      <c r="E502" s="1858" t="s">
        <v>2264</v>
      </c>
      <c r="F502" s="1858" t="s">
        <v>2265</v>
      </c>
    </row>
    <row r="503" customFormat="false" ht="12.75" hidden="false" customHeight="true" outlineLevel="0" collapsed="false">
      <c r="A503" s="1999"/>
      <c r="B503" s="1981" t="s">
        <v>2462</v>
      </c>
      <c r="C503" s="1976"/>
      <c r="D503" s="1977" t="n">
        <v>5.2</v>
      </c>
      <c r="E503" s="1977" t="n">
        <v>1.7</v>
      </c>
      <c r="F503" s="1977" t="n">
        <v>4</v>
      </c>
    </row>
    <row r="504" customFormat="false" ht="12.75" hidden="false" customHeight="true" outlineLevel="0" collapsed="false">
      <c r="A504" s="1999"/>
      <c r="B504" s="1981" t="s">
        <v>2463</v>
      </c>
      <c r="C504" s="1976"/>
      <c r="D504" s="1977" t="n">
        <v>1.6</v>
      </c>
      <c r="E504" s="1977" t="n">
        <v>0.8</v>
      </c>
      <c r="F504" s="1977" t="n">
        <v>2.4</v>
      </c>
    </row>
    <row r="505" customFormat="false" ht="12.75" hidden="false" customHeight="true" outlineLevel="0" collapsed="false">
      <c r="A505" s="1999"/>
      <c r="B505" s="2005" t="s">
        <v>2464</v>
      </c>
      <c r="C505" s="1981"/>
      <c r="D505" s="1977" t="n">
        <v>2.7</v>
      </c>
      <c r="E505" s="1977" t="n">
        <v>1.1</v>
      </c>
      <c r="F505" s="1977" t="n">
        <v>3.3</v>
      </c>
    </row>
    <row r="506" customFormat="false" ht="12.75" hidden="false" customHeight="true" outlineLevel="0" collapsed="false">
      <c r="A506" s="1999"/>
      <c r="B506" s="2005" t="s">
        <v>2465</v>
      </c>
      <c r="C506" s="1981"/>
      <c r="D506" s="1977" t="n">
        <v>2.5</v>
      </c>
      <c r="E506" s="1977" t="n">
        <v>1.1</v>
      </c>
      <c r="F506" s="1977" t="n">
        <v>3.3</v>
      </c>
    </row>
    <row r="507" customFormat="false" ht="12.75" hidden="false" customHeight="true" outlineLevel="0" collapsed="false">
      <c r="A507" s="1999"/>
      <c r="B507" s="1998" t="s">
        <v>2466</v>
      </c>
      <c r="C507" s="1998"/>
      <c r="D507" s="1979" t="n">
        <v>4</v>
      </c>
      <c r="E507" s="1979" t="n">
        <v>2</v>
      </c>
      <c r="F507" s="1979" t="n">
        <v>5</v>
      </c>
      <c r="G507" s="999"/>
    </row>
    <row r="508" customFormat="false" ht="12.75" hidden="false" customHeight="true" outlineLevel="0" collapsed="false">
      <c r="A508" s="1999"/>
      <c r="B508" s="1981" t="s">
        <v>2467</v>
      </c>
      <c r="C508" s="1976"/>
      <c r="D508" s="1977" t="n">
        <v>3.5</v>
      </c>
      <c r="E508" s="1977" t="n">
        <v>1.2</v>
      </c>
      <c r="F508" s="1977" t="n">
        <v>3.8</v>
      </c>
    </row>
    <row r="509" customFormat="false" ht="12.75" hidden="false" customHeight="true" outlineLevel="0" collapsed="false">
      <c r="A509" s="1999"/>
      <c r="B509" s="2023"/>
      <c r="C509" s="2024"/>
      <c r="D509" s="2025"/>
      <c r="E509" s="2025"/>
      <c r="F509" s="2025"/>
    </row>
    <row r="510" customFormat="false" ht="12.75" hidden="false" customHeight="true" outlineLevel="0" collapsed="false">
      <c r="A510" s="1999"/>
      <c r="B510" s="1980" t="s">
        <v>2436</v>
      </c>
      <c r="C510" s="1671" t="s">
        <v>2468</v>
      </c>
      <c r="D510" s="1671" t="s">
        <v>2408</v>
      </c>
      <c r="E510" s="1671"/>
      <c r="F510" s="1671"/>
    </row>
    <row r="511" customFormat="false" ht="15.75" hidden="false" customHeight="true" outlineLevel="0" collapsed="false">
      <c r="A511" s="1999"/>
      <c r="B511" s="1980"/>
      <c r="C511" s="1671"/>
      <c r="D511" s="1858" t="s">
        <v>395</v>
      </c>
      <c r="E511" s="1858" t="s">
        <v>2264</v>
      </c>
      <c r="F511" s="1858" t="s">
        <v>2265</v>
      </c>
    </row>
    <row r="512" customFormat="false" ht="12.75" hidden="false" customHeight="true" outlineLevel="0" collapsed="false">
      <c r="A512" s="1999"/>
      <c r="B512" s="1981" t="s">
        <v>2469</v>
      </c>
      <c r="C512" s="1976"/>
      <c r="D512" s="1977" t="n">
        <v>3</v>
      </c>
      <c r="E512" s="1977" t="n">
        <v>2</v>
      </c>
      <c r="F512" s="1977" t="n">
        <v>3</v>
      </c>
    </row>
    <row r="513" customFormat="false" ht="12.75" hidden="false" customHeight="true" outlineLevel="0" collapsed="false">
      <c r="A513" s="2026"/>
    </row>
    <row r="514" customFormat="false" ht="12.75" hidden="false" customHeight="true" outlineLevel="0" collapsed="false">
      <c r="A514" s="1999" t="s">
        <v>2470</v>
      </c>
      <c r="B514" s="1980" t="s">
        <v>2436</v>
      </c>
      <c r="C514" s="1671" t="s">
        <v>2458</v>
      </c>
      <c r="D514" s="1671" t="s">
        <v>2408</v>
      </c>
      <c r="E514" s="1671"/>
      <c r="F514" s="1671"/>
    </row>
    <row r="515" customFormat="false" ht="15.75" hidden="false" customHeight="true" outlineLevel="0" collapsed="false">
      <c r="A515" s="1999"/>
      <c r="B515" s="1980"/>
      <c r="C515" s="1671"/>
      <c r="D515" s="1858" t="s">
        <v>395</v>
      </c>
      <c r="E515" s="1858" t="s">
        <v>2264</v>
      </c>
      <c r="F515" s="1858" t="s">
        <v>2265</v>
      </c>
    </row>
    <row r="516" customFormat="false" ht="12.75" hidden="false" customHeight="true" outlineLevel="0" collapsed="false">
      <c r="A516" s="1999"/>
      <c r="B516" s="2014" t="s">
        <v>2471</v>
      </c>
      <c r="C516" s="2015"/>
      <c r="D516" s="1979" t="n">
        <v>3</v>
      </c>
      <c r="E516" s="1979" t="n">
        <v>2.1</v>
      </c>
      <c r="F516" s="1979" t="n">
        <v>3</v>
      </c>
      <c r="G516" s="2016"/>
    </row>
    <row r="517" customFormat="false" ht="12.75" hidden="false" customHeight="true" outlineLevel="0" collapsed="false">
      <c r="A517" s="1999"/>
      <c r="B517" s="2027" t="s">
        <v>2472</v>
      </c>
      <c r="C517" s="2015"/>
      <c r="D517" s="1979" t="n">
        <v>4.6</v>
      </c>
      <c r="E517" s="1979" t="n">
        <v>3.8</v>
      </c>
      <c r="F517" s="1979" t="n">
        <v>3</v>
      </c>
      <c r="G517" s="2016"/>
    </row>
    <row r="518" customFormat="false" ht="12.75" hidden="false" customHeight="true" outlineLevel="0" collapsed="false">
      <c r="A518" s="1999"/>
      <c r="B518" s="2014" t="s">
        <v>2473</v>
      </c>
      <c r="C518" s="2015"/>
      <c r="D518" s="1979" t="n">
        <v>9.6</v>
      </c>
      <c r="E518" s="1979" t="n">
        <v>4.8</v>
      </c>
      <c r="F518" s="1979" t="n">
        <v>5.9</v>
      </c>
      <c r="G518" s="2016"/>
    </row>
    <row r="519" customFormat="false" ht="12.75" hidden="false" customHeight="true" outlineLevel="0" collapsed="false">
      <c r="A519" s="1999"/>
      <c r="B519" s="2027" t="s">
        <v>2474</v>
      </c>
      <c r="C519" s="2014"/>
      <c r="D519" s="1979" t="n">
        <v>4.3</v>
      </c>
      <c r="E519" s="1979" t="n">
        <v>3.8</v>
      </c>
      <c r="F519" s="1979" t="n">
        <v>2.6</v>
      </c>
      <c r="G519" s="2016"/>
    </row>
    <row r="520" customFormat="false" ht="12.75" hidden="false" customHeight="true" outlineLevel="0" collapsed="false">
      <c r="A520" s="1999"/>
      <c r="B520" s="1998" t="s">
        <v>2475</v>
      </c>
      <c r="C520" s="1998"/>
      <c r="D520" s="1979" t="n">
        <v>3</v>
      </c>
      <c r="E520" s="1979" t="n">
        <v>0.9</v>
      </c>
      <c r="F520" s="1979" t="n">
        <v>5.7</v>
      </c>
      <c r="G520" s="2016"/>
    </row>
    <row r="521" customFormat="false" ht="12.75" hidden="false" customHeight="true" outlineLevel="0" collapsed="false">
      <c r="A521" s="1999"/>
      <c r="B521" s="2027" t="s">
        <v>2476</v>
      </c>
      <c r="C521" s="2015"/>
      <c r="D521" s="1979" t="n">
        <v>0.4</v>
      </c>
      <c r="E521" s="1979" t="n">
        <v>0.2</v>
      </c>
      <c r="F521" s="1979" t="n">
        <v>1.5</v>
      </c>
      <c r="G521" s="2016"/>
    </row>
    <row r="523" customFormat="false" ht="12.75" hidden="false" customHeight="true" outlineLevel="0" collapsed="false">
      <c r="A523" s="1999" t="s">
        <v>2477</v>
      </c>
      <c r="B523" s="1980" t="s">
        <v>2407</v>
      </c>
      <c r="C523" s="1671" t="s">
        <v>2478</v>
      </c>
      <c r="D523" s="1671" t="s">
        <v>2408</v>
      </c>
      <c r="E523" s="1671"/>
      <c r="F523" s="1671"/>
    </row>
    <row r="524" customFormat="false" ht="15.75" hidden="false" customHeight="true" outlineLevel="0" collapsed="false">
      <c r="A524" s="1999"/>
      <c r="B524" s="1980"/>
      <c r="C524" s="1671"/>
      <c r="D524" s="1858" t="s">
        <v>395</v>
      </c>
      <c r="E524" s="1858" t="s">
        <v>2264</v>
      </c>
      <c r="F524" s="1858" t="s">
        <v>2265</v>
      </c>
    </row>
    <row r="525" customFormat="false" ht="12.75" hidden="false" customHeight="true" outlineLevel="0" collapsed="false">
      <c r="A525" s="1999"/>
      <c r="B525" s="2014" t="s">
        <v>2479</v>
      </c>
      <c r="C525" s="2015"/>
      <c r="D525" s="1979" t="n">
        <v>6.5</v>
      </c>
      <c r="E525" s="1979" t="n">
        <v>3.5</v>
      </c>
      <c r="F525" s="1979" t="n">
        <v>8.5</v>
      </c>
      <c r="G525" s="2016"/>
    </row>
    <row r="526" customFormat="false" ht="12.75" hidden="false" customHeight="true" outlineLevel="0" collapsed="false">
      <c r="A526" s="1999"/>
      <c r="B526" s="2027" t="s">
        <v>2480</v>
      </c>
      <c r="C526" s="2015"/>
      <c r="D526" s="1979" t="n">
        <v>6</v>
      </c>
      <c r="E526" s="1979" t="n">
        <v>3</v>
      </c>
      <c r="F526" s="1979" t="n">
        <v>9</v>
      </c>
      <c r="G526" s="2016"/>
    </row>
    <row r="527" customFormat="false" ht="12.75" hidden="false" customHeight="true" outlineLevel="0" collapsed="false">
      <c r="A527" s="1999"/>
      <c r="B527" s="2014" t="s">
        <v>2481</v>
      </c>
      <c r="C527" s="2015"/>
      <c r="D527" s="1979" t="n">
        <v>9</v>
      </c>
      <c r="E527" s="1979" t="n">
        <v>5.5</v>
      </c>
      <c r="F527" s="1979" t="n">
        <v>12</v>
      </c>
      <c r="G527" s="2016"/>
    </row>
    <row r="528" customFormat="false" ht="12.75" hidden="false" customHeight="true" outlineLevel="0" collapsed="false">
      <c r="A528" s="1999"/>
      <c r="B528" s="2027" t="s">
        <v>2482</v>
      </c>
      <c r="C528" s="2014"/>
      <c r="D528" s="1979" t="n">
        <v>26</v>
      </c>
      <c r="E528" s="1979" t="n">
        <v>22.5</v>
      </c>
      <c r="F528" s="1979" t="n">
        <v>22.5</v>
      </c>
      <c r="G528" s="2016"/>
    </row>
    <row r="529" customFormat="false" ht="12.75" hidden="false" customHeight="true" outlineLevel="0" collapsed="false">
      <c r="A529" s="1999"/>
      <c r="B529" s="2014" t="s">
        <v>2483</v>
      </c>
      <c r="C529" s="2014"/>
      <c r="D529" s="1979" t="n">
        <v>8.2</v>
      </c>
      <c r="E529" s="1979" t="n">
        <v>3.2</v>
      </c>
      <c r="F529" s="1979" t="n">
        <v>9</v>
      </c>
      <c r="G529" s="2016"/>
    </row>
    <row r="530" customFormat="false" ht="12.75" hidden="false" customHeight="true" outlineLevel="0" collapsed="false">
      <c r="A530" s="1999"/>
      <c r="B530" s="1998" t="s">
        <v>2484</v>
      </c>
      <c r="C530" s="1998"/>
      <c r="D530" s="1979" t="n">
        <v>8</v>
      </c>
      <c r="E530" s="1979" t="n">
        <v>8</v>
      </c>
      <c r="F530" s="1979" t="n">
        <v>11</v>
      </c>
      <c r="G530" s="2016"/>
    </row>
    <row r="531" customFormat="false" ht="12.75" hidden="false" customHeight="true" outlineLevel="0" collapsed="false">
      <c r="A531" s="1999"/>
      <c r="B531" s="2023"/>
      <c r="C531" s="2024"/>
      <c r="D531" s="2024"/>
      <c r="E531" s="2024"/>
      <c r="F531" s="2024"/>
    </row>
    <row r="532" customFormat="false" ht="12.75" hidden="false" customHeight="true" outlineLevel="0" collapsed="false">
      <c r="A532" s="1999"/>
      <c r="B532" s="1980" t="s">
        <v>2436</v>
      </c>
      <c r="C532" s="1671" t="s">
        <v>2485</v>
      </c>
      <c r="D532" s="1671" t="s">
        <v>2408</v>
      </c>
      <c r="E532" s="1671"/>
      <c r="F532" s="1671"/>
    </row>
    <row r="533" customFormat="false" ht="15.75" hidden="false" customHeight="true" outlineLevel="0" collapsed="false">
      <c r="A533" s="1999"/>
      <c r="B533" s="1980"/>
      <c r="C533" s="1671"/>
      <c r="D533" s="1858" t="s">
        <v>395</v>
      </c>
      <c r="E533" s="1858" t="s">
        <v>2264</v>
      </c>
      <c r="F533" s="1858" t="s">
        <v>2265</v>
      </c>
    </row>
    <row r="534" customFormat="false" ht="12.75" hidden="false" customHeight="true" outlineLevel="0" collapsed="false">
      <c r="A534" s="1999"/>
      <c r="B534" s="2014" t="s">
        <v>2484</v>
      </c>
      <c r="C534" s="2015"/>
      <c r="D534" s="1979" t="n">
        <v>3</v>
      </c>
      <c r="E534" s="1979" t="n">
        <v>1.5</v>
      </c>
      <c r="F534" s="1979" t="n">
        <v>2</v>
      </c>
      <c r="G534" s="2016"/>
    </row>
    <row r="535" customFormat="false" ht="12.75" hidden="false" customHeight="true" outlineLevel="0" collapsed="false">
      <c r="A535" s="1999"/>
      <c r="B535" s="2027" t="s">
        <v>2486</v>
      </c>
      <c r="C535" s="2015"/>
      <c r="D535" s="1979" t="n">
        <v>3.5</v>
      </c>
      <c r="E535" s="1979" t="n">
        <v>2</v>
      </c>
      <c r="F535" s="1979" t="n">
        <v>4</v>
      </c>
      <c r="G535" s="2016"/>
    </row>
    <row r="536" customFormat="false" ht="12.75" hidden="false" customHeight="true" outlineLevel="0" collapsed="false">
      <c r="A536" s="1999"/>
      <c r="B536" s="2017"/>
      <c r="C536" s="2018"/>
      <c r="D536" s="2007"/>
      <c r="E536" s="2007"/>
      <c r="F536" s="2007"/>
      <c r="G536" s="2016"/>
    </row>
    <row r="537" customFormat="false" ht="12.75" hidden="false" customHeight="true" outlineLevel="0" collapsed="false">
      <c r="A537" s="1999"/>
      <c r="B537" s="1980" t="s">
        <v>2436</v>
      </c>
      <c r="C537" s="1671" t="s">
        <v>2487</v>
      </c>
      <c r="D537" s="1671" t="s">
        <v>2408</v>
      </c>
      <c r="E537" s="1671"/>
      <c r="F537" s="1671"/>
      <c r="G537" s="2016"/>
    </row>
    <row r="538" customFormat="false" ht="15.75" hidden="false" customHeight="true" outlineLevel="0" collapsed="false">
      <c r="A538" s="1999"/>
      <c r="B538" s="1980"/>
      <c r="C538" s="1671"/>
      <c r="D538" s="1858" t="s">
        <v>395</v>
      </c>
      <c r="E538" s="1858" t="s">
        <v>2264</v>
      </c>
      <c r="F538" s="1858" t="s">
        <v>2265</v>
      </c>
      <c r="G538" s="2016"/>
    </row>
    <row r="539" customFormat="false" ht="12.75" hidden="false" customHeight="true" outlineLevel="0" collapsed="false">
      <c r="A539" s="1999"/>
      <c r="B539" s="2027" t="s">
        <v>2486</v>
      </c>
      <c r="C539" s="2014"/>
      <c r="D539" s="1979" t="n">
        <v>0.8</v>
      </c>
      <c r="E539" s="1979" t="n">
        <v>0.3</v>
      </c>
      <c r="F539" s="1979" t="n">
        <v>2.2</v>
      </c>
      <c r="G539" s="2016"/>
    </row>
    <row r="541" customFormat="false" ht="12.75" hidden="false" customHeight="true" outlineLevel="0" collapsed="false">
      <c r="A541" s="1999" t="s">
        <v>2488</v>
      </c>
      <c r="B541" s="1980" t="s">
        <v>2407</v>
      </c>
      <c r="C541" s="1671" t="s">
        <v>2489</v>
      </c>
      <c r="D541" s="1671" t="s">
        <v>2408</v>
      </c>
      <c r="E541" s="1671"/>
      <c r="F541" s="1671"/>
    </row>
    <row r="542" customFormat="false" ht="15.75" hidden="false" customHeight="true" outlineLevel="0" collapsed="false">
      <c r="A542" s="1999"/>
      <c r="B542" s="1980"/>
      <c r="C542" s="1671"/>
      <c r="D542" s="1858" t="s">
        <v>395</v>
      </c>
      <c r="E542" s="1858" t="s">
        <v>2264</v>
      </c>
      <c r="F542" s="1858" t="s">
        <v>2265</v>
      </c>
    </row>
    <row r="543" customFormat="false" ht="12.75" hidden="false" customHeight="true" outlineLevel="0" collapsed="false">
      <c r="A543" s="1999"/>
      <c r="B543" s="2014" t="s">
        <v>2490</v>
      </c>
      <c r="C543" s="2015"/>
      <c r="D543" s="2028" t="s">
        <v>2491</v>
      </c>
      <c r="E543" s="2028" t="s">
        <v>2492</v>
      </c>
      <c r="F543" s="2028" t="s">
        <v>2493</v>
      </c>
      <c r="G543" s="2016"/>
    </row>
    <row r="544" customFormat="false" ht="12.75" hidden="false" customHeight="true" outlineLevel="0" collapsed="false">
      <c r="A544" s="1999"/>
      <c r="B544" s="2027" t="s">
        <v>2494</v>
      </c>
      <c r="C544" s="2015"/>
      <c r="D544" s="2028" t="s">
        <v>2495</v>
      </c>
      <c r="E544" s="2028" t="s">
        <v>2496</v>
      </c>
      <c r="F544" s="2028" t="s">
        <v>2497</v>
      </c>
      <c r="G544" s="2016"/>
    </row>
    <row r="545" customFormat="false" ht="12.75" hidden="false" customHeight="true" outlineLevel="0" collapsed="false">
      <c r="A545" s="1999"/>
      <c r="B545" s="2014" t="s">
        <v>2498</v>
      </c>
      <c r="C545" s="2015"/>
      <c r="D545" s="2028" t="s">
        <v>2499</v>
      </c>
      <c r="E545" s="2028" t="s">
        <v>2500</v>
      </c>
      <c r="F545" s="2028" t="s">
        <v>2501</v>
      </c>
      <c r="G545" s="2016"/>
    </row>
    <row r="546" customFormat="false" ht="12.75" hidden="false" customHeight="true" outlineLevel="0" collapsed="false">
      <c r="A546" s="1999"/>
      <c r="B546" s="2027" t="s">
        <v>2502</v>
      </c>
      <c r="C546" s="2014"/>
      <c r="D546" s="2028" t="s">
        <v>2496</v>
      </c>
      <c r="E546" s="2028" t="s">
        <v>2503</v>
      </c>
      <c r="F546" s="2028" t="s">
        <v>2504</v>
      </c>
      <c r="G546" s="2016"/>
    </row>
    <row r="547" customFormat="false" ht="12.75" hidden="false" customHeight="true" outlineLevel="0" collapsed="false">
      <c r="A547" s="1999"/>
      <c r="B547" s="2014" t="s">
        <v>2505</v>
      </c>
      <c r="C547" s="2014"/>
      <c r="D547" s="2028" t="s">
        <v>2506</v>
      </c>
      <c r="E547" s="2028" t="s">
        <v>2507</v>
      </c>
      <c r="F547" s="2028" t="s">
        <v>2508</v>
      </c>
      <c r="G547" s="2016"/>
    </row>
    <row r="548" customFormat="false" ht="12.75" hidden="false" customHeight="true" outlineLevel="0" collapsed="false">
      <c r="A548" s="1416"/>
      <c r="D548" s="1846"/>
    </row>
    <row r="569" customFormat="false" ht="12.75" hidden="false" customHeight="true" outlineLevel="0" collapsed="false">
      <c r="P569" s="0" t="s">
        <v>2509</v>
      </c>
    </row>
    <row r="574" customFormat="false" ht="12.75" hidden="false" customHeight="true" outlineLevel="0" collapsed="false">
      <c r="A574" s="1416"/>
      <c r="D574" s="1846"/>
    </row>
    <row r="575" customFormat="false" ht="12.75" hidden="false" customHeight="true" outlineLevel="0" collapsed="false">
      <c r="A575" s="1416"/>
      <c r="D575" s="1846"/>
    </row>
    <row r="576" customFormat="false" ht="15" hidden="false" customHeight="true" outlineLevel="0" collapsed="false">
      <c r="A576" s="1853" t="s">
        <v>2510</v>
      </c>
      <c r="D576" s="1846"/>
    </row>
    <row r="577" customFormat="false" ht="12.75" hidden="false" customHeight="true" outlineLevel="0" collapsed="false">
      <c r="A577" s="1416"/>
      <c r="D577" s="1846"/>
    </row>
    <row r="578" customFormat="false" ht="12.75" hidden="false" customHeight="true" outlineLevel="0" collapsed="false">
      <c r="A578" s="1416"/>
      <c r="C578" s="1976" t="s">
        <v>2511</v>
      </c>
      <c r="D578" s="1858" t="s">
        <v>395</v>
      </c>
      <c r="E578" s="1858" t="s">
        <v>396</v>
      </c>
      <c r="F578" s="1858" t="s">
        <v>397</v>
      </c>
    </row>
    <row r="579" customFormat="false" ht="12.75" hidden="false" customHeight="true" outlineLevel="0" collapsed="false">
      <c r="A579" s="1416"/>
      <c r="C579" s="1976" t="s">
        <v>181</v>
      </c>
      <c r="D579" s="1857" t="n">
        <v>12.5</v>
      </c>
      <c r="E579" s="1977" t="n">
        <f aca="false">H579/0.437</f>
        <v>5.49199084668192</v>
      </c>
      <c r="F579" s="1977" t="n">
        <f aca="false">I579/0.83</f>
        <v>12.5301204819277</v>
      </c>
      <c r="H579" s="0" t="n">
        <v>2.4</v>
      </c>
      <c r="I579" s="0" t="n">
        <v>10.4</v>
      </c>
    </row>
    <row r="580" customFormat="false" ht="12.75" hidden="false" customHeight="true" outlineLevel="0" collapsed="false">
      <c r="A580" s="1416"/>
      <c r="C580" s="1976" t="s">
        <v>183</v>
      </c>
      <c r="D580" s="1857" t="n">
        <v>20</v>
      </c>
      <c r="E580" s="1977" t="n">
        <f aca="false">H580/0.437</f>
        <v>5.94965675057208</v>
      </c>
      <c r="F580" s="1977" t="n">
        <f aca="false">I580/0.83</f>
        <v>24.9397590361446</v>
      </c>
      <c r="H580" s="0" t="n">
        <v>2.6</v>
      </c>
      <c r="I580" s="0" t="n">
        <v>20.7</v>
      </c>
    </row>
    <row r="581" customFormat="false" ht="12.75" hidden="false" customHeight="true" outlineLevel="0" collapsed="false">
      <c r="A581" s="1416"/>
      <c r="C581" s="1976" t="s">
        <v>185</v>
      </c>
      <c r="D581" s="1857" t="n">
        <v>15</v>
      </c>
      <c r="E581" s="1977" t="n">
        <f aca="false">H581/0.437</f>
        <v>5.94965675057208</v>
      </c>
      <c r="F581" s="1977" t="n">
        <f aca="false">I581/0.83</f>
        <v>22.0481927710843</v>
      </c>
      <c r="H581" s="0" t="n">
        <v>2.6</v>
      </c>
      <c r="I581" s="0" t="n">
        <v>18.3</v>
      </c>
    </row>
    <row r="582" customFormat="false" ht="12.75" hidden="false" customHeight="true" outlineLevel="0" collapsed="false">
      <c r="A582" s="1416"/>
      <c r="C582" s="1976" t="s">
        <v>187</v>
      </c>
      <c r="D582" s="1857" t="n">
        <v>28</v>
      </c>
      <c r="E582" s="1977" t="n">
        <f aca="false">H582/0.437</f>
        <v>5.94965675057208</v>
      </c>
      <c r="F582" s="1977" t="n">
        <f aca="false">I582/0.83</f>
        <v>24.9397590361446</v>
      </c>
      <c r="H582" s="0" t="n">
        <v>2.6</v>
      </c>
      <c r="I582" s="0" t="n">
        <v>20.7</v>
      </c>
    </row>
    <row r="583" customFormat="false" ht="12.75" hidden="false" customHeight="true" outlineLevel="0" collapsed="false">
      <c r="A583" s="1416"/>
      <c r="C583" s="1976" t="s">
        <v>189</v>
      </c>
      <c r="D583" s="1857" t="n">
        <v>25</v>
      </c>
      <c r="E583" s="1977" t="n">
        <v>8</v>
      </c>
      <c r="F583" s="1977" t="n">
        <f aca="false">I583/0.83</f>
        <v>33.0120481927711</v>
      </c>
      <c r="H583" s="0" t="n">
        <v>3.5</v>
      </c>
      <c r="I583" s="0" t="n">
        <v>27.4</v>
      </c>
    </row>
    <row r="584" customFormat="false" ht="12.75" hidden="false" customHeight="true" outlineLevel="0" collapsed="false">
      <c r="A584" s="1416"/>
      <c r="C584" s="1976" t="s">
        <v>191</v>
      </c>
      <c r="D584" s="1857" t="n">
        <v>15</v>
      </c>
      <c r="E584" s="1977" t="n">
        <f aca="false">H584/0.437</f>
        <v>5.94965675057208</v>
      </c>
      <c r="F584" s="1977" t="n">
        <f aca="false">I584/0.83</f>
        <v>20</v>
      </c>
      <c r="H584" s="0" t="n">
        <v>2.6</v>
      </c>
      <c r="I584" s="0" t="n">
        <v>16.6</v>
      </c>
    </row>
    <row r="585" customFormat="false" ht="12.75" hidden="false" customHeight="true" outlineLevel="0" collapsed="false">
      <c r="A585" s="1416"/>
      <c r="C585" s="1976" t="s">
        <v>193</v>
      </c>
      <c r="D585" s="1857" t="n">
        <v>35</v>
      </c>
      <c r="E585" s="1977" t="n">
        <f aca="false">H585/0.437</f>
        <v>8.0091533180778</v>
      </c>
      <c r="F585" s="1977" t="n">
        <f aca="false">I585/0.83</f>
        <v>40</v>
      </c>
      <c r="H585" s="0" t="n">
        <v>3.5</v>
      </c>
      <c r="I585" s="0" t="n">
        <v>33.2</v>
      </c>
    </row>
    <row r="586" customFormat="false" ht="12.75" hidden="false" customHeight="true" outlineLevel="0" collapsed="false">
      <c r="A586" s="1416"/>
      <c r="C586" s="1976" t="s">
        <v>195</v>
      </c>
      <c r="D586" s="1857" t="n">
        <v>16</v>
      </c>
      <c r="E586" s="1977" t="n">
        <f aca="false">H586/0.437</f>
        <v>3.4324942791762</v>
      </c>
      <c r="F586" s="1977" t="n">
        <f aca="false">I586/0.83</f>
        <v>34.9397590361446</v>
      </c>
      <c r="H586" s="0" t="n">
        <v>1.5</v>
      </c>
      <c r="I586" s="0" t="n">
        <v>29</v>
      </c>
    </row>
    <row r="587" customFormat="false" ht="12.75" hidden="false" customHeight="true" outlineLevel="0" collapsed="false">
      <c r="A587" s="1416"/>
      <c r="C587" s="1976" t="s">
        <v>197</v>
      </c>
      <c r="D587" s="1857" t="n">
        <v>16</v>
      </c>
      <c r="E587" s="1977" t="n">
        <f aca="false">H587/0.437</f>
        <v>2.2883295194508</v>
      </c>
      <c r="F587" s="1977" t="n">
        <f aca="false">I587/0.83</f>
        <v>7.46987951807229</v>
      </c>
      <c r="H587" s="0" t="n">
        <v>1</v>
      </c>
      <c r="I587" s="0" t="n">
        <v>6.2</v>
      </c>
    </row>
    <row r="588" customFormat="false" ht="12.75" hidden="false" customHeight="true" outlineLevel="0" collapsed="false">
      <c r="A588" s="1416"/>
      <c r="C588" s="1976" t="s">
        <v>2512</v>
      </c>
      <c r="D588" s="1857" t="n">
        <v>16</v>
      </c>
      <c r="E588" s="1977" t="n">
        <f aca="false">H588/0.437</f>
        <v>2.2883295194508</v>
      </c>
      <c r="F588" s="1977" t="n">
        <f aca="false">I588/0.83</f>
        <v>7.46987951807229</v>
      </c>
      <c r="H588" s="0" t="n">
        <v>1</v>
      </c>
      <c r="I588" s="0" t="n">
        <v>6.2</v>
      </c>
    </row>
    <row r="589" customFormat="false" ht="12.75" hidden="false" customHeight="true" outlineLevel="0" collapsed="false">
      <c r="A589" s="1416"/>
      <c r="C589" s="1976" t="s">
        <v>199</v>
      </c>
      <c r="D589" s="1857" t="n">
        <v>23.3</v>
      </c>
      <c r="E589" s="1977" t="n">
        <f aca="false">H589/0.437</f>
        <v>1.1441647597254</v>
      </c>
      <c r="F589" s="1977" t="n">
        <f aca="false">I589/0.83</f>
        <v>47.9518072289157</v>
      </c>
      <c r="H589" s="0" t="n">
        <v>0.5</v>
      </c>
      <c r="I589" s="0" t="n">
        <v>39.8</v>
      </c>
    </row>
    <row r="590" customFormat="false" ht="12.75" hidden="false" customHeight="true" outlineLevel="0" collapsed="false">
      <c r="A590" s="1416"/>
      <c r="C590" s="1976" t="s">
        <v>201</v>
      </c>
      <c r="D590" s="1857" t="n">
        <v>48</v>
      </c>
      <c r="E590" s="1977" t="n">
        <f aca="false">H590/0.437</f>
        <v>13.0434782608696</v>
      </c>
      <c r="F590" s="1977" t="n">
        <f aca="false">I590/0.83</f>
        <v>0.963855421686747</v>
      </c>
      <c r="H590" s="0" t="n">
        <v>5.7</v>
      </c>
      <c r="I590" s="0" t="n">
        <v>0.8</v>
      </c>
    </row>
    <row r="591" customFormat="false" ht="12.75" hidden="false" customHeight="true" outlineLevel="0" collapsed="false">
      <c r="A591" s="1416"/>
      <c r="C591" s="1976" t="s">
        <v>2513</v>
      </c>
      <c r="D591" s="1857" t="n">
        <v>26</v>
      </c>
      <c r="E591" s="1977" t="n">
        <f aca="false">H591/0.437</f>
        <v>6.17848970251716</v>
      </c>
      <c r="F591" s="1977" t="n">
        <f aca="false">I591/0.83</f>
        <v>18.0722891566265</v>
      </c>
      <c r="H591" s="0" t="n">
        <v>2.7</v>
      </c>
      <c r="I591" s="0" t="n">
        <v>15</v>
      </c>
    </row>
    <row r="592" customFormat="false" ht="12.75" hidden="false" customHeight="true" outlineLevel="0" collapsed="false">
      <c r="A592" s="1416"/>
      <c r="C592" s="1976" t="s">
        <v>305</v>
      </c>
      <c r="D592" s="1857" t="n">
        <v>16</v>
      </c>
      <c r="E592" s="1977" t="n">
        <f aca="false">H592/0.437</f>
        <v>2.51716247139588</v>
      </c>
      <c r="F592" s="1977" t="n">
        <f aca="false">I592/0.83</f>
        <v>12.0481927710843</v>
      </c>
      <c r="H592" s="0" t="n">
        <v>1.1</v>
      </c>
      <c r="I592" s="0" t="n">
        <v>10</v>
      </c>
    </row>
    <row r="593" customFormat="false" ht="12.75" hidden="false" customHeight="true" outlineLevel="0" collapsed="false">
      <c r="A593" s="1416"/>
      <c r="C593" s="1976" t="s">
        <v>2514</v>
      </c>
      <c r="D593" s="1857" t="n">
        <v>6</v>
      </c>
      <c r="E593" s="1977" t="n">
        <f aca="false">H593/0.437</f>
        <v>2.51716247139588</v>
      </c>
      <c r="F593" s="1977" t="n">
        <f aca="false">I593/0.83</f>
        <v>12.0481927710843</v>
      </c>
      <c r="H593" s="0" t="n">
        <v>1.1</v>
      </c>
      <c r="I593" s="0" t="n">
        <v>10</v>
      </c>
    </row>
    <row r="594" customFormat="false" ht="12.75" hidden="false" customHeight="true" outlineLevel="0" collapsed="false">
      <c r="A594" s="1416"/>
      <c r="C594" s="1976" t="s">
        <v>207</v>
      </c>
      <c r="D594" s="1857" t="n">
        <v>14</v>
      </c>
      <c r="E594" s="1977" t="n">
        <f aca="false">H594/0.437</f>
        <v>2.97482837528604</v>
      </c>
      <c r="F594" s="1977" t="n">
        <f aca="false">I594/0.83</f>
        <v>24.9397590361446</v>
      </c>
      <c r="H594" s="0" t="n">
        <v>1.3</v>
      </c>
      <c r="I594" s="0" t="n">
        <v>20.7</v>
      </c>
    </row>
    <row r="595" customFormat="false" ht="12.75" hidden="false" customHeight="true" outlineLevel="0" collapsed="false">
      <c r="A595" s="1416"/>
      <c r="D595" s="1846"/>
      <c r="E595" s="1846"/>
      <c r="F595" s="1846"/>
    </row>
    <row r="596" customFormat="false" ht="15" hidden="false" customHeight="true" outlineLevel="0" collapsed="false">
      <c r="A596" s="1853" t="s">
        <v>2515</v>
      </c>
      <c r="D596" s="1846"/>
    </row>
    <row r="597" customFormat="false" ht="12.75" hidden="false" customHeight="true" outlineLevel="0" collapsed="false">
      <c r="A597" s="1416"/>
      <c r="D597" s="1846"/>
    </row>
    <row r="598" customFormat="false" ht="12.75" hidden="false" customHeight="true" outlineLevel="0" collapsed="false">
      <c r="A598" s="1416"/>
      <c r="C598" s="1976" t="s">
        <v>2516</v>
      </c>
      <c r="D598" s="1858" t="s">
        <v>395</v>
      </c>
      <c r="E598" s="1858" t="s">
        <v>396</v>
      </c>
      <c r="F598" s="1858" t="s">
        <v>397</v>
      </c>
    </row>
    <row r="599" customFormat="false" ht="12.75" hidden="false" customHeight="true" outlineLevel="0" collapsed="false">
      <c r="A599" s="1416"/>
      <c r="B599" s="1999" t="s">
        <v>2517</v>
      </c>
      <c r="C599" s="1976" t="s">
        <v>332</v>
      </c>
      <c r="D599" s="1857" t="n">
        <v>15.5</v>
      </c>
      <c r="E599" s="1977" t="n">
        <f aca="false">H599/0.437</f>
        <v>8.0091533180778</v>
      </c>
      <c r="F599" s="1977" t="n">
        <f aca="false">I599/0.83</f>
        <v>5.18072289156626</v>
      </c>
      <c r="H599" s="0" t="n">
        <v>3.5</v>
      </c>
      <c r="I599" s="0" t="n">
        <v>4.3</v>
      </c>
    </row>
    <row r="600" customFormat="false" ht="12.75" hidden="false" customHeight="true" outlineLevel="0" collapsed="false">
      <c r="A600" s="1416"/>
      <c r="B600" s="1999"/>
      <c r="C600" s="1976" t="s">
        <v>2518</v>
      </c>
      <c r="D600" s="1857" t="n">
        <v>13</v>
      </c>
      <c r="E600" s="1977" t="n">
        <f aca="false">H600/0.437</f>
        <v>8.0091533180778</v>
      </c>
      <c r="F600" s="1977" t="n">
        <f aca="false">I600/0.83</f>
        <v>6.98795180722891</v>
      </c>
      <c r="H600" s="0" t="n">
        <v>3.5</v>
      </c>
      <c r="I600" s="0" t="n">
        <v>5.8</v>
      </c>
    </row>
    <row r="601" customFormat="false" ht="12.75" hidden="false" customHeight="true" outlineLevel="0" collapsed="false">
      <c r="A601" s="1416"/>
      <c r="B601" s="1999"/>
      <c r="C601" s="1976" t="s">
        <v>335</v>
      </c>
      <c r="D601" s="1857" t="n">
        <v>13</v>
      </c>
      <c r="E601" s="1977" t="n">
        <f aca="false">H601/0.437</f>
        <v>6.8649885583524</v>
      </c>
      <c r="F601" s="1977" t="n">
        <f aca="false">I601/0.83</f>
        <v>4.33734939759036</v>
      </c>
      <c r="H601" s="0" t="n">
        <v>3</v>
      </c>
      <c r="I601" s="0" t="n">
        <v>3.6</v>
      </c>
    </row>
    <row r="602" customFormat="false" ht="12.75" hidden="false" customHeight="true" outlineLevel="0" collapsed="false">
      <c r="A602" s="1416"/>
      <c r="B602" s="1999"/>
      <c r="C602" s="1976" t="s">
        <v>2519</v>
      </c>
      <c r="D602" s="1857" t="n">
        <v>73</v>
      </c>
      <c r="E602" s="1977" t="n">
        <f aca="false">H602/0.437</f>
        <v>16.0183066361556</v>
      </c>
      <c r="F602" s="1977" t="n">
        <f aca="false">I602/0.83</f>
        <v>20.9638554216867</v>
      </c>
      <c r="H602" s="0" t="n">
        <v>7</v>
      </c>
      <c r="I602" s="0" t="n">
        <v>17.4</v>
      </c>
    </row>
    <row r="603" customFormat="false" ht="12.75" hidden="false" customHeight="true" outlineLevel="0" collapsed="false">
      <c r="A603" s="1416"/>
      <c r="B603" s="1999"/>
      <c r="C603" s="1976" t="s">
        <v>2520</v>
      </c>
      <c r="D603" s="1857" t="n">
        <v>71</v>
      </c>
      <c r="E603" s="1977" t="n">
        <v>8</v>
      </c>
      <c r="F603" s="1977" t="n">
        <f aca="false">I603/0.83</f>
        <v>20.9638554216867</v>
      </c>
      <c r="H603" s="0" t="n">
        <v>7</v>
      </c>
      <c r="I603" s="0" t="n">
        <v>17.4</v>
      </c>
    </row>
    <row r="604" customFormat="false" ht="12.75" hidden="false" customHeight="true" outlineLevel="0" collapsed="false">
      <c r="A604" s="1416"/>
      <c r="B604" s="1999"/>
      <c r="C604" s="1976" t="s">
        <v>2521</v>
      </c>
      <c r="D604" s="1857" t="n">
        <v>68</v>
      </c>
      <c r="E604" s="1977" t="n">
        <f aca="false">H604/0.437</f>
        <v>13.9588100686499</v>
      </c>
      <c r="F604" s="1977" t="n">
        <f aca="false">I604/0.83</f>
        <v>20.9638554216867</v>
      </c>
      <c r="H604" s="0" t="n">
        <v>6.1</v>
      </c>
      <c r="I604" s="0" t="n">
        <v>17.4</v>
      </c>
    </row>
    <row r="605" customFormat="false" ht="12.75" hidden="false" customHeight="true" outlineLevel="0" collapsed="false">
      <c r="A605" s="1416"/>
      <c r="B605" s="1999"/>
      <c r="C605" s="1976" t="s">
        <v>2522</v>
      </c>
      <c r="D605" s="1857" t="n">
        <v>56</v>
      </c>
      <c r="E605" s="1977" t="n">
        <f aca="false">H605/0.437</f>
        <v>25.1716247139588</v>
      </c>
      <c r="F605" s="1977" t="n">
        <f aca="false">I605/0.83</f>
        <v>13.0120481927711</v>
      </c>
      <c r="H605" s="0" t="n">
        <v>11</v>
      </c>
      <c r="I605" s="0" t="n">
        <v>10.8</v>
      </c>
    </row>
    <row r="606" customFormat="false" ht="12.75" hidden="false" customHeight="true" outlineLevel="0" collapsed="false">
      <c r="A606" s="1416"/>
      <c r="B606" s="1999"/>
      <c r="C606" s="1976" t="s">
        <v>1864</v>
      </c>
      <c r="D606" s="1857" t="n">
        <v>32.5</v>
      </c>
      <c r="E606" s="1977" t="n">
        <f aca="false">H606/0.437</f>
        <v>8.69565217391304</v>
      </c>
      <c r="F606" s="1977" t="n">
        <f aca="false">I606/0.83</f>
        <v>11.2048192771084</v>
      </c>
      <c r="H606" s="0" t="n">
        <v>3.8</v>
      </c>
      <c r="I606" s="0" t="n">
        <v>9.3</v>
      </c>
    </row>
    <row r="607" customFormat="false" ht="12.75" hidden="false" customHeight="true" outlineLevel="0" collapsed="false">
      <c r="A607" s="1416"/>
      <c r="B607" s="1999"/>
      <c r="C607" s="1976" t="s">
        <v>2523</v>
      </c>
      <c r="D607" s="1857" t="n">
        <v>55.5</v>
      </c>
      <c r="E607" s="1977" t="n">
        <f aca="false">H607/0.437</f>
        <v>8.92448512585812</v>
      </c>
      <c r="F607" s="1977" t="n">
        <f aca="false">I607/0.83</f>
        <v>16.9879518072289</v>
      </c>
      <c r="H607" s="0" t="n">
        <v>3.9</v>
      </c>
      <c r="I607" s="0" t="n">
        <v>14.1</v>
      </c>
    </row>
    <row r="608" customFormat="false" ht="12.75" hidden="false" customHeight="true" outlineLevel="0" collapsed="false">
      <c r="A608" s="1416"/>
      <c r="B608" s="1999"/>
      <c r="C608" s="1976" t="s">
        <v>206</v>
      </c>
      <c r="D608" s="1857" t="n">
        <v>16</v>
      </c>
      <c r="E608" s="1977" t="n">
        <f aca="false">H608/0.437</f>
        <v>2.2883295194508</v>
      </c>
      <c r="F608" s="1977" t="n">
        <f aca="false">I608/0.83</f>
        <v>7.46987951807229</v>
      </c>
      <c r="H608" s="0" t="n">
        <v>1</v>
      </c>
      <c r="I608" s="0" t="n">
        <v>6.2</v>
      </c>
    </row>
    <row r="609" customFormat="false" ht="12.75" hidden="false" customHeight="true" outlineLevel="0" collapsed="false">
      <c r="A609" s="1416"/>
      <c r="B609" s="1999"/>
      <c r="C609" s="1976" t="s">
        <v>2524</v>
      </c>
      <c r="D609" s="1857" t="n">
        <v>25.6</v>
      </c>
      <c r="E609" s="1977" t="n">
        <f aca="false">H609/0.437</f>
        <v>6.17848970251716</v>
      </c>
      <c r="F609" s="1977" t="n">
        <f aca="false">I609/0.83</f>
        <v>18.0722891566265</v>
      </c>
      <c r="H609" s="0" t="n">
        <v>2.7</v>
      </c>
      <c r="I609" s="0" t="n">
        <v>15</v>
      </c>
    </row>
    <row r="610" customFormat="false" ht="12.75" hidden="false" customHeight="true" outlineLevel="0" collapsed="false">
      <c r="A610" s="1416"/>
      <c r="B610" s="1999"/>
      <c r="C610" s="1976" t="s">
        <v>2525</v>
      </c>
      <c r="D610" s="1857" t="n">
        <v>28.8</v>
      </c>
      <c r="E610" s="1977" t="n">
        <f aca="false">H610/0.437</f>
        <v>6.17848970251716</v>
      </c>
      <c r="F610" s="1977" t="n">
        <f aca="false">I610/0.83</f>
        <v>18.0722891566265</v>
      </c>
      <c r="H610" s="0" t="n">
        <v>2.7</v>
      </c>
      <c r="I610" s="0" t="n">
        <v>15</v>
      </c>
    </row>
    <row r="611" customFormat="false" ht="12.75" hidden="false" customHeight="true" outlineLevel="0" collapsed="false">
      <c r="A611" s="1416"/>
      <c r="B611" s="1999"/>
      <c r="C611" s="1976" t="s">
        <v>2526</v>
      </c>
      <c r="D611" s="1857" t="n">
        <v>32</v>
      </c>
      <c r="E611" s="1977" t="n">
        <f aca="false">H611/0.437</f>
        <v>6.17848970251716</v>
      </c>
      <c r="F611" s="1977" t="n">
        <f aca="false">I611/0.83</f>
        <v>18.0722891566265</v>
      </c>
      <c r="H611" s="0" t="n">
        <v>2.7</v>
      </c>
      <c r="I611" s="0" t="n">
        <v>15</v>
      </c>
    </row>
    <row r="612" customFormat="false" ht="12.75" hidden="false" customHeight="true" outlineLevel="0" collapsed="false">
      <c r="A612" s="1416"/>
      <c r="B612" s="1999"/>
      <c r="C612" s="1976" t="s">
        <v>2527</v>
      </c>
      <c r="D612" s="1857" t="n">
        <v>35.2</v>
      </c>
      <c r="E612" s="1977" t="n">
        <f aca="false">H612/0.437</f>
        <v>6.17848970251716</v>
      </c>
      <c r="F612" s="1977" t="n">
        <f aca="false">I612/0.83</f>
        <v>18.0722891566265</v>
      </c>
      <c r="H612" s="0" t="n">
        <v>2.7</v>
      </c>
      <c r="I612" s="0" t="n">
        <v>15</v>
      </c>
    </row>
    <row r="613" customFormat="false" ht="12.75" hidden="false" customHeight="true" outlineLevel="0" collapsed="false">
      <c r="A613" s="1416"/>
      <c r="D613" s="1846"/>
    </row>
    <row r="614" customFormat="false" ht="12.75" hidden="false" customHeight="true" outlineLevel="0" collapsed="false">
      <c r="A614" s="1416"/>
      <c r="C614" s="1976" t="s">
        <v>2516</v>
      </c>
      <c r="D614" s="1858" t="s">
        <v>395</v>
      </c>
      <c r="E614" s="1858" t="s">
        <v>396</v>
      </c>
      <c r="F614" s="1858" t="s">
        <v>397</v>
      </c>
    </row>
    <row r="615" customFormat="false" ht="12.75" hidden="false" customHeight="true" outlineLevel="0" collapsed="false">
      <c r="A615" s="1416"/>
      <c r="B615" s="1999" t="s">
        <v>2528</v>
      </c>
      <c r="C615" s="1976" t="s">
        <v>209</v>
      </c>
      <c r="D615" s="1857" t="n">
        <v>19.2</v>
      </c>
      <c r="E615" s="1977" t="n">
        <f aca="false">H615/0.437</f>
        <v>8.92448512585812</v>
      </c>
      <c r="F615" s="1977" t="n">
        <f aca="false">I615/0.83</f>
        <v>6.02409638554217</v>
      </c>
      <c r="H615" s="0" t="n">
        <v>3.9</v>
      </c>
      <c r="I615" s="0" t="n">
        <v>5</v>
      </c>
    </row>
    <row r="616" customFormat="false" ht="12.75" hidden="false" customHeight="true" outlineLevel="0" collapsed="false">
      <c r="A616" s="1416"/>
      <c r="B616" s="1999"/>
      <c r="C616" s="1976" t="s">
        <v>210</v>
      </c>
      <c r="D616" s="1857" t="n">
        <v>22.4</v>
      </c>
      <c r="E616" s="1977" t="n">
        <f aca="false">H616/0.437</f>
        <v>8.92448512585812</v>
      </c>
      <c r="F616" s="1977" t="n">
        <f aca="false">I616/0.83</f>
        <v>6.98795180722891</v>
      </c>
      <c r="H616" s="0" t="n">
        <v>3.9</v>
      </c>
      <c r="I616" s="0" t="n">
        <v>5.8</v>
      </c>
    </row>
    <row r="617" customFormat="false" ht="12.75" hidden="false" customHeight="true" outlineLevel="0" collapsed="false">
      <c r="A617" s="1416"/>
      <c r="B617" s="1999"/>
      <c r="C617" s="1976" t="s">
        <v>211</v>
      </c>
      <c r="D617" s="1857" t="n">
        <v>29</v>
      </c>
      <c r="E617" s="1977" t="n">
        <f aca="false">H617/0.437</f>
        <v>10.0686498855835</v>
      </c>
      <c r="F617" s="1977" t="n">
        <f aca="false">I617/0.83</f>
        <v>9.03614457831325</v>
      </c>
      <c r="H617" s="0" t="n">
        <v>4.4</v>
      </c>
      <c r="I617" s="0" t="n">
        <v>7.5</v>
      </c>
    </row>
    <row r="618" customFormat="false" ht="12.75" hidden="false" customHeight="true" outlineLevel="0" collapsed="false">
      <c r="A618" s="1416"/>
      <c r="B618" s="1999"/>
      <c r="C618" s="1976" t="s">
        <v>212</v>
      </c>
      <c r="D618" s="1857" t="n">
        <v>35</v>
      </c>
      <c r="E618" s="1977" t="n">
        <f aca="false">H618/0.437</f>
        <v>10.9839816933638</v>
      </c>
      <c r="F618" s="1977" t="n">
        <f aca="false">I618/0.83</f>
        <v>11.0843373493976</v>
      </c>
      <c r="H618" s="0" t="n">
        <v>4.8</v>
      </c>
      <c r="I618" s="0" t="n">
        <v>9.2</v>
      </c>
    </row>
    <row r="619" customFormat="false" ht="12.75" hidden="false" customHeight="true" outlineLevel="0" collapsed="false">
      <c r="A619" s="1416"/>
      <c r="B619" s="1999"/>
      <c r="C619" s="1976" t="s">
        <v>213</v>
      </c>
      <c r="D619" s="1857" t="n">
        <v>42</v>
      </c>
      <c r="E619" s="1977" t="n">
        <v>8</v>
      </c>
      <c r="F619" s="1977" t="n">
        <f aca="false">I619/0.83</f>
        <v>12.0481927710843</v>
      </c>
      <c r="H619" s="0" t="n">
        <v>5.2</v>
      </c>
      <c r="I619" s="0" t="n">
        <v>10</v>
      </c>
    </row>
    <row r="620" customFormat="false" ht="12.75" hidden="false" customHeight="true" outlineLevel="0" collapsed="false">
      <c r="A620" s="1416"/>
      <c r="B620" s="1999"/>
      <c r="C620" s="1976" t="s">
        <v>214</v>
      </c>
      <c r="D620" s="1857" t="n">
        <v>48</v>
      </c>
      <c r="E620" s="1977" t="n">
        <f aca="false">H620/0.437</f>
        <v>13.0434782608696</v>
      </c>
      <c r="F620" s="1977" t="n">
        <f aca="false">I620/0.83</f>
        <v>14.0963855421687</v>
      </c>
      <c r="H620" s="0" t="n">
        <v>5.7</v>
      </c>
      <c r="I620" s="0" t="n">
        <v>11.7</v>
      </c>
    </row>
    <row r="621" customFormat="false" ht="12.75" hidden="false" customHeight="true" outlineLevel="0" collapsed="false">
      <c r="A621" s="1416"/>
      <c r="B621" s="1999"/>
      <c r="C621" s="1976" t="s">
        <v>217</v>
      </c>
      <c r="D621" s="1857" t="n">
        <v>58</v>
      </c>
      <c r="E621" s="1977" t="n">
        <f aca="false">H621/0.437</f>
        <v>13.9588100686499</v>
      </c>
      <c r="F621" s="1977" t="n">
        <f aca="false">I621/0.83</f>
        <v>17.1084337349398</v>
      </c>
      <c r="H621" s="0" t="n">
        <v>6.1</v>
      </c>
      <c r="I621" s="0" t="n">
        <v>14.2</v>
      </c>
    </row>
    <row r="622" customFormat="false" ht="12.75" hidden="false" customHeight="true" outlineLevel="0" collapsed="false">
      <c r="A622" s="1416"/>
      <c r="B622" s="1999"/>
      <c r="C622" s="1976" t="s">
        <v>220</v>
      </c>
      <c r="D622" s="1857" t="n">
        <v>64</v>
      </c>
      <c r="E622" s="1977" t="n">
        <f aca="false">H622/0.437</f>
        <v>14.8741418764302</v>
      </c>
      <c r="F622" s="1977" t="n">
        <f aca="false">I622/0.83</f>
        <v>19.2771084337349</v>
      </c>
      <c r="H622" s="0" t="n">
        <v>6.5</v>
      </c>
      <c r="I622" s="0" t="n">
        <v>16</v>
      </c>
    </row>
    <row r="623" customFormat="false" ht="12.75" hidden="false" customHeight="true" outlineLevel="0" collapsed="false">
      <c r="A623" s="1416"/>
      <c r="B623" s="1999"/>
      <c r="C623" s="1976" t="s">
        <v>222</v>
      </c>
      <c r="D623" s="1857" t="n">
        <v>70</v>
      </c>
      <c r="E623" s="1977" t="n">
        <f aca="false">H623/0.437</f>
        <v>16.0183066361556</v>
      </c>
      <c r="F623" s="1977" t="n">
        <f aca="false">I623/0.83</f>
        <v>20.1204819277108</v>
      </c>
      <c r="H623" s="0" t="n">
        <v>7</v>
      </c>
      <c r="I623" s="0" t="n">
        <v>16.7</v>
      </c>
    </row>
    <row r="624" customFormat="false" ht="12.75" hidden="false" customHeight="true" outlineLevel="0" collapsed="false">
      <c r="A624" s="1416"/>
      <c r="B624" s="1999"/>
      <c r="C624" s="1976" t="s">
        <v>223</v>
      </c>
      <c r="D624" s="1857" t="n">
        <v>36</v>
      </c>
      <c r="E624" s="1977" t="n">
        <f aca="false">H624/0.437</f>
        <v>23.7986270022883</v>
      </c>
      <c r="F624" s="1977" t="n">
        <f aca="false">I624/0.83</f>
        <v>21.0843373493976</v>
      </c>
      <c r="H624" s="0" t="n">
        <v>10.4</v>
      </c>
      <c r="I624" s="0" t="n">
        <v>17.5</v>
      </c>
    </row>
    <row r="625" customFormat="false" ht="12.75" hidden="false" customHeight="true" outlineLevel="0" collapsed="false">
      <c r="A625" s="1416"/>
      <c r="B625" s="1999"/>
      <c r="C625" s="2029" t="s">
        <v>224</v>
      </c>
      <c r="D625" s="1857" t="n">
        <v>29</v>
      </c>
      <c r="E625" s="1977" t="n">
        <f aca="false">H625/0.437</f>
        <v>14.8741418764302</v>
      </c>
      <c r="F625" s="1977" t="n">
        <f aca="false">I625/0.83</f>
        <v>9.03614457831325</v>
      </c>
      <c r="H625" s="0" t="n">
        <v>6.5</v>
      </c>
      <c r="I625" s="0" t="n">
        <v>7.5</v>
      </c>
    </row>
    <row r="626" customFormat="false" ht="12.75" hidden="false" customHeight="true" outlineLevel="0" collapsed="false">
      <c r="A626" s="1416"/>
      <c r="B626" s="1999"/>
      <c r="C626" s="1976" t="s">
        <v>2529</v>
      </c>
      <c r="D626" s="1857" t="n">
        <v>27.2</v>
      </c>
      <c r="E626" s="1977" t="n">
        <f aca="false">H626/0.437</f>
        <v>14.8741418764302</v>
      </c>
      <c r="F626" s="1977" t="n">
        <f aca="false">I626/0.83</f>
        <v>9.63855421686747</v>
      </c>
      <c r="H626" s="0" t="n">
        <v>6.5</v>
      </c>
      <c r="I626" s="0" t="n">
        <v>8</v>
      </c>
    </row>
    <row r="627" customFormat="false" ht="12.75" hidden="false" customHeight="true" outlineLevel="0" collapsed="false">
      <c r="A627" s="1416"/>
      <c r="B627" s="1999"/>
      <c r="C627" s="1976" t="s">
        <v>226</v>
      </c>
      <c r="D627" s="1857" t="n">
        <v>35.2</v>
      </c>
      <c r="E627" s="1977" t="n">
        <f aca="false">H627/0.437</f>
        <v>16.0183066361556</v>
      </c>
      <c r="F627" s="1977" t="n">
        <f aca="false">I627/0.83</f>
        <v>10.9638554216867</v>
      </c>
      <c r="H627" s="0" t="n">
        <v>7</v>
      </c>
      <c r="I627" s="0" t="n">
        <v>9.1</v>
      </c>
    </row>
    <row r="628" customFormat="false" ht="12.75" hidden="false" customHeight="true" outlineLevel="0" collapsed="false">
      <c r="A628" s="1416"/>
      <c r="B628" s="1999"/>
      <c r="C628" s="1976" t="s">
        <v>2530</v>
      </c>
      <c r="D628" s="1857" t="n">
        <v>26.4</v>
      </c>
      <c r="E628" s="1977" t="n">
        <f aca="false">H628/0.437</f>
        <v>16.0183066361556</v>
      </c>
      <c r="F628" s="1977" t="n">
        <f aca="false">I628/0.83</f>
        <v>8.43373493975904</v>
      </c>
      <c r="H628" s="0" t="n">
        <v>7</v>
      </c>
      <c r="I628" s="0" t="n">
        <v>7</v>
      </c>
    </row>
    <row r="629" customFormat="false" ht="12.75" hidden="false" customHeight="true" outlineLevel="0" collapsed="false">
      <c r="A629" s="1416"/>
      <c r="D629" s="1846"/>
    </row>
    <row r="630" customFormat="false" ht="15" hidden="false" customHeight="true" outlineLevel="0" collapsed="false">
      <c r="A630" s="1853" t="s">
        <v>2531</v>
      </c>
      <c r="D630" s="1846"/>
    </row>
    <row r="631" customFormat="false" ht="15" hidden="false" customHeight="true" outlineLevel="0" collapsed="false">
      <c r="A631" s="1853"/>
      <c r="D631" s="1846"/>
    </row>
    <row r="632" customFormat="false" ht="15" hidden="false" customHeight="true" outlineLevel="0" collapsed="false">
      <c r="A632" s="1853"/>
      <c r="B632" s="1976" t="s">
        <v>2532</v>
      </c>
      <c r="C632" s="1858" t="s">
        <v>2533</v>
      </c>
      <c r="D632" s="1858" t="s">
        <v>2534</v>
      </c>
      <c r="E632" s="1858" t="s">
        <v>2535</v>
      </c>
      <c r="F632" s="1858" t="s">
        <v>2536</v>
      </c>
    </row>
    <row r="633" customFormat="false" ht="15" hidden="false" customHeight="true" outlineLevel="0" collapsed="false">
      <c r="A633" s="1853"/>
      <c r="B633" s="1976" t="s">
        <v>2537</v>
      </c>
      <c r="C633" s="1857" t="n">
        <v>0.05</v>
      </c>
      <c r="D633" s="1857" t="s">
        <v>2538</v>
      </c>
      <c r="E633" s="1857" t="n">
        <v>0.05</v>
      </c>
      <c r="F633" s="1857" t="s">
        <v>2538</v>
      </c>
    </row>
    <row r="634" customFormat="false" ht="15" hidden="false" customHeight="true" outlineLevel="0" collapsed="false">
      <c r="A634" s="1853"/>
      <c r="B634" s="1976" t="s">
        <v>2539</v>
      </c>
      <c r="C634" s="1857" t="n">
        <v>0.32</v>
      </c>
      <c r="D634" s="1857" t="n">
        <v>0.315</v>
      </c>
      <c r="E634" s="1857" t="n">
        <v>0.3</v>
      </c>
      <c r="F634" s="1857" t="n">
        <v>0.37</v>
      </c>
    </row>
    <row r="635" customFormat="false" ht="15" hidden="false" customHeight="true" outlineLevel="0" collapsed="false">
      <c r="A635" s="1853"/>
      <c r="B635" s="2030" t="s">
        <v>2540</v>
      </c>
      <c r="C635" s="1857" t="n">
        <v>0.6</v>
      </c>
      <c r="D635" s="1857" t="n">
        <v>0.63</v>
      </c>
      <c r="E635" s="1857" t="n">
        <v>0.55</v>
      </c>
      <c r="F635" s="1857" t="n">
        <v>0.6</v>
      </c>
    </row>
    <row r="636" customFormat="false" ht="15" hidden="false" customHeight="true" outlineLevel="0" collapsed="false">
      <c r="A636" s="1853"/>
      <c r="B636" s="1976" t="s">
        <v>2541</v>
      </c>
      <c r="C636" s="1857" t="n">
        <v>0.67</v>
      </c>
      <c r="D636" s="1857" t="n">
        <v>0.695</v>
      </c>
      <c r="E636" s="1857" t="n">
        <v>0.6</v>
      </c>
      <c r="F636" s="1857" t="n">
        <v>0.625</v>
      </c>
    </row>
    <row r="637" customFormat="false" ht="15" hidden="false" customHeight="true" outlineLevel="0" collapsed="false">
      <c r="A637" s="1853"/>
      <c r="B637" s="1976" t="s">
        <v>2542</v>
      </c>
      <c r="C637" s="1857" t="n">
        <v>0.69</v>
      </c>
      <c r="D637" s="1857" t="n">
        <v>0.71</v>
      </c>
      <c r="E637" s="1857" t="n">
        <v>0.65</v>
      </c>
      <c r="F637" s="1857" t="n">
        <v>0.68</v>
      </c>
    </row>
    <row r="638" customFormat="false" ht="15" hidden="false" customHeight="true" outlineLevel="0" collapsed="false">
      <c r="A638" s="1853"/>
      <c r="B638" s="1976" t="s">
        <v>2543</v>
      </c>
      <c r="C638" s="1857" t="n">
        <v>0.74</v>
      </c>
      <c r="D638" s="1857" t="n">
        <v>0.75</v>
      </c>
      <c r="E638" s="1857" t="n">
        <v>0.71</v>
      </c>
      <c r="F638" s="1857" t="s">
        <v>2538</v>
      </c>
    </row>
    <row r="639" customFormat="false" ht="15" hidden="false" customHeight="true" outlineLevel="0" collapsed="false">
      <c r="A639" s="1853"/>
      <c r="B639" s="1976" t="s">
        <v>2544</v>
      </c>
      <c r="C639" s="1857" t="s">
        <v>2538</v>
      </c>
      <c r="D639" s="1857" t="n">
        <v>0.32</v>
      </c>
      <c r="E639" s="1857" t="s">
        <v>2538</v>
      </c>
      <c r="F639" s="1857" t="n">
        <v>0.3</v>
      </c>
    </row>
    <row r="640" customFormat="false" ht="15" hidden="false" customHeight="true" outlineLevel="0" collapsed="false">
      <c r="A640" s="1853"/>
      <c r="B640" s="2030" t="s">
        <v>2545</v>
      </c>
      <c r="C640" s="1857" t="n">
        <v>0.62</v>
      </c>
      <c r="D640" s="1857" t="n">
        <v>0.63</v>
      </c>
      <c r="E640" s="1857" t="s">
        <v>2538</v>
      </c>
      <c r="F640" s="1857" t="n">
        <v>0.6</v>
      </c>
    </row>
    <row r="641" customFormat="false" ht="15" hidden="false" customHeight="true" outlineLevel="0" collapsed="false">
      <c r="A641" s="1853"/>
      <c r="D641" s="1846"/>
    </row>
    <row r="642" customFormat="false" ht="15" hidden="false" customHeight="true" outlineLevel="0" collapsed="false">
      <c r="A642" s="1853"/>
      <c r="B642" s="1673" t="s">
        <v>2546</v>
      </c>
      <c r="C642" s="1673"/>
      <c r="D642" s="1673"/>
    </row>
    <row r="643" customFormat="false" ht="15" hidden="false" customHeight="true" outlineLevel="0" collapsed="false">
      <c r="A643" s="1853"/>
      <c r="B643" s="1976" t="s">
        <v>2458</v>
      </c>
      <c r="C643" s="1976" t="s">
        <v>2547</v>
      </c>
      <c r="D643" s="1857" t="n">
        <v>0.015</v>
      </c>
    </row>
    <row r="644" customFormat="false" ht="15" hidden="false" customHeight="true" outlineLevel="0" collapsed="false">
      <c r="A644" s="1853"/>
      <c r="B644" s="1976"/>
      <c r="C644" s="1976" t="s">
        <v>2548</v>
      </c>
      <c r="D644" s="1857" t="n">
        <v>0.105</v>
      </c>
    </row>
    <row r="645" customFormat="false" ht="15" hidden="false" customHeight="true" outlineLevel="0" collapsed="false">
      <c r="A645" s="1853"/>
      <c r="B645" s="1976"/>
      <c r="C645" s="1976" t="s">
        <v>2549</v>
      </c>
      <c r="D645" s="1857" t="n">
        <v>0.2</v>
      </c>
    </row>
    <row r="646" customFormat="false" ht="15" hidden="false" customHeight="true" outlineLevel="0" collapsed="false">
      <c r="A646" s="1853"/>
      <c r="B646" s="1976" t="s">
        <v>1839</v>
      </c>
      <c r="C646" s="1976" t="s">
        <v>2550</v>
      </c>
      <c r="D646" s="1857" t="n">
        <v>5E-005</v>
      </c>
    </row>
    <row r="647" customFormat="false" ht="15" hidden="false" customHeight="true" outlineLevel="0" collapsed="false">
      <c r="A647" s="1853"/>
      <c r="B647" s="1976"/>
      <c r="C647" s="1976" t="s">
        <v>2551</v>
      </c>
      <c r="D647" s="1857" t="n">
        <v>0.0014</v>
      </c>
    </row>
    <row r="648" customFormat="false" ht="15" hidden="false" customHeight="true" outlineLevel="0" collapsed="false">
      <c r="A648" s="1853"/>
      <c r="B648" s="1976"/>
      <c r="C648" s="1976" t="s">
        <v>2552</v>
      </c>
      <c r="D648" s="1857" t="n">
        <v>0.0018</v>
      </c>
    </row>
    <row r="649" customFormat="false" ht="15" hidden="false" customHeight="true" outlineLevel="0" collapsed="false">
      <c r="A649" s="1853"/>
      <c r="B649" s="1976"/>
      <c r="C649" s="1976" t="s">
        <v>2553</v>
      </c>
      <c r="D649" s="1857" t="n">
        <v>0.0022</v>
      </c>
    </row>
    <row r="650" customFormat="false" ht="15" hidden="false" customHeight="true" outlineLevel="0" collapsed="false">
      <c r="A650" s="1853"/>
      <c r="B650" s="1976"/>
      <c r="C650" s="1976" t="s">
        <v>2554</v>
      </c>
      <c r="D650" s="1857" t="n">
        <v>0.0064</v>
      </c>
    </row>
    <row r="651" customFormat="false" ht="15" hidden="false" customHeight="true" outlineLevel="0" collapsed="false">
      <c r="A651" s="1853"/>
      <c r="B651" s="1976"/>
      <c r="C651" s="1976" t="s">
        <v>2555</v>
      </c>
      <c r="D651" s="1857" t="n">
        <v>0.0016</v>
      </c>
    </row>
    <row r="652" customFormat="false" ht="15" hidden="false" customHeight="true" outlineLevel="0" collapsed="false">
      <c r="A652" s="1853"/>
      <c r="B652" s="1976"/>
      <c r="C652" s="1976" t="s">
        <v>2556</v>
      </c>
      <c r="D652" s="1857" t="n">
        <v>0.0035</v>
      </c>
    </row>
    <row r="653" customFormat="false" ht="15" hidden="false" customHeight="true" outlineLevel="0" collapsed="false">
      <c r="A653" s="1853"/>
      <c r="B653" s="1976"/>
      <c r="C653" s="1976" t="s">
        <v>2557</v>
      </c>
      <c r="D653" s="1857" t="n">
        <v>0.0031</v>
      </c>
    </row>
    <row r="654" customFormat="false" ht="15" hidden="false" customHeight="true" outlineLevel="0" collapsed="false">
      <c r="A654" s="1853"/>
      <c r="B654" s="1976"/>
      <c r="C654" s="1976" t="s">
        <v>2558</v>
      </c>
      <c r="D654" s="1857" t="n">
        <v>0.0055</v>
      </c>
    </row>
    <row r="655" customFormat="false" ht="15" hidden="false" customHeight="true" outlineLevel="0" collapsed="false">
      <c r="A655" s="1853"/>
      <c r="B655" s="1976" t="s">
        <v>2559</v>
      </c>
      <c r="C655" s="1976" t="s">
        <v>2559</v>
      </c>
      <c r="D655" s="1857" t="n">
        <v>0.0023</v>
      </c>
    </row>
    <row r="656" customFormat="false" ht="15" hidden="false" customHeight="true" outlineLevel="0" collapsed="false">
      <c r="A656" s="1853"/>
      <c r="B656" s="1976"/>
      <c r="C656" s="1976" t="s">
        <v>2560</v>
      </c>
      <c r="D656" s="1857" t="n">
        <v>0.0042</v>
      </c>
    </row>
    <row r="657" customFormat="false" ht="15" hidden="false" customHeight="true" outlineLevel="0" collapsed="false">
      <c r="A657" s="1853"/>
      <c r="D657" s="1846"/>
    </row>
    <row r="658" customFormat="false" ht="12.75" hidden="false" customHeight="true" outlineLevel="0" collapsed="false">
      <c r="A658" s="1416"/>
      <c r="B658" s="1976" t="s">
        <v>2561</v>
      </c>
      <c r="C658" s="1858" t="s">
        <v>395</v>
      </c>
      <c r="D658" s="1858" t="s">
        <v>396</v>
      </c>
      <c r="E658" s="1858" t="s">
        <v>397</v>
      </c>
    </row>
    <row r="659" customFormat="false" ht="12.75" hidden="false" customHeight="true" outlineLevel="0" collapsed="false">
      <c r="A659" s="1416"/>
      <c r="B659" s="1981" t="s">
        <v>982</v>
      </c>
      <c r="C659" s="1857" t="n">
        <v>24</v>
      </c>
      <c r="D659" s="1977" t="n">
        <f aca="false">G659/0.437</f>
        <v>16.0183066361556</v>
      </c>
      <c r="E659" s="1977" t="n">
        <f aca="false">H659/0.83</f>
        <v>4.93975903614458</v>
      </c>
      <c r="G659" s="0" t="n">
        <v>7</v>
      </c>
      <c r="H659" s="0" t="n">
        <v>4.1</v>
      </c>
    </row>
    <row r="660" customFormat="false" ht="12.75" hidden="false" customHeight="true" outlineLevel="0" collapsed="false">
      <c r="A660" s="1416"/>
      <c r="B660" s="1981" t="s">
        <v>2562</v>
      </c>
      <c r="C660" s="1857" t="n">
        <v>24</v>
      </c>
      <c r="D660" s="1977" t="n">
        <f aca="false">G660/0.437</f>
        <v>16.0183066361556</v>
      </c>
      <c r="E660" s="1977" t="n">
        <f aca="false">H660/0.83</f>
        <v>4.93975903614458</v>
      </c>
      <c r="G660" s="0" t="n">
        <v>7</v>
      </c>
      <c r="H660" s="0" t="n">
        <v>4.1</v>
      </c>
    </row>
    <row r="661" customFormat="false" ht="12.75" hidden="false" customHeight="true" outlineLevel="0" collapsed="false">
      <c r="A661" s="1416"/>
      <c r="B661" s="1981" t="s">
        <v>2563</v>
      </c>
      <c r="C661" s="1857" t="n">
        <v>24</v>
      </c>
      <c r="D661" s="1977" t="n">
        <f aca="false">G661/0.437</f>
        <v>13.9588100686499</v>
      </c>
      <c r="E661" s="1977" t="n">
        <f aca="false">H661/0.83</f>
        <v>2.16867469879518</v>
      </c>
      <c r="G661" s="0" t="n">
        <v>6.1</v>
      </c>
      <c r="H661" s="0" t="n">
        <v>1.8</v>
      </c>
    </row>
    <row r="662" customFormat="false" ht="12.75" hidden="false" customHeight="true" outlineLevel="0" collapsed="false">
      <c r="A662" s="1416"/>
      <c r="B662" s="1981" t="s">
        <v>2441</v>
      </c>
      <c r="C662" s="1857" t="n">
        <v>24</v>
      </c>
      <c r="D662" s="1977" t="n">
        <v>8</v>
      </c>
      <c r="E662" s="1977" t="n">
        <f aca="false">H662/0.83</f>
        <v>4.93975903614458</v>
      </c>
      <c r="G662" s="0" t="n">
        <v>4.4</v>
      </c>
      <c r="H662" s="0" t="n">
        <v>4.1</v>
      </c>
    </row>
    <row r="663" customFormat="false" ht="15" hidden="false" customHeight="true" outlineLevel="0" collapsed="false">
      <c r="A663" s="1853"/>
      <c r="B663" s="1976" t="s">
        <v>2564</v>
      </c>
      <c r="C663" s="1857" t="n">
        <v>19.2</v>
      </c>
      <c r="D663" s="1977" t="n">
        <f aca="false">G663/0.437</f>
        <v>4.5766590389016</v>
      </c>
      <c r="E663" s="1977" t="n">
        <f aca="false">H663/0.83</f>
        <v>1.44578313253012</v>
      </c>
      <c r="G663" s="0" t="n">
        <v>2</v>
      </c>
      <c r="H663" s="0" t="n">
        <v>1.2</v>
      </c>
    </row>
    <row r="664" customFormat="false" ht="12.75" hidden="false" customHeight="true" outlineLevel="0" collapsed="false">
      <c r="A664" s="1416"/>
      <c r="B664" s="1981" t="s">
        <v>2565</v>
      </c>
      <c r="C664" s="1857" t="n">
        <v>22.4</v>
      </c>
      <c r="D664" s="1977" t="n">
        <f aca="false">G664/0.437</f>
        <v>8.0091533180778</v>
      </c>
      <c r="E664" s="1977" t="n">
        <f aca="false">H664/0.83</f>
        <v>2.40963855421687</v>
      </c>
      <c r="G664" s="0" t="n">
        <v>3.5</v>
      </c>
      <c r="H664" s="0" t="n">
        <v>2</v>
      </c>
    </row>
    <row r="665" customFormat="false" ht="12.75" hidden="false" customHeight="true" outlineLevel="0" collapsed="false">
      <c r="A665" s="1416"/>
      <c r="B665" s="1981" t="s">
        <v>2566</v>
      </c>
      <c r="C665" s="1857" t="n">
        <v>32</v>
      </c>
      <c r="D665" s="1977" t="n">
        <f aca="false">G665/0.437</f>
        <v>10.9839816933638</v>
      </c>
      <c r="E665" s="1977" t="n">
        <f aca="false">H665/0.83</f>
        <v>2.16867469879518</v>
      </c>
      <c r="G665" s="0" t="n">
        <v>4.8</v>
      </c>
      <c r="H665" s="0" t="n">
        <v>1.8</v>
      </c>
    </row>
    <row r="666" customFormat="false" ht="12.75" hidden="false" customHeight="true" outlineLevel="0" collapsed="false">
      <c r="A666" s="1416"/>
      <c r="B666" s="1981" t="s">
        <v>2567</v>
      </c>
      <c r="C666" s="1857" t="n">
        <v>20.76</v>
      </c>
      <c r="D666" s="1977" t="n">
        <f aca="false">G666/0.437</f>
        <v>8.0091533180778</v>
      </c>
      <c r="E666" s="1977" t="n">
        <f aca="false">H666/0.83</f>
        <v>2.40963855421687</v>
      </c>
      <c r="G666" s="0" t="n">
        <v>3.5</v>
      </c>
      <c r="H666" s="0" t="n">
        <v>2</v>
      </c>
    </row>
    <row r="667" customFormat="false" ht="12.75" hidden="false" customHeight="true" outlineLevel="0" collapsed="false">
      <c r="A667" s="1416"/>
      <c r="B667" s="1981" t="s">
        <v>2554</v>
      </c>
      <c r="C667" s="1857" t="n">
        <v>37.6</v>
      </c>
      <c r="D667" s="1977" t="n">
        <f aca="false">G667/0.437</f>
        <v>15.5606407322654</v>
      </c>
      <c r="E667" s="1977" t="n">
        <f aca="false">H667/0.83</f>
        <v>2.53012048192771</v>
      </c>
      <c r="G667" s="0" t="n">
        <v>6.8</v>
      </c>
      <c r="H667" s="0" t="n">
        <v>2.1</v>
      </c>
    </row>
    <row r="668" customFormat="false" ht="12.75" hidden="false" customHeight="true" outlineLevel="0" collapsed="false">
      <c r="A668" s="1416"/>
      <c r="B668" s="1981" t="s">
        <v>2568</v>
      </c>
      <c r="C668" s="1857" t="n">
        <v>18.9</v>
      </c>
      <c r="D668" s="1977" t="n">
        <f aca="false">G668/0.437</f>
        <v>6.8649885583524</v>
      </c>
      <c r="E668" s="1977" t="n">
        <f aca="false">H668/0.83</f>
        <v>2.04819277108434</v>
      </c>
      <c r="G668" s="0" t="n">
        <v>3</v>
      </c>
      <c r="H668" s="0" t="n">
        <v>1.7</v>
      </c>
    </row>
    <row r="669" customFormat="false" ht="12.75" hidden="false" customHeight="true" outlineLevel="0" collapsed="false">
      <c r="A669" s="1416"/>
      <c r="B669" s="1981" t="s">
        <v>2569</v>
      </c>
      <c r="C669" s="1857" t="n">
        <v>30.5</v>
      </c>
      <c r="D669" s="1977" t="n">
        <f aca="false">G669/0.437</f>
        <v>13.0434782608696</v>
      </c>
      <c r="E669" s="1977" t="n">
        <f aca="false">H669/0.83</f>
        <v>2.7710843373494</v>
      </c>
      <c r="G669" s="0" t="n">
        <v>5.7</v>
      </c>
      <c r="H669" s="0" t="n">
        <v>2.3</v>
      </c>
    </row>
    <row r="670" customFormat="false" ht="12.75" hidden="false" customHeight="true" outlineLevel="0" collapsed="false">
      <c r="A670" s="1416"/>
      <c r="B670" s="2031" t="s">
        <v>2570</v>
      </c>
      <c r="C670" s="1857" t="n">
        <v>20.03</v>
      </c>
      <c r="D670" s="1977" t="n">
        <f aca="false">G670/0.437</f>
        <v>7.32265446224256</v>
      </c>
      <c r="E670" s="1977" t="n">
        <f aca="false">H670/0.83</f>
        <v>2.40963855421687</v>
      </c>
      <c r="G670" s="0" t="n">
        <v>3.2</v>
      </c>
      <c r="H670" s="0" t="n">
        <v>2</v>
      </c>
    </row>
    <row r="671" customFormat="false" ht="12.75" hidden="false" customHeight="true" outlineLevel="0" collapsed="false">
      <c r="A671" s="1416"/>
      <c r="B671" s="1981" t="s">
        <v>2555</v>
      </c>
      <c r="C671" s="1857" t="n">
        <v>37.6</v>
      </c>
      <c r="D671" s="1977" t="n">
        <f aca="false">G671/0.437</f>
        <v>14.8741418764302</v>
      </c>
      <c r="E671" s="1977" t="n">
        <f aca="false">H671/0.83</f>
        <v>3.01204819277108</v>
      </c>
      <c r="G671" s="0" t="n">
        <v>6.5</v>
      </c>
      <c r="H671" s="0" t="n">
        <v>2.5</v>
      </c>
    </row>
    <row r="672" customFormat="false" ht="12.75" hidden="false" customHeight="true" outlineLevel="0" collapsed="false">
      <c r="A672" s="1416"/>
      <c r="B672" s="1981" t="s">
        <v>2558</v>
      </c>
      <c r="C672" s="1857" t="n">
        <v>35.6</v>
      </c>
      <c r="D672" s="1977" t="n">
        <f aca="false">G672/0.437</f>
        <v>14.41647597254</v>
      </c>
      <c r="E672" s="1977" t="n">
        <f aca="false">H672/0.83</f>
        <v>2.53012048192771</v>
      </c>
      <c r="G672" s="0" t="n">
        <v>6.3</v>
      </c>
      <c r="H672" s="0" t="n">
        <v>2.1</v>
      </c>
    </row>
    <row r="673" customFormat="false" ht="12.75" hidden="false" customHeight="true" outlineLevel="0" collapsed="false">
      <c r="A673" s="1416"/>
      <c r="B673" s="1981" t="s">
        <v>2559</v>
      </c>
      <c r="C673" s="1857" t="n">
        <v>32</v>
      </c>
      <c r="D673" s="1977" t="n">
        <f aca="false">G673/0.437</f>
        <v>5.03432494279176</v>
      </c>
      <c r="E673" s="1977" t="n">
        <f aca="false">H673/0.83</f>
        <v>4.33734939759036</v>
      </c>
      <c r="G673" s="0" t="n">
        <v>2.2</v>
      </c>
      <c r="H673" s="0" t="n">
        <v>3.6</v>
      </c>
    </row>
    <row r="675" customFormat="false" ht="18" hidden="false" customHeight="true" outlineLevel="0" collapsed="false">
      <c r="A675" s="1951" t="s">
        <v>2571</v>
      </c>
      <c r="D675" s="1846"/>
    </row>
    <row r="676" customFormat="false" ht="12.75" hidden="false" customHeight="true" outlineLevel="0" collapsed="false">
      <c r="A676" s="1416"/>
      <c r="D676" s="1846"/>
    </row>
    <row r="677" customFormat="false" ht="15" hidden="false" customHeight="true" outlineLevel="0" collapsed="false">
      <c r="A677" s="1853" t="s">
        <v>2572</v>
      </c>
      <c r="D677" s="1846"/>
    </row>
    <row r="678" customFormat="false" ht="15" hidden="false" customHeight="true" outlineLevel="0" collapsed="false">
      <c r="A678" s="1853"/>
      <c r="D678" s="1846"/>
    </row>
    <row r="679" customFormat="false" ht="15" hidden="false" customHeight="true" outlineLevel="0" collapsed="false">
      <c r="A679" s="1853"/>
      <c r="B679" s="0" t="s">
        <v>2573</v>
      </c>
      <c r="D679" s="1846"/>
    </row>
    <row r="680" customFormat="false" ht="15" hidden="false" customHeight="true" outlineLevel="0" collapsed="false">
      <c r="A680" s="1853"/>
      <c r="D680" s="1846"/>
    </row>
    <row r="681" customFormat="false" ht="15" hidden="false" customHeight="true" outlineLevel="0" collapsed="false">
      <c r="A681" s="1853"/>
      <c r="B681" s="2032"/>
      <c r="C681" s="1858" t="s">
        <v>2533</v>
      </c>
      <c r="D681" s="1858" t="s">
        <v>2534</v>
      </c>
      <c r="E681" s="1858" t="s">
        <v>2535</v>
      </c>
      <c r="F681" s="1858" t="s">
        <v>2536</v>
      </c>
    </row>
    <row r="682" customFormat="false" ht="15" hidden="false" customHeight="true" outlineLevel="0" collapsed="false">
      <c r="A682" s="1853"/>
      <c r="B682" s="1976" t="s">
        <v>2574</v>
      </c>
      <c r="C682" s="1857" t="s">
        <v>2538</v>
      </c>
      <c r="D682" s="1857" t="s">
        <v>2538</v>
      </c>
      <c r="E682" s="1857" t="s">
        <v>2538</v>
      </c>
      <c r="F682" s="1857" t="n">
        <v>0.66</v>
      </c>
    </row>
    <row r="683" customFormat="false" ht="15" hidden="false" customHeight="true" outlineLevel="0" collapsed="false">
      <c r="A683" s="1853"/>
      <c r="B683" s="1976" t="s">
        <v>2541</v>
      </c>
      <c r="C683" s="1857" t="n">
        <v>0.5</v>
      </c>
      <c r="D683" s="1857" t="n">
        <v>0.53</v>
      </c>
      <c r="E683" s="1857" t="n">
        <v>0.47</v>
      </c>
      <c r="F683" s="1857" t="n">
        <v>0.55</v>
      </c>
    </row>
    <row r="684" customFormat="false" ht="15" hidden="false" customHeight="true" outlineLevel="0" collapsed="false">
      <c r="A684" s="1853"/>
      <c r="B684" s="2030" t="s">
        <v>2575</v>
      </c>
      <c r="C684" s="1857" t="n">
        <v>0.52</v>
      </c>
      <c r="D684" s="1857" t="n">
        <v>0.55</v>
      </c>
      <c r="E684" s="1857" t="n">
        <v>0.48</v>
      </c>
      <c r="F684" s="1857" t="n">
        <v>0.57</v>
      </c>
    </row>
    <row r="685" customFormat="false" ht="15" hidden="false" customHeight="true" outlineLevel="0" collapsed="false">
      <c r="A685" s="1853"/>
      <c r="B685" s="2030" t="s">
        <v>2576</v>
      </c>
      <c r="C685" s="1857" t="n">
        <v>0.55</v>
      </c>
      <c r="D685" s="1857" t="n">
        <v>0.6</v>
      </c>
      <c r="E685" s="1857" t="n">
        <v>0.52</v>
      </c>
      <c r="F685" s="1857" t="n">
        <v>0.61</v>
      </c>
    </row>
    <row r="686" customFormat="false" ht="15" hidden="false" customHeight="true" outlineLevel="0" collapsed="false">
      <c r="A686" s="1853"/>
      <c r="B686" s="1976" t="s">
        <v>2543</v>
      </c>
      <c r="C686" s="1857" t="n">
        <v>0.53</v>
      </c>
      <c r="D686" s="1857" t="n">
        <v>0.57</v>
      </c>
      <c r="E686" s="1857" t="n">
        <v>0.49</v>
      </c>
      <c r="F686" s="1857" t="n">
        <v>0.59</v>
      </c>
    </row>
    <row r="687" customFormat="false" ht="15" hidden="false" customHeight="true" outlineLevel="0" collapsed="false">
      <c r="A687" s="1853"/>
      <c r="D687" s="1846"/>
    </row>
    <row r="688" customFormat="false" ht="15" hidden="false" customHeight="true" outlineLevel="0" collapsed="false">
      <c r="A688" s="1853"/>
      <c r="D688" s="1846"/>
    </row>
    <row r="689" customFormat="false" ht="15" hidden="false" customHeight="true" outlineLevel="0" collapsed="false">
      <c r="A689" s="1853" t="s">
        <v>2577</v>
      </c>
      <c r="D689" s="1846"/>
    </row>
    <row r="690" customFormat="false" ht="15" hidden="false" customHeight="true" outlineLevel="0" collapsed="false">
      <c r="A690" s="1853"/>
      <c r="D690" s="1846"/>
    </row>
    <row r="691" customFormat="false" ht="15" hidden="false" customHeight="true" outlineLevel="0" collapsed="false">
      <c r="A691" s="1853"/>
      <c r="B691" s="1976" t="s">
        <v>2578</v>
      </c>
      <c r="C691" s="1858" t="s">
        <v>2579</v>
      </c>
      <c r="D691" s="1858" t="s">
        <v>395</v>
      </c>
      <c r="E691" s="1858" t="s">
        <v>396</v>
      </c>
      <c r="F691" s="1858" t="s">
        <v>397</v>
      </c>
    </row>
    <row r="692" customFormat="false" ht="15" hidden="false" customHeight="true" outlineLevel="0" collapsed="false">
      <c r="A692" s="1853"/>
      <c r="B692" s="1976" t="s">
        <v>2580</v>
      </c>
      <c r="C692" s="2033"/>
      <c r="D692" s="2034" t="n">
        <f aca="false">(C692*1.033)/6.06</f>
        <v>0</v>
      </c>
      <c r="E692" s="1977" t="n">
        <f aca="false">H692/0.437</f>
        <v>2.17391304347826</v>
      </c>
      <c r="F692" s="1977" t="n">
        <f aca="false">I692/0.83</f>
        <v>1.86746987951807</v>
      </c>
      <c r="H692" s="0" t="n">
        <v>0.95</v>
      </c>
      <c r="I692" s="0" t="n">
        <v>1.55</v>
      </c>
    </row>
    <row r="693" customFormat="false" ht="15" hidden="false" customHeight="true" outlineLevel="0" collapsed="false">
      <c r="A693" s="1853"/>
      <c r="B693" s="1976" t="s">
        <v>2581</v>
      </c>
      <c r="C693" s="2033"/>
      <c r="D693" s="2034" t="n">
        <f aca="false">(C693*1.033)/6.06</f>
        <v>0</v>
      </c>
      <c r="E693" s="1977" t="n">
        <f aca="false">H693/0.437</f>
        <v>3.54691075514874</v>
      </c>
      <c r="F693" s="1977" t="n">
        <f aca="false">I693/0.83</f>
        <v>1.74698795180723</v>
      </c>
      <c r="H693" s="0" t="n">
        <v>1.55</v>
      </c>
      <c r="I693" s="0" t="n">
        <v>1.45</v>
      </c>
    </row>
    <row r="694" customFormat="false" ht="15" hidden="false" customHeight="true" outlineLevel="0" collapsed="false">
      <c r="A694" s="1853"/>
      <c r="B694" s="1976" t="s">
        <v>2582</v>
      </c>
      <c r="C694" s="2033"/>
      <c r="D694" s="2034" t="n">
        <f aca="false">(C694*1.033)/5.74</f>
        <v>0</v>
      </c>
      <c r="E694" s="1977" t="n">
        <f aca="false">H694/0.437</f>
        <v>2.2883295194508</v>
      </c>
      <c r="F694" s="1977" t="n">
        <f aca="false">I694/0.83</f>
        <v>2.36144578313253</v>
      </c>
      <c r="H694" s="0" t="n">
        <v>1</v>
      </c>
      <c r="I694" s="0" t="n">
        <v>1.96</v>
      </c>
    </row>
    <row r="695" customFormat="false" ht="15" hidden="false" customHeight="true" outlineLevel="0" collapsed="false">
      <c r="A695" s="1853"/>
      <c r="D695" s="1846"/>
    </row>
    <row r="696" customFormat="false" ht="15" hidden="false" customHeight="true" outlineLevel="0" collapsed="false">
      <c r="A696" s="1853"/>
      <c r="D696" s="1846"/>
    </row>
    <row r="697" customFormat="false" ht="15" hidden="false" customHeight="true" outlineLevel="0" collapsed="false">
      <c r="A697" s="1853" t="s">
        <v>2583</v>
      </c>
      <c r="D697" s="1846"/>
    </row>
    <row r="698" customFormat="false" ht="15" hidden="false" customHeight="true" outlineLevel="0" collapsed="false">
      <c r="A698" s="1853"/>
      <c r="D698" s="1846"/>
    </row>
    <row r="699" customFormat="false" ht="12.75" hidden="false" customHeight="true" outlineLevel="0" collapsed="false">
      <c r="A699" s="1672" t="s">
        <v>1810</v>
      </c>
      <c r="B699" s="1671" t="s">
        <v>1902</v>
      </c>
      <c r="C699" s="1671"/>
      <c r="D699" s="1671" t="s">
        <v>1514</v>
      </c>
      <c r="E699" s="1671" t="s">
        <v>2312</v>
      </c>
      <c r="F699" s="1671"/>
      <c r="G699" s="1671"/>
      <c r="I699" s="0" t="s">
        <v>1821</v>
      </c>
    </row>
    <row r="700" customFormat="false" ht="15.75" hidden="false" customHeight="true" outlineLevel="0" collapsed="false">
      <c r="A700" s="1672"/>
      <c r="B700" s="1671"/>
      <c r="C700" s="1671"/>
      <c r="D700" s="1671"/>
      <c r="E700" s="1858" t="s">
        <v>395</v>
      </c>
      <c r="F700" s="1858" t="s">
        <v>2264</v>
      </c>
      <c r="G700" s="1858" t="s">
        <v>2265</v>
      </c>
    </row>
    <row r="701" customFormat="false" ht="12.75" hidden="false" customHeight="true" outlineLevel="0" collapsed="false">
      <c r="A701" s="1952" t="n">
        <v>1</v>
      </c>
      <c r="B701" s="2017" t="s">
        <v>2584</v>
      </c>
      <c r="C701" s="2035"/>
      <c r="D701" s="1874" t="s">
        <v>1400</v>
      </c>
      <c r="E701" s="1977" t="n">
        <v>1.3</v>
      </c>
      <c r="F701" s="1977" t="n">
        <v>0.5</v>
      </c>
      <c r="G701" s="1977" t="n">
        <v>3.6</v>
      </c>
    </row>
    <row r="702" customFormat="false" ht="12.75" hidden="false" customHeight="true" outlineLevel="0" collapsed="false">
      <c r="A702" s="1956" t="n">
        <v>2</v>
      </c>
      <c r="B702" s="1953" t="s">
        <v>2585</v>
      </c>
      <c r="C702" s="2036"/>
      <c r="D702" s="1857" t="s">
        <v>2267</v>
      </c>
      <c r="E702" s="1977" t="n">
        <v>1.3</v>
      </c>
      <c r="F702" s="1977" t="n">
        <v>2.8</v>
      </c>
      <c r="G702" s="1977" t="n">
        <v>5.4</v>
      </c>
    </row>
    <row r="703" customFormat="false" ht="12.75" hidden="false" customHeight="true" outlineLevel="0" collapsed="false">
      <c r="A703" s="1952" t="n">
        <v>3</v>
      </c>
      <c r="B703" s="2017" t="s">
        <v>2586</v>
      </c>
      <c r="C703" s="2035"/>
      <c r="D703" s="1926" t="s">
        <v>1407</v>
      </c>
      <c r="E703" s="2037" t="n">
        <v>0.8</v>
      </c>
      <c r="F703" s="2037" t="n">
        <v>0.3</v>
      </c>
      <c r="G703" s="2037" t="n">
        <v>2.7</v>
      </c>
    </row>
    <row r="704" customFormat="false" ht="12.75" hidden="false" customHeight="true" outlineLevel="0" collapsed="false">
      <c r="A704" s="1956" t="n">
        <v>4</v>
      </c>
      <c r="B704" s="2038" t="s">
        <v>2587</v>
      </c>
      <c r="C704" s="2039"/>
      <c r="D704" s="1874" t="s">
        <v>1407</v>
      </c>
      <c r="E704" s="1977" t="n">
        <v>3.2</v>
      </c>
      <c r="F704" s="1977" t="n">
        <v>1.3</v>
      </c>
      <c r="G704" s="1977" t="n">
        <v>6.2</v>
      </c>
    </row>
    <row r="705" customFormat="false" ht="12.75" hidden="false" customHeight="true" outlineLevel="0" collapsed="false">
      <c r="A705" s="1952" t="n">
        <v>5</v>
      </c>
      <c r="B705" s="2038" t="s">
        <v>2588</v>
      </c>
      <c r="C705" s="2039"/>
      <c r="D705" s="1874" t="s">
        <v>1407</v>
      </c>
      <c r="E705" s="1977" t="n">
        <v>5.5</v>
      </c>
      <c r="F705" s="1977" t="n">
        <v>2</v>
      </c>
      <c r="G705" s="1977" t="n">
        <v>10</v>
      </c>
    </row>
    <row r="706" customFormat="false" ht="12.75" hidden="false" customHeight="true" outlineLevel="0" collapsed="false">
      <c r="A706" s="1956" t="n">
        <v>6</v>
      </c>
      <c r="B706" s="2038" t="s">
        <v>2589</v>
      </c>
      <c r="C706" s="2039"/>
      <c r="D706" s="1874" t="s">
        <v>1407</v>
      </c>
      <c r="E706" s="1977" t="n">
        <v>8</v>
      </c>
      <c r="F706" s="1977" t="n">
        <v>2.5</v>
      </c>
      <c r="G706" s="1977" t="n">
        <v>16.5</v>
      </c>
    </row>
    <row r="707" customFormat="false" ht="12.75" hidden="false" customHeight="true" outlineLevel="0" collapsed="false">
      <c r="A707" s="1952" t="n">
        <v>7</v>
      </c>
      <c r="B707" s="2038" t="s">
        <v>2590</v>
      </c>
      <c r="C707" s="2039"/>
      <c r="D707" s="1874" t="s">
        <v>1407</v>
      </c>
      <c r="E707" s="1977" t="n">
        <v>3.8</v>
      </c>
      <c r="F707" s="1977" t="n">
        <v>1.2</v>
      </c>
      <c r="G707" s="1977" t="n">
        <v>6</v>
      </c>
    </row>
    <row r="708" customFormat="false" ht="12.75" hidden="false" customHeight="true" outlineLevel="0" collapsed="false">
      <c r="A708" s="1956" t="n">
        <v>8</v>
      </c>
      <c r="B708" s="2038" t="s">
        <v>2591</v>
      </c>
      <c r="C708" s="2039"/>
      <c r="D708" s="1874" t="s">
        <v>1407</v>
      </c>
      <c r="E708" s="1977" t="n">
        <v>4.6</v>
      </c>
      <c r="F708" s="1977" t="n">
        <v>1.6</v>
      </c>
      <c r="G708" s="1977" t="n">
        <v>8.5</v>
      </c>
    </row>
    <row r="709" customFormat="false" ht="12.75" hidden="false" customHeight="true" outlineLevel="0" collapsed="false">
      <c r="A709" s="1952" t="n">
        <v>9</v>
      </c>
      <c r="B709" s="2038" t="s">
        <v>2592</v>
      </c>
      <c r="C709" s="2039"/>
      <c r="D709" s="1874" t="s">
        <v>1407</v>
      </c>
      <c r="E709" s="1977" t="n">
        <v>6.5</v>
      </c>
      <c r="F709" s="1977" t="n">
        <v>2.1</v>
      </c>
      <c r="G709" s="1977" t="n">
        <v>13.3</v>
      </c>
    </row>
    <row r="710" customFormat="false" ht="12.75" hidden="false" customHeight="true" outlineLevel="0" collapsed="false">
      <c r="A710" s="1956" t="n">
        <v>10</v>
      </c>
      <c r="B710" s="2038" t="s">
        <v>2593</v>
      </c>
      <c r="C710" s="2039"/>
      <c r="D710" s="1874" t="s">
        <v>1407</v>
      </c>
      <c r="E710" s="1977" t="n">
        <v>4.5</v>
      </c>
      <c r="F710" s="1977" t="n">
        <v>1.2</v>
      </c>
      <c r="G710" s="1977" t="n">
        <v>5.5</v>
      </c>
    </row>
    <row r="711" customFormat="false" ht="12.75" hidden="false" customHeight="true" outlineLevel="0" collapsed="false">
      <c r="A711" s="1952" t="n">
        <v>11</v>
      </c>
      <c r="B711" s="2038" t="s">
        <v>2594</v>
      </c>
      <c r="C711" s="2039"/>
      <c r="D711" s="1874" t="s">
        <v>1407</v>
      </c>
      <c r="E711" s="1977" t="n">
        <v>6.5</v>
      </c>
      <c r="F711" s="1977" t="n">
        <v>2</v>
      </c>
      <c r="G711" s="1977" t="n">
        <v>10.8</v>
      </c>
    </row>
    <row r="712" customFormat="false" ht="12.75" hidden="false" customHeight="true" outlineLevel="0" collapsed="false">
      <c r="A712" s="1956" t="n">
        <v>12</v>
      </c>
      <c r="B712" s="2040" t="s">
        <v>2595</v>
      </c>
      <c r="C712" s="2039"/>
      <c r="D712" s="1874" t="s">
        <v>1407</v>
      </c>
      <c r="E712" s="1977" t="n">
        <v>9.5</v>
      </c>
      <c r="F712" s="1977" t="n">
        <v>2.8</v>
      </c>
      <c r="G712" s="1977" t="n">
        <v>21.5</v>
      </c>
    </row>
    <row r="713" customFormat="false" ht="12.75" hidden="false" customHeight="true" outlineLevel="0" collapsed="false">
      <c r="A713" s="1952" t="n">
        <v>13</v>
      </c>
      <c r="B713" s="1953" t="s">
        <v>2596</v>
      </c>
      <c r="C713" s="2036"/>
      <c r="D713" s="1857" t="s">
        <v>1407</v>
      </c>
      <c r="E713" s="1977" t="n">
        <v>3</v>
      </c>
      <c r="F713" s="1977" t="n">
        <v>1</v>
      </c>
      <c r="G713" s="1977" t="n">
        <v>3</v>
      </c>
    </row>
    <row r="714" customFormat="false" ht="12.75" hidden="false" customHeight="true" outlineLevel="0" collapsed="false">
      <c r="A714" s="1956" t="n">
        <v>14</v>
      </c>
      <c r="B714" s="2017" t="s">
        <v>2597</v>
      </c>
      <c r="C714" s="2035"/>
      <c r="D714" s="1926" t="s">
        <v>1407</v>
      </c>
      <c r="E714" s="2037" t="n">
        <v>1.1</v>
      </c>
      <c r="F714" s="2037" t="n">
        <v>0.4</v>
      </c>
      <c r="G714" s="2037" t="n">
        <v>2.4</v>
      </c>
    </row>
    <row r="715" customFormat="false" ht="12.75" hidden="false" customHeight="true" outlineLevel="0" collapsed="false">
      <c r="A715" s="1952" t="n">
        <v>15</v>
      </c>
      <c r="B715" s="2017" t="s">
        <v>2598</v>
      </c>
      <c r="C715" s="2035"/>
      <c r="D715" s="1926" t="s">
        <v>1407</v>
      </c>
      <c r="E715" s="2037" t="n">
        <v>2.8</v>
      </c>
      <c r="F715" s="2037" t="n">
        <v>0.8</v>
      </c>
      <c r="G715" s="2037" t="n">
        <v>5.5</v>
      </c>
    </row>
    <row r="716" customFormat="false" ht="12.75" hidden="false" customHeight="true" outlineLevel="0" collapsed="false">
      <c r="A716" s="1956" t="n">
        <v>16</v>
      </c>
      <c r="B716" s="2023" t="s">
        <v>2599</v>
      </c>
      <c r="C716" s="2039" t="s">
        <v>2600</v>
      </c>
      <c r="D716" s="1857" t="s">
        <v>2267</v>
      </c>
      <c r="E716" s="1977" t="n">
        <v>1.9</v>
      </c>
      <c r="F716" s="1977" t="n">
        <v>0.8</v>
      </c>
      <c r="G716" s="1977" t="n">
        <v>0.7</v>
      </c>
    </row>
    <row r="717" customFormat="false" ht="12.75" hidden="false" customHeight="true" outlineLevel="0" collapsed="false">
      <c r="A717" s="1952" t="n">
        <v>17</v>
      </c>
      <c r="B717" s="2023" t="s">
        <v>2599</v>
      </c>
      <c r="C717" s="2039" t="s">
        <v>2601</v>
      </c>
      <c r="D717" s="1857" t="s">
        <v>2267</v>
      </c>
      <c r="E717" s="1977" t="n">
        <v>2.5</v>
      </c>
      <c r="F717" s="1977" t="n">
        <v>1.1</v>
      </c>
      <c r="G717" s="1977" t="n">
        <v>1.9</v>
      </c>
    </row>
    <row r="718" customFormat="false" ht="12.75" hidden="false" customHeight="true" outlineLevel="0" collapsed="false">
      <c r="A718" s="1956" t="n">
        <v>18</v>
      </c>
      <c r="B718" s="2017" t="s">
        <v>2602</v>
      </c>
      <c r="C718" s="2035"/>
      <c r="D718" s="1926" t="s">
        <v>1407</v>
      </c>
      <c r="E718" s="2037" t="n">
        <v>1.7</v>
      </c>
      <c r="F718" s="2037" t="n">
        <v>0.5</v>
      </c>
      <c r="G718" s="2037" t="n">
        <v>6</v>
      </c>
    </row>
    <row r="719" customFormat="false" ht="12.75" hidden="false" customHeight="true" outlineLevel="0" collapsed="false">
      <c r="A719" s="1952" t="n">
        <v>19</v>
      </c>
      <c r="B719" s="1953" t="s">
        <v>2603</v>
      </c>
      <c r="C719" s="2036"/>
      <c r="D719" s="1857" t="s">
        <v>1404</v>
      </c>
      <c r="E719" s="1977" t="n">
        <v>1.5</v>
      </c>
      <c r="F719" s="1977" t="n">
        <v>0.5</v>
      </c>
      <c r="G719" s="1977" t="n">
        <v>2</v>
      </c>
    </row>
    <row r="720" customFormat="false" ht="12.75" hidden="false" customHeight="true" outlineLevel="0" collapsed="false">
      <c r="A720" s="1956" t="n">
        <v>20</v>
      </c>
      <c r="B720" s="1953" t="s">
        <v>2604</v>
      </c>
      <c r="C720" s="2036"/>
      <c r="D720" s="1857" t="s">
        <v>1404</v>
      </c>
      <c r="E720" s="1977" t="n">
        <v>3</v>
      </c>
      <c r="F720" s="1977" t="n">
        <v>1</v>
      </c>
      <c r="G720" s="1977" t="n">
        <v>4</v>
      </c>
    </row>
    <row r="721" customFormat="false" ht="12.75" hidden="false" customHeight="true" outlineLevel="0" collapsed="false">
      <c r="A721" s="1952" t="n">
        <v>21</v>
      </c>
      <c r="B721" s="1953" t="s">
        <v>195</v>
      </c>
      <c r="C721" s="2036"/>
      <c r="D721" s="1857" t="s">
        <v>1404</v>
      </c>
      <c r="E721" s="1977" t="n">
        <v>16</v>
      </c>
      <c r="F721" s="1977" t="n">
        <v>3.4</v>
      </c>
      <c r="G721" s="1977" t="n">
        <v>34.9</v>
      </c>
    </row>
    <row r="722" customFormat="false" ht="12.75" hidden="false" customHeight="true" outlineLevel="0" collapsed="false">
      <c r="A722" s="1956" t="n">
        <v>22</v>
      </c>
      <c r="B722" s="1953" t="s">
        <v>2605</v>
      </c>
      <c r="C722" s="2036"/>
      <c r="D722" s="1857" t="s">
        <v>1407</v>
      </c>
      <c r="E722" s="1977" t="n">
        <v>2.7</v>
      </c>
      <c r="F722" s="1977" t="n">
        <v>1.3</v>
      </c>
      <c r="G722" s="1977" t="n">
        <v>5.2</v>
      </c>
    </row>
    <row r="723" customFormat="false" ht="12.75" hidden="false" customHeight="true" outlineLevel="0" collapsed="false">
      <c r="A723" s="1952" t="n">
        <v>23</v>
      </c>
      <c r="B723" s="1953" t="s">
        <v>2606</v>
      </c>
      <c r="C723" s="2036"/>
      <c r="D723" s="1857" t="s">
        <v>1407</v>
      </c>
      <c r="E723" s="1977" t="n">
        <v>2</v>
      </c>
      <c r="F723" s="1977" t="n">
        <v>1</v>
      </c>
      <c r="G723" s="1977" t="n">
        <v>3</v>
      </c>
    </row>
    <row r="724" customFormat="false" ht="12.75" hidden="false" customHeight="true" outlineLevel="0" collapsed="false">
      <c r="A724" s="1956" t="n">
        <v>24</v>
      </c>
      <c r="B724" s="2023" t="s">
        <v>333</v>
      </c>
      <c r="C724" s="2039" t="s">
        <v>2600</v>
      </c>
      <c r="D724" s="1857" t="s">
        <v>2267</v>
      </c>
      <c r="E724" s="1977" t="n">
        <v>2.1</v>
      </c>
      <c r="F724" s="1977" t="n">
        <v>1.2</v>
      </c>
      <c r="G724" s="1977" t="n">
        <v>0.6</v>
      </c>
    </row>
    <row r="725" customFormat="false" ht="12.75" hidden="false" customHeight="true" outlineLevel="0" collapsed="false">
      <c r="A725" s="1952" t="n">
        <v>25</v>
      </c>
      <c r="B725" s="1965" t="s">
        <v>332</v>
      </c>
      <c r="C725" s="2039" t="s">
        <v>2600</v>
      </c>
      <c r="D725" s="1857" t="s">
        <v>2267</v>
      </c>
      <c r="E725" s="1979" t="n">
        <f aca="false">1.9</f>
        <v>1.9</v>
      </c>
      <c r="F725" s="1979" t="n">
        <f aca="false">0.9</f>
        <v>0.9</v>
      </c>
      <c r="G725" s="1979" t="n">
        <v>0.6</v>
      </c>
    </row>
    <row r="726" customFormat="false" ht="12.75" hidden="false" customHeight="true" outlineLevel="0" collapsed="false">
      <c r="A726" s="1956" t="n">
        <v>26</v>
      </c>
      <c r="B726" s="2023" t="s">
        <v>332</v>
      </c>
      <c r="C726" s="2039" t="s">
        <v>2601</v>
      </c>
      <c r="D726" s="1857" t="s">
        <v>2267</v>
      </c>
      <c r="E726" s="1977" t="n">
        <v>2.5</v>
      </c>
      <c r="F726" s="1977" t="n">
        <v>1.1</v>
      </c>
      <c r="G726" s="1977" t="n">
        <v>1.7</v>
      </c>
    </row>
    <row r="727" customFormat="false" ht="12.75" hidden="false" customHeight="true" outlineLevel="0" collapsed="false">
      <c r="A727" s="1952" t="n">
        <v>27</v>
      </c>
      <c r="B727" s="2023" t="s">
        <v>2607</v>
      </c>
      <c r="C727" s="2039"/>
      <c r="D727" s="1857" t="s">
        <v>1407</v>
      </c>
      <c r="E727" s="1977" t="n">
        <v>3</v>
      </c>
      <c r="F727" s="1977" t="n">
        <v>2</v>
      </c>
      <c r="G727" s="1977" t="n">
        <v>6</v>
      </c>
    </row>
    <row r="728" customFormat="false" ht="12.75" hidden="false" customHeight="true" outlineLevel="0" collapsed="false">
      <c r="A728" s="1956" t="n">
        <v>28</v>
      </c>
      <c r="B728" s="1953" t="s">
        <v>1920</v>
      </c>
      <c r="C728" s="2036"/>
      <c r="D728" s="1857" t="s">
        <v>1407</v>
      </c>
      <c r="E728" s="1977" t="n">
        <v>2</v>
      </c>
      <c r="F728" s="1977" t="n">
        <v>2</v>
      </c>
      <c r="G728" s="1977" t="n">
        <v>6</v>
      </c>
    </row>
    <row r="729" customFormat="false" ht="12.75" hidden="false" customHeight="true" outlineLevel="0" collapsed="false">
      <c r="A729" s="1952" t="n">
        <v>29</v>
      </c>
      <c r="B729" s="1953" t="s">
        <v>1921</v>
      </c>
      <c r="C729" s="2036"/>
      <c r="D729" s="1857" t="s">
        <v>1407</v>
      </c>
      <c r="E729" s="1977" t="n">
        <v>2</v>
      </c>
      <c r="F729" s="1977" t="n">
        <v>2</v>
      </c>
      <c r="G729" s="1977" t="n">
        <v>4.4</v>
      </c>
    </row>
    <row r="730" customFormat="false" ht="12.75" hidden="false" customHeight="true" outlineLevel="0" collapsed="false">
      <c r="A730" s="1956" t="n">
        <v>30</v>
      </c>
      <c r="B730" s="2017" t="s">
        <v>2608</v>
      </c>
      <c r="C730" s="2035"/>
      <c r="D730" s="1874" t="s">
        <v>1400</v>
      </c>
      <c r="E730" s="1977" t="n">
        <v>2</v>
      </c>
      <c r="F730" s="1977" t="n">
        <v>0.5</v>
      </c>
      <c r="G730" s="1977" t="n">
        <v>3</v>
      </c>
    </row>
    <row r="731" customFormat="false" ht="12.75" hidden="false" customHeight="true" outlineLevel="0" collapsed="false">
      <c r="A731" s="1952" t="n">
        <v>31</v>
      </c>
      <c r="B731" s="2023" t="s">
        <v>2609</v>
      </c>
      <c r="C731" s="2039"/>
      <c r="D731" s="1857" t="s">
        <v>2610</v>
      </c>
      <c r="E731" s="1977" t="n">
        <v>25</v>
      </c>
      <c r="F731" s="1977" t="n">
        <v>8</v>
      </c>
      <c r="G731" s="1977" t="n">
        <v>24</v>
      </c>
    </row>
    <row r="732" customFormat="false" ht="12.75" hidden="false" customHeight="true" outlineLevel="0" collapsed="false">
      <c r="A732" s="1956" t="n">
        <v>32</v>
      </c>
      <c r="B732" s="2023" t="s">
        <v>2611</v>
      </c>
      <c r="C732" s="2039"/>
      <c r="D732" s="1857" t="s">
        <v>2610</v>
      </c>
      <c r="E732" s="1977" t="n">
        <v>12</v>
      </c>
      <c r="F732" s="1977" t="n">
        <v>4</v>
      </c>
      <c r="G732" s="1977" t="n">
        <v>11</v>
      </c>
    </row>
    <row r="733" customFormat="false" ht="12.75" hidden="false" customHeight="true" outlineLevel="0" collapsed="false">
      <c r="A733" s="1952" t="n">
        <v>33</v>
      </c>
      <c r="B733" s="2023" t="s">
        <v>2612</v>
      </c>
      <c r="C733" s="2039"/>
      <c r="D733" s="1857" t="s">
        <v>2610</v>
      </c>
      <c r="E733" s="1977" t="n">
        <v>10</v>
      </c>
      <c r="F733" s="1977" t="n">
        <v>3</v>
      </c>
      <c r="G733" s="1977" t="n">
        <v>10</v>
      </c>
    </row>
    <row r="734" customFormat="false" ht="12.75" hidden="false" customHeight="true" outlineLevel="0" collapsed="false">
      <c r="A734" s="1956" t="n">
        <v>34</v>
      </c>
      <c r="B734" s="2023" t="s">
        <v>2613</v>
      </c>
      <c r="C734" s="2039"/>
      <c r="D734" s="1857" t="s">
        <v>2610</v>
      </c>
      <c r="E734" s="1977" t="n">
        <v>20</v>
      </c>
      <c r="F734" s="1977" t="n">
        <v>5</v>
      </c>
      <c r="G734" s="1977" t="n">
        <v>20</v>
      </c>
    </row>
    <row r="735" customFormat="false" ht="12.75" hidden="false" customHeight="true" outlineLevel="0" collapsed="false">
      <c r="A735" s="1952" t="n">
        <v>35</v>
      </c>
      <c r="B735" s="2023" t="s">
        <v>2614</v>
      </c>
      <c r="C735" s="2039"/>
      <c r="D735" s="1857" t="s">
        <v>2610</v>
      </c>
      <c r="E735" s="1977" t="n">
        <v>11</v>
      </c>
      <c r="F735" s="1977" t="n">
        <v>4</v>
      </c>
      <c r="G735" s="1977" t="n">
        <v>11</v>
      </c>
    </row>
    <row r="736" customFormat="false" ht="12.75" hidden="false" customHeight="true" outlineLevel="0" collapsed="false">
      <c r="A736" s="1956" t="n">
        <v>36</v>
      </c>
      <c r="B736" s="2023" t="s">
        <v>2615</v>
      </c>
      <c r="C736" s="2039"/>
      <c r="D736" s="1857" t="s">
        <v>2610</v>
      </c>
      <c r="E736" s="1977" t="n">
        <v>22</v>
      </c>
      <c r="F736" s="1977" t="n">
        <v>8</v>
      </c>
      <c r="G736" s="1977" t="n">
        <v>21</v>
      </c>
    </row>
    <row r="737" customFormat="false" ht="12.75" hidden="false" customHeight="true" outlineLevel="0" collapsed="false">
      <c r="A737" s="1952" t="n">
        <v>37</v>
      </c>
      <c r="B737" s="1953" t="s">
        <v>2616</v>
      </c>
      <c r="C737" s="2036"/>
      <c r="D737" s="1857" t="s">
        <v>1404</v>
      </c>
      <c r="E737" s="1977" t="n">
        <v>35</v>
      </c>
      <c r="F737" s="1977" t="n">
        <v>10</v>
      </c>
      <c r="G737" s="1977" t="n">
        <v>45</v>
      </c>
    </row>
    <row r="738" customFormat="false" ht="12.75" hidden="false" customHeight="true" outlineLevel="0" collapsed="false">
      <c r="A738" s="1956" t="n">
        <v>38</v>
      </c>
      <c r="B738" s="1953" t="s">
        <v>2617</v>
      </c>
      <c r="C738" s="2036"/>
      <c r="D738" s="1857" t="s">
        <v>1404</v>
      </c>
      <c r="E738" s="1977" t="n">
        <v>25</v>
      </c>
      <c r="F738" s="1977" t="n">
        <v>8</v>
      </c>
      <c r="G738" s="1977" t="n">
        <v>33</v>
      </c>
    </row>
    <row r="739" customFormat="false" ht="12.75" hidden="false" customHeight="true" outlineLevel="0" collapsed="false">
      <c r="A739" s="1952" t="n">
        <v>39</v>
      </c>
      <c r="B739" s="2017" t="s">
        <v>2618</v>
      </c>
      <c r="C739" s="2035"/>
      <c r="D739" s="1926" t="s">
        <v>1407</v>
      </c>
      <c r="E739" s="2037" t="n">
        <v>1.6</v>
      </c>
      <c r="F739" s="2037" t="n">
        <v>0.4</v>
      </c>
      <c r="G739" s="2037" t="n">
        <v>2.1</v>
      </c>
    </row>
    <row r="740" customFormat="false" ht="12.75" hidden="false" customHeight="true" outlineLevel="0" collapsed="false">
      <c r="A740" s="1956" t="n">
        <v>40</v>
      </c>
      <c r="B740" s="2017" t="s">
        <v>2619</v>
      </c>
      <c r="C740" s="2035"/>
      <c r="D740" s="1926" t="s">
        <v>2267</v>
      </c>
      <c r="E740" s="2037" t="n">
        <v>3.8</v>
      </c>
      <c r="F740" s="2037" t="n">
        <v>1.8</v>
      </c>
      <c r="G740" s="2037" t="n">
        <v>0.9</v>
      </c>
    </row>
    <row r="741" customFormat="false" ht="12.75" hidden="false" customHeight="true" outlineLevel="0" collapsed="false">
      <c r="A741" s="1952" t="n">
        <v>41</v>
      </c>
      <c r="B741" s="1953" t="s">
        <v>193</v>
      </c>
      <c r="C741" s="2036"/>
      <c r="D741" s="1857" t="s">
        <v>1404</v>
      </c>
      <c r="E741" s="1977" t="n">
        <v>53</v>
      </c>
      <c r="F741" s="1977" t="n">
        <v>16</v>
      </c>
      <c r="G741" s="1977" t="n">
        <v>16</v>
      </c>
    </row>
    <row r="742" customFormat="false" ht="12.75" hidden="false" customHeight="true" outlineLevel="0" collapsed="false">
      <c r="A742" s="1956" t="n">
        <v>42</v>
      </c>
      <c r="B742" s="1965" t="s">
        <v>2620</v>
      </c>
      <c r="C742" s="2039" t="s">
        <v>2600</v>
      </c>
      <c r="D742" s="1857" t="s">
        <v>2267</v>
      </c>
      <c r="E742" s="1979" t="n">
        <v>3.5</v>
      </c>
      <c r="F742" s="1979" t="n">
        <v>1.5</v>
      </c>
      <c r="G742" s="1979" t="n">
        <v>1</v>
      </c>
    </row>
    <row r="743" customFormat="false" ht="12.75" hidden="false" customHeight="true" outlineLevel="0" collapsed="false">
      <c r="A743" s="1952" t="n">
        <v>43</v>
      </c>
      <c r="B743" s="2023" t="s">
        <v>2620</v>
      </c>
      <c r="C743" s="2039" t="s">
        <v>2601</v>
      </c>
      <c r="D743" s="1857" t="s">
        <v>2267</v>
      </c>
      <c r="E743" s="1977" t="n">
        <v>7</v>
      </c>
      <c r="F743" s="1977" t="n">
        <v>2.5</v>
      </c>
      <c r="G743" s="1977" t="n">
        <v>10</v>
      </c>
    </row>
    <row r="744" customFormat="false" ht="12.75" hidden="false" customHeight="true" outlineLevel="0" collapsed="false">
      <c r="A744" s="1956" t="n">
        <v>44</v>
      </c>
      <c r="B744" s="1953" t="s">
        <v>2621</v>
      </c>
      <c r="C744" s="2036"/>
      <c r="D744" s="1857" t="s">
        <v>1407</v>
      </c>
      <c r="E744" s="1977" t="n">
        <v>2.4</v>
      </c>
      <c r="F744" s="1977" t="n">
        <v>0.9</v>
      </c>
      <c r="G744" s="1977" t="n">
        <v>3.7</v>
      </c>
    </row>
    <row r="745" customFormat="false" ht="12.75" hidden="false" customHeight="true" outlineLevel="0" collapsed="false">
      <c r="A745" s="1952" t="n">
        <v>45</v>
      </c>
      <c r="B745" s="2023" t="s">
        <v>2622</v>
      </c>
      <c r="C745" s="2039"/>
      <c r="D745" s="1857" t="s">
        <v>1407</v>
      </c>
      <c r="E745" s="1977" t="n">
        <v>2</v>
      </c>
      <c r="F745" s="1977" t="n">
        <v>1.5</v>
      </c>
      <c r="G745" s="1977" t="n">
        <v>5.5</v>
      </c>
    </row>
    <row r="746" customFormat="false" ht="12.75" hidden="false" customHeight="true" outlineLevel="0" collapsed="false">
      <c r="A746" s="1956" t="n">
        <v>46</v>
      </c>
      <c r="B746" s="1965" t="s">
        <v>2623</v>
      </c>
      <c r="C746" s="2039"/>
      <c r="D746" s="1857" t="s">
        <v>1407</v>
      </c>
      <c r="E746" s="1979" t="n">
        <v>2.5</v>
      </c>
      <c r="F746" s="1979" t="n">
        <v>1.5</v>
      </c>
      <c r="G746" s="1979" t="n">
        <v>5</v>
      </c>
    </row>
    <row r="747" customFormat="false" ht="12.75" hidden="false" customHeight="true" outlineLevel="0" collapsed="false">
      <c r="A747" s="1952" t="n">
        <v>47</v>
      </c>
      <c r="B747" s="1953" t="s">
        <v>2624</v>
      </c>
      <c r="C747" s="2036"/>
      <c r="D747" s="1857" t="s">
        <v>1404</v>
      </c>
      <c r="E747" s="1977" t="n">
        <v>20</v>
      </c>
      <c r="F747" s="1977" t="n">
        <v>6</v>
      </c>
      <c r="G747" s="1977" t="n">
        <v>25</v>
      </c>
    </row>
    <row r="748" customFormat="false" ht="12.75" hidden="false" customHeight="true" outlineLevel="0" collapsed="false">
      <c r="A748" s="1672" t="s">
        <v>1810</v>
      </c>
      <c r="B748" s="1671" t="s">
        <v>1902</v>
      </c>
      <c r="C748" s="1671"/>
      <c r="D748" s="1671" t="s">
        <v>1514</v>
      </c>
      <c r="E748" s="1671" t="s">
        <v>2312</v>
      </c>
      <c r="F748" s="1671"/>
      <c r="G748" s="1671"/>
    </row>
    <row r="749" customFormat="false" ht="15.75" hidden="false" customHeight="true" outlineLevel="0" collapsed="false">
      <c r="A749" s="1672"/>
      <c r="B749" s="1671"/>
      <c r="C749" s="1671"/>
      <c r="D749" s="1671"/>
      <c r="E749" s="1858" t="s">
        <v>395</v>
      </c>
      <c r="F749" s="1858" t="s">
        <v>2264</v>
      </c>
      <c r="G749" s="1858" t="s">
        <v>2265</v>
      </c>
    </row>
    <row r="750" customFormat="false" ht="12.75" hidden="false" customHeight="true" outlineLevel="0" collapsed="false">
      <c r="A750" s="1956" t="n">
        <v>48</v>
      </c>
      <c r="B750" s="2023" t="s">
        <v>2625</v>
      </c>
      <c r="C750" s="2039"/>
      <c r="D750" s="1857" t="s">
        <v>1407</v>
      </c>
      <c r="E750" s="1977" t="n">
        <v>5</v>
      </c>
      <c r="F750" s="1977" t="n">
        <v>1.5</v>
      </c>
      <c r="G750" s="1977" t="n">
        <v>3</v>
      </c>
    </row>
    <row r="751" customFormat="false" ht="12.75" hidden="false" customHeight="true" outlineLevel="0" collapsed="false">
      <c r="A751" s="1952" t="n">
        <v>49</v>
      </c>
      <c r="B751" s="2023" t="s">
        <v>2626</v>
      </c>
      <c r="C751" s="2039" t="s">
        <v>2600</v>
      </c>
      <c r="D751" s="1857" t="s">
        <v>2267</v>
      </c>
      <c r="E751" s="1977" t="n">
        <v>3.3</v>
      </c>
      <c r="F751" s="1977" t="n">
        <v>1.2</v>
      </c>
      <c r="G751" s="1977" t="n">
        <v>1.4</v>
      </c>
    </row>
    <row r="752" customFormat="false" ht="12.75" hidden="false" customHeight="true" outlineLevel="0" collapsed="false">
      <c r="A752" s="1956" t="n">
        <v>50</v>
      </c>
      <c r="B752" s="2023" t="s">
        <v>2626</v>
      </c>
      <c r="C752" s="2039" t="s">
        <v>2627</v>
      </c>
      <c r="D752" s="1857" t="s">
        <v>2267</v>
      </c>
      <c r="E752" s="1977" t="n">
        <v>4.9</v>
      </c>
      <c r="F752" s="1977" t="n">
        <v>1.3</v>
      </c>
      <c r="G752" s="1977" t="n">
        <v>3.1</v>
      </c>
    </row>
    <row r="753" customFormat="false" ht="12.75" hidden="false" customHeight="true" outlineLevel="0" collapsed="false">
      <c r="A753" s="1952" t="n">
        <v>51</v>
      </c>
      <c r="B753" s="2023" t="s">
        <v>2628</v>
      </c>
      <c r="C753" s="2039" t="s">
        <v>2600</v>
      </c>
      <c r="D753" s="1857" t="s">
        <v>2267</v>
      </c>
      <c r="E753" s="1977" t="n">
        <v>3.6</v>
      </c>
      <c r="F753" s="1977" t="n">
        <v>1.2</v>
      </c>
      <c r="G753" s="1977" t="n">
        <v>1.4</v>
      </c>
    </row>
    <row r="754" customFormat="false" ht="12.75" hidden="false" customHeight="true" outlineLevel="0" collapsed="false">
      <c r="A754" s="1956" t="n">
        <v>52</v>
      </c>
      <c r="B754" s="2023" t="s">
        <v>2628</v>
      </c>
      <c r="C754" s="2039" t="s">
        <v>2627</v>
      </c>
      <c r="D754" s="1857" t="s">
        <v>2267</v>
      </c>
      <c r="E754" s="1977" t="n">
        <v>5.1</v>
      </c>
      <c r="F754" s="1977" t="n">
        <v>1.3</v>
      </c>
      <c r="G754" s="1977" t="n">
        <v>3.6</v>
      </c>
    </row>
    <row r="755" customFormat="false" ht="12.75" hidden="false" customHeight="true" outlineLevel="0" collapsed="false">
      <c r="A755" s="1952" t="n">
        <v>53</v>
      </c>
      <c r="B755" s="1953" t="s">
        <v>2629</v>
      </c>
      <c r="C755" s="2036"/>
      <c r="D755" s="1857" t="s">
        <v>1404</v>
      </c>
      <c r="E755" s="1977" t="n">
        <v>13</v>
      </c>
      <c r="F755" s="1977" t="n">
        <v>5</v>
      </c>
      <c r="G755" s="1977" t="n">
        <v>20</v>
      </c>
    </row>
    <row r="756" customFormat="false" ht="12.75" hidden="false" customHeight="true" outlineLevel="0" collapsed="false">
      <c r="A756" s="1956" t="n">
        <v>54</v>
      </c>
      <c r="B756" s="1953" t="s">
        <v>2630</v>
      </c>
      <c r="C756" s="2036"/>
      <c r="D756" s="1857" t="s">
        <v>1404</v>
      </c>
      <c r="E756" s="1977" t="n">
        <v>15</v>
      </c>
      <c r="F756" s="1977" t="n">
        <v>6</v>
      </c>
      <c r="G756" s="1977" t="n">
        <v>22</v>
      </c>
    </row>
    <row r="757" customFormat="false" ht="12.75" hidden="false" customHeight="true" outlineLevel="0" collapsed="false">
      <c r="A757" s="1952" t="n">
        <v>55</v>
      </c>
      <c r="B757" s="2017" t="s">
        <v>2631</v>
      </c>
      <c r="C757" s="2035"/>
      <c r="D757" s="1874" t="s">
        <v>1400</v>
      </c>
      <c r="E757" s="1977" t="n">
        <v>1</v>
      </c>
      <c r="F757" s="1977" t="n">
        <v>1</v>
      </c>
      <c r="G757" s="1977" t="n">
        <v>2</v>
      </c>
    </row>
    <row r="758" customFormat="false" ht="12.75" hidden="false" customHeight="true" outlineLevel="0" collapsed="false">
      <c r="A758" s="1956" t="n">
        <v>56</v>
      </c>
      <c r="B758" s="2023" t="s">
        <v>2632</v>
      </c>
      <c r="C758" s="2039"/>
      <c r="D758" s="1857" t="s">
        <v>1407</v>
      </c>
      <c r="E758" s="1977" t="n">
        <v>3.6</v>
      </c>
      <c r="F758" s="1977" t="n">
        <v>1</v>
      </c>
      <c r="G758" s="1977" t="n">
        <v>1.4</v>
      </c>
    </row>
    <row r="759" customFormat="false" ht="12.75" hidden="false" customHeight="true" outlineLevel="0" collapsed="false">
      <c r="A759" s="1952" t="n">
        <v>57</v>
      </c>
      <c r="B759" s="2023" t="s">
        <v>2633</v>
      </c>
      <c r="C759" s="2039"/>
      <c r="D759" s="1857" t="s">
        <v>1407</v>
      </c>
      <c r="E759" s="1977" t="n">
        <v>3.4</v>
      </c>
      <c r="F759" s="1977" t="n">
        <v>1</v>
      </c>
      <c r="G759" s="1977" t="n">
        <v>3.2</v>
      </c>
    </row>
    <row r="760" customFormat="false" ht="12.75" hidden="false" customHeight="true" outlineLevel="0" collapsed="false">
      <c r="A760" s="1956" t="n">
        <v>58</v>
      </c>
      <c r="B760" s="1953" t="s">
        <v>2634</v>
      </c>
      <c r="C760" s="2036"/>
      <c r="D760" s="1857" t="s">
        <v>1407</v>
      </c>
      <c r="E760" s="1977" t="n">
        <v>1.9</v>
      </c>
      <c r="F760" s="1977" t="n">
        <v>1</v>
      </c>
      <c r="G760" s="1977" t="n">
        <v>4</v>
      </c>
    </row>
    <row r="761" customFormat="false" ht="12.75" hidden="false" customHeight="true" outlineLevel="0" collapsed="false">
      <c r="A761" s="1952" t="n">
        <v>59</v>
      </c>
      <c r="B761" s="1953" t="s">
        <v>2635</v>
      </c>
      <c r="C761" s="2036"/>
      <c r="D761" s="1857" t="s">
        <v>1407</v>
      </c>
      <c r="E761" s="1977" t="n">
        <v>2.4</v>
      </c>
      <c r="F761" s="1977" t="n">
        <v>0.9</v>
      </c>
      <c r="G761" s="1977" t="n">
        <v>5.1</v>
      </c>
    </row>
    <row r="762" customFormat="false" ht="12.75" hidden="false" customHeight="true" outlineLevel="0" collapsed="false">
      <c r="A762" s="1956" t="n">
        <v>60</v>
      </c>
      <c r="B762" s="2023" t="s">
        <v>2636</v>
      </c>
      <c r="C762" s="2039"/>
      <c r="D762" s="1857" t="s">
        <v>2637</v>
      </c>
      <c r="E762" s="1977" t="n">
        <v>1.2</v>
      </c>
      <c r="F762" s="1977" t="n">
        <v>1</v>
      </c>
      <c r="G762" s="1977" t="n">
        <v>5</v>
      </c>
    </row>
    <row r="763" customFormat="false" ht="12.75" hidden="false" customHeight="true" outlineLevel="0" collapsed="false">
      <c r="A763" s="1952" t="n">
        <v>61</v>
      </c>
      <c r="B763" s="1953" t="s">
        <v>2638</v>
      </c>
      <c r="C763" s="2036"/>
      <c r="D763" s="1857" t="s">
        <v>1407</v>
      </c>
      <c r="E763" s="1977" t="n">
        <v>1.6</v>
      </c>
      <c r="F763" s="1977" t="n">
        <v>0.7</v>
      </c>
      <c r="G763" s="1977" t="n">
        <v>3.8</v>
      </c>
    </row>
    <row r="764" customFormat="false" ht="12.75" hidden="false" customHeight="true" outlineLevel="0" collapsed="false">
      <c r="A764" s="1956" t="n">
        <v>62</v>
      </c>
      <c r="B764" s="1953" t="s">
        <v>2639</v>
      </c>
      <c r="C764" s="2036"/>
      <c r="D764" s="1857" t="s">
        <v>1407</v>
      </c>
      <c r="E764" s="1977" t="n">
        <v>2.6</v>
      </c>
      <c r="F764" s="1977" t="n">
        <v>3.1</v>
      </c>
      <c r="G764" s="1977" t="n">
        <v>5.3</v>
      </c>
    </row>
    <row r="765" customFormat="false" ht="12.75" hidden="false" customHeight="true" outlineLevel="0" collapsed="false">
      <c r="A765" s="1952" t="n">
        <v>63</v>
      </c>
      <c r="B765" s="1953" t="s">
        <v>2640</v>
      </c>
      <c r="C765" s="2036"/>
      <c r="D765" s="1857" t="s">
        <v>1404</v>
      </c>
      <c r="E765" s="1977" t="n">
        <v>32</v>
      </c>
      <c r="F765" s="1977" t="n">
        <v>10</v>
      </c>
      <c r="G765" s="1977" t="n">
        <v>25</v>
      </c>
    </row>
    <row r="766" customFormat="false" ht="12.75" hidden="false" customHeight="true" outlineLevel="0" collapsed="false">
      <c r="A766" s="1956" t="n">
        <v>64</v>
      </c>
      <c r="B766" s="1953" t="s">
        <v>2641</v>
      </c>
      <c r="C766" s="2036"/>
      <c r="D766" s="1857" t="s">
        <v>1404</v>
      </c>
      <c r="E766" s="1977" t="n">
        <v>46</v>
      </c>
      <c r="F766" s="1977" t="n">
        <v>12</v>
      </c>
      <c r="G766" s="1977" t="n">
        <v>35</v>
      </c>
    </row>
    <row r="767" customFormat="false" ht="12.75" hidden="false" customHeight="true" outlineLevel="0" collapsed="false">
      <c r="A767" s="1952" t="n">
        <v>65</v>
      </c>
      <c r="B767" s="2017" t="s">
        <v>2642</v>
      </c>
      <c r="C767" s="2035"/>
      <c r="D767" s="1926" t="s">
        <v>2267</v>
      </c>
      <c r="E767" s="2037" t="n">
        <v>0.9</v>
      </c>
      <c r="F767" s="2037" t="n">
        <v>0.2</v>
      </c>
      <c r="G767" s="2037" t="n">
        <v>1.3</v>
      </c>
    </row>
    <row r="768" customFormat="false" ht="12.75" hidden="false" customHeight="true" outlineLevel="0" collapsed="false">
      <c r="A768" s="1956" t="n">
        <v>66</v>
      </c>
      <c r="B768" s="2023" t="s">
        <v>2643</v>
      </c>
      <c r="C768" s="2039" t="s">
        <v>2600</v>
      </c>
      <c r="D768" s="1857" t="s">
        <v>2267</v>
      </c>
      <c r="E768" s="1977" t="n">
        <v>3.5</v>
      </c>
      <c r="F768" s="1977" t="n">
        <v>1.8</v>
      </c>
      <c r="G768" s="1977" t="n">
        <v>1.2</v>
      </c>
    </row>
    <row r="769" customFormat="false" ht="12.75" hidden="false" customHeight="true" outlineLevel="0" collapsed="false">
      <c r="A769" s="1952" t="n">
        <v>67</v>
      </c>
      <c r="B769" s="2023" t="s">
        <v>2644</v>
      </c>
      <c r="C769" s="2039" t="s">
        <v>2600</v>
      </c>
      <c r="D769" s="1857" t="s">
        <v>2267</v>
      </c>
      <c r="E769" s="1977" t="n">
        <v>5.6</v>
      </c>
      <c r="F769" s="1977" t="n">
        <v>0.9</v>
      </c>
      <c r="G769" s="1977" t="n">
        <v>1.7</v>
      </c>
    </row>
    <row r="770" customFormat="false" ht="12.75" hidden="false" customHeight="true" outlineLevel="0" collapsed="false">
      <c r="A770" s="1956" t="n">
        <v>68</v>
      </c>
      <c r="B770" s="2023" t="s">
        <v>2644</v>
      </c>
      <c r="C770" s="2039" t="s">
        <v>2627</v>
      </c>
      <c r="D770" s="1857" t="s">
        <v>2267</v>
      </c>
      <c r="E770" s="1977" t="n">
        <v>6.1</v>
      </c>
      <c r="F770" s="1977" t="n">
        <v>1.1</v>
      </c>
      <c r="G770" s="1977" t="n">
        <v>2.5</v>
      </c>
    </row>
    <row r="771" customFormat="false" ht="12.75" hidden="false" customHeight="true" outlineLevel="0" collapsed="false">
      <c r="A771" s="1952" t="n">
        <v>69</v>
      </c>
      <c r="B771" s="2023" t="s">
        <v>2645</v>
      </c>
      <c r="C771" s="2039" t="s">
        <v>2600</v>
      </c>
      <c r="D771" s="1857" t="s">
        <v>2267</v>
      </c>
      <c r="E771" s="1977" t="n">
        <v>5.6</v>
      </c>
      <c r="F771" s="1977" t="n">
        <v>0.9</v>
      </c>
      <c r="G771" s="1977" t="n">
        <v>1.7</v>
      </c>
    </row>
    <row r="772" customFormat="false" ht="12.75" hidden="false" customHeight="true" outlineLevel="0" collapsed="false">
      <c r="A772" s="1956" t="n">
        <v>70</v>
      </c>
      <c r="B772" s="2023" t="s">
        <v>2645</v>
      </c>
      <c r="C772" s="2039" t="s">
        <v>2627</v>
      </c>
      <c r="D772" s="1857" t="s">
        <v>2267</v>
      </c>
      <c r="E772" s="1977" t="n">
        <v>6.2</v>
      </c>
      <c r="F772" s="1977" t="n">
        <v>1</v>
      </c>
      <c r="G772" s="1977" t="n">
        <v>3.9</v>
      </c>
    </row>
    <row r="773" customFormat="false" ht="12.75" hidden="false" customHeight="true" outlineLevel="0" collapsed="false">
      <c r="A773" s="1952" t="n">
        <v>71</v>
      </c>
      <c r="B773" s="1953" t="s">
        <v>2646</v>
      </c>
      <c r="C773" s="2036"/>
      <c r="D773" s="1857" t="s">
        <v>1404</v>
      </c>
      <c r="E773" s="1977" t="n">
        <v>12.5</v>
      </c>
      <c r="F773" s="1977" t="n">
        <v>5.5</v>
      </c>
      <c r="G773" s="1977" t="n">
        <v>12.5</v>
      </c>
    </row>
    <row r="774" customFormat="false" ht="12.75" hidden="false" customHeight="true" outlineLevel="0" collapsed="false">
      <c r="A774" s="1956" t="n">
        <v>72</v>
      </c>
      <c r="B774" s="1965" t="s">
        <v>335</v>
      </c>
      <c r="C774" s="2039" t="s">
        <v>2600</v>
      </c>
      <c r="D774" s="1857" t="s">
        <v>2267</v>
      </c>
      <c r="E774" s="1979" t="n">
        <v>1.4</v>
      </c>
      <c r="F774" s="1979" t="n">
        <v>0.7</v>
      </c>
      <c r="G774" s="1979" t="n">
        <v>0.5</v>
      </c>
    </row>
    <row r="775" customFormat="false" ht="12.75" hidden="false" customHeight="true" outlineLevel="0" collapsed="false">
      <c r="A775" s="1952" t="n">
        <v>73</v>
      </c>
      <c r="B775" s="2023" t="s">
        <v>335</v>
      </c>
      <c r="C775" s="2039" t="s">
        <v>2601</v>
      </c>
      <c r="D775" s="1857" t="s">
        <v>2267</v>
      </c>
      <c r="E775" s="1977" t="n">
        <v>2.2</v>
      </c>
      <c r="F775" s="1977" t="n">
        <v>0.9</v>
      </c>
      <c r="G775" s="1977" t="n">
        <v>2.3</v>
      </c>
    </row>
    <row r="776" customFormat="false" ht="12.75" hidden="false" customHeight="true" outlineLevel="0" collapsed="false">
      <c r="A776" s="1956" t="n">
        <v>74</v>
      </c>
      <c r="B776" s="2023" t="s">
        <v>2647</v>
      </c>
      <c r="C776" s="2039" t="s">
        <v>2600</v>
      </c>
      <c r="D776" s="1857" t="s">
        <v>2267</v>
      </c>
      <c r="E776" s="1977" t="n">
        <v>1.5</v>
      </c>
      <c r="F776" s="1977" t="n">
        <v>0.7</v>
      </c>
      <c r="G776" s="1977" t="n">
        <v>0.5</v>
      </c>
    </row>
    <row r="777" customFormat="false" ht="12.75" hidden="false" customHeight="true" outlineLevel="0" collapsed="false">
      <c r="A777" s="1952" t="n">
        <v>75</v>
      </c>
      <c r="B777" s="2017" t="s">
        <v>2648</v>
      </c>
      <c r="C777" s="2035"/>
      <c r="D777" s="1926" t="s">
        <v>1407</v>
      </c>
      <c r="E777" s="2037" t="n">
        <v>1.5</v>
      </c>
      <c r="F777" s="2037" t="n">
        <v>0.4</v>
      </c>
      <c r="G777" s="2037" t="n">
        <v>2.5</v>
      </c>
    </row>
    <row r="778" customFormat="false" ht="12.75" hidden="false" customHeight="true" outlineLevel="0" collapsed="false">
      <c r="A778" s="1956" t="n">
        <v>76</v>
      </c>
      <c r="B778" s="1953" t="s">
        <v>2649</v>
      </c>
      <c r="C778" s="2036"/>
      <c r="D778" s="1857" t="s">
        <v>1407</v>
      </c>
      <c r="E778" s="1977" t="n">
        <v>2.2</v>
      </c>
      <c r="F778" s="1977" t="n">
        <v>0.8</v>
      </c>
      <c r="G778" s="1977" t="n">
        <v>0.4</v>
      </c>
    </row>
    <row r="779" customFormat="false" ht="12.75" hidden="false" customHeight="true" outlineLevel="0" collapsed="false">
      <c r="A779" s="1952" t="n">
        <v>77</v>
      </c>
      <c r="B779" s="1953" t="s">
        <v>2650</v>
      </c>
      <c r="C779" s="2036"/>
      <c r="D779" s="1857" t="s">
        <v>1404</v>
      </c>
      <c r="E779" s="1977" t="n">
        <v>1.8</v>
      </c>
      <c r="F779" s="1977" t="n">
        <v>0.3</v>
      </c>
      <c r="G779" s="1977" t="n">
        <v>4</v>
      </c>
    </row>
    <row r="780" customFormat="false" ht="12.75" hidden="false" customHeight="true" outlineLevel="0" collapsed="false">
      <c r="A780" s="1956" t="n">
        <v>78</v>
      </c>
      <c r="B780" s="2017" t="s">
        <v>2651</v>
      </c>
      <c r="C780" s="2036"/>
      <c r="D780" s="1857" t="s">
        <v>1407</v>
      </c>
      <c r="E780" s="1979" t="n">
        <v>1.6</v>
      </c>
      <c r="F780" s="1979" t="n">
        <v>0.9</v>
      </c>
      <c r="G780" s="1979" t="n">
        <v>4.2</v>
      </c>
    </row>
    <row r="781" customFormat="false" ht="12.75" hidden="false" customHeight="true" outlineLevel="0" collapsed="false">
      <c r="A781" s="1952" t="n">
        <v>79</v>
      </c>
      <c r="B781" s="2017" t="s">
        <v>2652</v>
      </c>
      <c r="C781" s="2035"/>
      <c r="D781" s="1926" t="s">
        <v>1407</v>
      </c>
      <c r="E781" s="2037" t="n">
        <v>15.8</v>
      </c>
      <c r="F781" s="2037" t="n">
        <v>7.5</v>
      </c>
      <c r="G781" s="2037" t="n">
        <v>10</v>
      </c>
    </row>
    <row r="782" customFormat="false" ht="12.75" hidden="false" customHeight="true" outlineLevel="0" collapsed="false">
      <c r="A782" s="1956" t="n">
        <v>80</v>
      </c>
      <c r="B782" s="2017" t="s">
        <v>2653</v>
      </c>
      <c r="C782" s="2035"/>
      <c r="D782" s="1926" t="s">
        <v>1407</v>
      </c>
      <c r="E782" s="2037" t="n">
        <v>31.4</v>
      </c>
      <c r="F782" s="2037" t="n">
        <v>9.9</v>
      </c>
      <c r="G782" s="2037" t="n">
        <v>6.7</v>
      </c>
    </row>
    <row r="783" customFormat="false" ht="12.75" hidden="false" customHeight="true" outlineLevel="0" collapsed="false">
      <c r="A783" s="1952" t="n">
        <v>81</v>
      </c>
      <c r="B783" s="1965" t="s">
        <v>2654</v>
      </c>
      <c r="C783" s="2039"/>
      <c r="D783" s="1857" t="s">
        <v>1407</v>
      </c>
      <c r="E783" s="1979" t="n">
        <v>2</v>
      </c>
      <c r="F783" s="1979" t="n">
        <v>1.5</v>
      </c>
      <c r="G783" s="1979" t="n">
        <v>4.6</v>
      </c>
    </row>
    <row r="784" customFormat="false" ht="12.75" hidden="false" customHeight="true" outlineLevel="0" collapsed="false">
      <c r="A784" s="1956" t="n">
        <v>82</v>
      </c>
      <c r="B784" s="2017" t="s">
        <v>2655</v>
      </c>
      <c r="C784" s="2035"/>
      <c r="D784" s="1926" t="s">
        <v>1407</v>
      </c>
      <c r="E784" s="2037" t="n">
        <v>1.8</v>
      </c>
      <c r="F784" s="2037" t="n">
        <v>0.5</v>
      </c>
      <c r="G784" s="2037" t="n">
        <v>3.2</v>
      </c>
    </row>
    <row r="785" customFormat="false" ht="12.75" hidden="false" customHeight="true" outlineLevel="0" collapsed="false">
      <c r="A785" s="1952" t="n">
        <v>83</v>
      </c>
      <c r="B785" s="2041" t="s">
        <v>2518</v>
      </c>
      <c r="C785" s="2039" t="s">
        <v>2600</v>
      </c>
      <c r="D785" s="1857" t="s">
        <v>2267</v>
      </c>
      <c r="E785" s="2042" t="n">
        <v>1.5</v>
      </c>
      <c r="F785" s="2042" t="n">
        <v>0.8</v>
      </c>
      <c r="G785" s="2042" t="n">
        <v>0.7</v>
      </c>
    </row>
    <row r="786" customFormat="false" ht="12.75" hidden="false" customHeight="true" outlineLevel="0" collapsed="false">
      <c r="A786" s="1956" t="n">
        <v>84</v>
      </c>
      <c r="B786" s="2023" t="s">
        <v>2518</v>
      </c>
      <c r="C786" s="2039" t="s">
        <v>2601</v>
      </c>
      <c r="D786" s="1857" t="s">
        <v>2267</v>
      </c>
      <c r="E786" s="1977" t="n">
        <v>2.1</v>
      </c>
      <c r="F786" s="1977" t="n">
        <v>1</v>
      </c>
      <c r="G786" s="1977" t="n">
        <v>1.9</v>
      </c>
    </row>
    <row r="787" customFormat="false" ht="12.75" hidden="false" customHeight="true" outlineLevel="0" collapsed="false">
      <c r="A787" s="1952" t="n">
        <v>85</v>
      </c>
      <c r="B787" s="2017" t="s">
        <v>2656</v>
      </c>
      <c r="C787" s="2043"/>
      <c r="D787" s="1857" t="s">
        <v>1404</v>
      </c>
      <c r="E787" s="1977" t="n">
        <v>6</v>
      </c>
      <c r="F787" s="1977" t="n">
        <v>3</v>
      </c>
      <c r="G787" s="1977" t="n">
        <v>12</v>
      </c>
    </row>
    <row r="788" customFormat="false" ht="12.75" hidden="false" customHeight="true" outlineLevel="0" collapsed="false">
      <c r="A788" s="1956" t="n">
        <v>86</v>
      </c>
      <c r="B788" s="2017" t="s">
        <v>2657</v>
      </c>
      <c r="C788" s="2043"/>
      <c r="D788" s="1857" t="s">
        <v>1404</v>
      </c>
      <c r="E788" s="1977" t="n">
        <v>6</v>
      </c>
      <c r="F788" s="1977" t="n">
        <v>2</v>
      </c>
      <c r="G788" s="1977" t="n">
        <v>10</v>
      </c>
    </row>
    <row r="789" customFormat="false" ht="12.75" hidden="false" customHeight="true" outlineLevel="0" collapsed="false">
      <c r="A789" s="1952" t="n">
        <v>87</v>
      </c>
      <c r="B789" s="2017" t="s">
        <v>2658</v>
      </c>
      <c r="C789" s="2043"/>
      <c r="D789" s="1857" t="s">
        <v>1404</v>
      </c>
      <c r="E789" s="1977" t="n">
        <v>6</v>
      </c>
      <c r="F789" s="1977" t="n">
        <v>2</v>
      </c>
      <c r="G789" s="1977" t="n">
        <v>12</v>
      </c>
    </row>
    <row r="790" customFormat="false" ht="12.75" hidden="false" customHeight="true" outlineLevel="0" collapsed="false">
      <c r="A790" s="1956" t="n">
        <v>88</v>
      </c>
      <c r="B790" s="2017" t="s">
        <v>2659</v>
      </c>
      <c r="C790" s="2035"/>
      <c r="D790" s="1926" t="s">
        <v>1407</v>
      </c>
      <c r="E790" s="2037" t="n">
        <v>1.1</v>
      </c>
      <c r="F790" s="2037" t="n">
        <v>0.3</v>
      </c>
      <c r="G790" s="2037" t="n">
        <v>2.4</v>
      </c>
    </row>
    <row r="791" customFormat="false" ht="12.75" hidden="false" customHeight="true" outlineLevel="0" collapsed="false">
      <c r="A791" s="1952" t="n">
        <v>89</v>
      </c>
      <c r="B791" s="1953" t="s">
        <v>2660</v>
      </c>
      <c r="C791" s="2036"/>
      <c r="D791" s="1857" t="s">
        <v>1404</v>
      </c>
      <c r="E791" s="1977" t="n">
        <v>50</v>
      </c>
      <c r="F791" s="1977" t="n">
        <v>10</v>
      </c>
      <c r="G791" s="1977" t="n">
        <v>55</v>
      </c>
    </row>
    <row r="792" customFormat="false" ht="12.75" hidden="false" customHeight="true" outlineLevel="0" collapsed="false">
      <c r="A792" s="1956" t="n">
        <v>90</v>
      </c>
      <c r="B792" s="1953" t="s">
        <v>2661</v>
      </c>
      <c r="C792" s="2036"/>
      <c r="D792" s="1857" t="s">
        <v>1404</v>
      </c>
      <c r="E792" s="1977" t="n">
        <v>35</v>
      </c>
      <c r="F792" s="1977" t="n">
        <v>8</v>
      </c>
      <c r="G792" s="1977" t="n">
        <v>45</v>
      </c>
    </row>
    <row r="793" customFormat="false" ht="12.75" hidden="false" customHeight="true" outlineLevel="0" collapsed="false">
      <c r="A793" s="1952" t="n">
        <v>91</v>
      </c>
      <c r="B793" s="1953" t="s">
        <v>2662</v>
      </c>
      <c r="C793" s="2036"/>
      <c r="D793" s="1857" t="s">
        <v>1404</v>
      </c>
      <c r="E793" s="1977" t="n">
        <v>25</v>
      </c>
      <c r="F793" s="1977" t="n">
        <v>7</v>
      </c>
      <c r="G793" s="1977" t="n">
        <v>33</v>
      </c>
    </row>
    <row r="794" customFormat="false" ht="12.75" hidden="false" customHeight="true" outlineLevel="0" collapsed="false">
      <c r="A794" s="1956" t="n">
        <v>92</v>
      </c>
      <c r="B794" s="2023" t="s">
        <v>2663</v>
      </c>
      <c r="C794" s="2039"/>
      <c r="D794" s="1874" t="s">
        <v>1400</v>
      </c>
      <c r="E794" s="1977" t="n">
        <v>4.8</v>
      </c>
      <c r="F794" s="1977" t="n">
        <v>1</v>
      </c>
      <c r="G794" s="1977" t="n">
        <v>3.7</v>
      </c>
    </row>
    <row r="795" customFormat="false" ht="12.75" hidden="false" customHeight="true" outlineLevel="0" collapsed="false">
      <c r="A795" s="1952" t="n">
        <v>93</v>
      </c>
      <c r="B795" s="2017" t="s">
        <v>1940</v>
      </c>
      <c r="C795" s="2036"/>
      <c r="D795" s="1857" t="s">
        <v>1407</v>
      </c>
      <c r="E795" s="1979" t="n">
        <v>2.8</v>
      </c>
      <c r="F795" s="1979" t="n">
        <v>1</v>
      </c>
      <c r="G795" s="1979" t="n">
        <v>4</v>
      </c>
    </row>
    <row r="796" customFormat="false" ht="12.75" hidden="false" customHeight="true" outlineLevel="0" collapsed="false">
      <c r="A796" s="1956" t="n">
        <v>94</v>
      </c>
      <c r="B796" s="2023" t="s">
        <v>2664</v>
      </c>
      <c r="C796" s="2039"/>
      <c r="D796" s="1874" t="s">
        <v>1400</v>
      </c>
      <c r="E796" s="1977" t="n">
        <v>1.2</v>
      </c>
      <c r="F796" s="1977" t="n">
        <v>0.3</v>
      </c>
      <c r="G796" s="1977" t="n">
        <v>1.9</v>
      </c>
    </row>
    <row r="797" customFormat="false" ht="12.75" hidden="false" customHeight="true" outlineLevel="0" collapsed="false">
      <c r="A797" s="1952" t="n">
        <v>95</v>
      </c>
      <c r="B797" s="2023" t="s">
        <v>2665</v>
      </c>
      <c r="C797" s="2039" t="s">
        <v>2600</v>
      </c>
      <c r="D797" s="1857" t="s">
        <v>2267</v>
      </c>
      <c r="E797" s="1977" t="n">
        <v>3.3</v>
      </c>
      <c r="F797" s="1977" t="n">
        <v>0.8</v>
      </c>
      <c r="G797" s="1977" t="n">
        <v>1.1</v>
      </c>
    </row>
    <row r="798" customFormat="false" ht="12.75" hidden="false" customHeight="true" outlineLevel="0" collapsed="false">
      <c r="A798" s="1956" t="n">
        <v>96</v>
      </c>
      <c r="B798" s="2023" t="s">
        <v>2665</v>
      </c>
      <c r="C798" s="2039" t="s">
        <v>2627</v>
      </c>
      <c r="D798" s="1857" t="s">
        <v>2267</v>
      </c>
      <c r="E798" s="1977" t="n">
        <v>5</v>
      </c>
      <c r="F798" s="1977" t="n">
        <v>1.4</v>
      </c>
      <c r="G798" s="1977" t="n">
        <v>4.2</v>
      </c>
    </row>
    <row r="799" customFormat="false" ht="12.75" hidden="false" customHeight="true" outlineLevel="0" collapsed="false">
      <c r="A799" s="1672" t="s">
        <v>1810</v>
      </c>
      <c r="B799" s="1671" t="s">
        <v>1902</v>
      </c>
      <c r="C799" s="1671"/>
      <c r="D799" s="1671" t="s">
        <v>1514</v>
      </c>
      <c r="E799" s="1671" t="s">
        <v>2312</v>
      </c>
      <c r="F799" s="1671"/>
      <c r="G799" s="1671"/>
    </row>
    <row r="800" customFormat="false" ht="15.75" hidden="false" customHeight="true" outlineLevel="0" collapsed="false">
      <c r="A800" s="1672"/>
      <c r="B800" s="1671"/>
      <c r="C800" s="1671"/>
      <c r="D800" s="1671"/>
      <c r="E800" s="1858" t="s">
        <v>395</v>
      </c>
      <c r="F800" s="1858" t="s">
        <v>2264</v>
      </c>
      <c r="G800" s="1858" t="s">
        <v>2265</v>
      </c>
    </row>
    <row r="801" customFormat="false" ht="12.75" hidden="false" customHeight="true" outlineLevel="0" collapsed="false">
      <c r="A801" s="1952" t="n">
        <v>97</v>
      </c>
      <c r="B801" s="2023" t="s">
        <v>2666</v>
      </c>
      <c r="C801" s="2039" t="s">
        <v>2600</v>
      </c>
      <c r="D801" s="1857" t="s">
        <v>2267</v>
      </c>
      <c r="E801" s="1977" t="n">
        <v>3.3</v>
      </c>
      <c r="F801" s="1977" t="n">
        <v>0.8</v>
      </c>
      <c r="G801" s="1977" t="n">
        <v>1.1</v>
      </c>
    </row>
    <row r="802" customFormat="false" ht="12.75" hidden="false" customHeight="true" outlineLevel="0" collapsed="false">
      <c r="A802" s="1956" t="n">
        <v>98</v>
      </c>
      <c r="B802" s="2023" t="s">
        <v>2666</v>
      </c>
      <c r="C802" s="2039" t="s">
        <v>2627</v>
      </c>
      <c r="D802" s="1857" t="s">
        <v>2267</v>
      </c>
      <c r="E802" s="1977" t="n">
        <v>5</v>
      </c>
      <c r="F802" s="1977" t="n">
        <v>1.1</v>
      </c>
      <c r="G802" s="1977" t="n">
        <v>3.9</v>
      </c>
    </row>
    <row r="803" customFormat="false" ht="12.75" hidden="false" customHeight="true" outlineLevel="0" collapsed="false">
      <c r="A803" s="1952" t="n">
        <v>99</v>
      </c>
      <c r="B803" s="2023" t="s">
        <v>2667</v>
      </c>
      <c r="C803" s="2039"/>
      <c r="D803" s="1857" t="s">
        <v>1407</v>
      </c>
      <c r="E803" s="1977" t="n">
        <v>3.6</v>
      </c>
      <c r="F803" s="1977" t="n">
        <v>1.7</v>
      </c>
      <c r="G803" s="1977" t="n">
        <v>6.5</v>
      </c>
    </row>
    <row r="804" customFormat="false" ht="12.75" hidden="false" customHeight="true" outlineLevel="0" collapsed="false">
      <c r="A804" s="1956" t="n">
        <v>100</v>
      </c>
      <c r="B804" s="2023" t="s">
        <v>2668</v>
      </c>
      <c r="C804" s="2039"/>
      <c r="D804" s="1874" t="s">
        <v>1400</v>
      </c>
      <c r="E804" s="1977" t="n">
        <v>1.5</v>
      </c>
      <c r="F804" s="1977" t="n">
        <v>0.5</v>
      </c>
      <c r="G804" s="1977" t="n">
        <v>1.9</v>
      </c>
    </row>
    <row r="805" customFormat="false" ht="12.75" hidden="false" customHeight="true" outlineLevel="0" collapsed="false">
      <c r="A805" s="1952" t="n">
        <v>101</v>
      </c>
      <c r="B805" s="2023" t="s">
        <v>2669</v>
      </c>
      <c r="C805" s="2039"/>
      <c r="D805" s="1874" t="s">
        <v>1400</v>
      </c>
      <c r="E805" s="1977" t="n">
        <v>1.3</v>
      </c>
      <c r="F805" s="1977" t="n">
        <v>0.4</v>
      </c>
      <c r="G805" s="1977" t="n">
        <v>3</v>
      </c>
    </row>
    <row r="806" customFormat="false" ht="12.75" hidden="false" customHeight="true" outlineLevel="0" collapsed="false">
      <c r="A806" s="1956" t="n">
        <v>102</v>
      </c>
      <c r="B806" s="1953" t="s">
        <v>357</v>
      </c>
      <c r="C806" s="2036"/>
      <c r="D806" s="1874" t="s">
        <v>1400</v>
      </c>
      <c r="E806" s="2044" t="n">
        <v>1.6</v>
      </c>
      <c r="F806" s="2044" t="n">
        <v>0.5</v>
      </c>
      <c r="G806" s="2044" t="n">
        <v>2.4</v>
      </c>
    </row>
    <row r="807" customFormat="false" ht="12.75" hidden="false" customHeight="true" outlineLevel="0" collapsed="false">
      <c r="A807" s="1952" t="n">
        <v>103</v>
      </c>
      <c r="B807" s="2023" t="s">
        <v>2670</v>
      </c>
      <c r="C807" s="2039" t="s">
        <v>2600</v>
      </c>
      <c r="D807" s="1857" t="s">
        <v>2267</v>
      </c>
      <c r="E807" s="1977" t="n">
        <v>1.4</v>
      </c>
      <c r="F807" s="1977" t="n">
        <v>0.3</v>
      </c>
      <c r="G807" s="1977" t="n">
        <v>0.3</v>
      </c>
    </row>
    <row r="808" customFormat="false" ht="12.75" hidden="false" customHeight="true" outlineLevel="0" collapsed="false">
      <c r="A808" s="1956" t="n">
        <v>104</v>
      </c>
      <c r="B808" s="2023" t="s">
        <v>2671</v>
      </c>
      <c r="C808" s="2039" t="s">
        <v>2600</v>
      </c>
      <c r="D808" s="1857" t="s">
        <v>2267</v>
      </c>
      <c r="E808" s="1977" t="n">
        <v>1.4</v>
      </c>
      <c r="F808" s="1977" t="n">
        <v>1</v>
      </c>
      <c r="G808" s="1977" t="n">
        <v>0.6</v>
      </c>
    </row>
    <row r="809" customFormat="false" ht="12.75" hidden="false" customHeight="true" outlineLevel="0" collapsed="false">
      <c r="A809" s="1952" t="n">
        <v>105</v>
      </c>
      <c r="B809" s="2023" t="s">
        <v>2671</v>
      </c>
      <c r="C809" s="2039" t="s">
        <v>2601</v>
      </c>
      <c r="D809" s="1857" t="s">
        <v>2267</v>
      </c>
      <c r="E809" s="1977" t="n">
        <v>2</v>
      </c>
      <c r="F809" s="1977" t="n">
        <v>1.3</v>
      </c>
      <c r="G809" s="1977" t="n">
        <v>1.8</v>
      </c>
    </row>
    <row r="810" customFormat="false" ht="12.75" hidden="false" customHeight="true" outlineLevel="0" collapsed="false">
      <c r="A810" s="1956" t="n">
        <v>106</v>
      </c>
      <c r="B810" s="2023" t="s">
        <v>1870</v>
      </c>
      <c r="C810" s="2039" t="s">
        <v>2600</v>
      </c>
      <c r="D810" s="1857" t="s">
        <v>2267</v>
      </c>
      <c r="E810" s="1977" t="n">
        <v>5.7</v>
      </c>
      <c r="F810" s="1977" t="n">
        <v>1.4</v>
      </c>
      <c r="G810" s="1977" t="n">
        <v>1.7</v>
      </c>
    </row>
    <row r="811" customFormat="false" ht="12.75" hidden="false" customHeight="true" outlineLevel="0" collapsed="false">
      <c r="A811" s="1952" t="n">
        <v>107</v>
      </c>
      <c r="B811" s="2023" t="s">
        <v>1870</v>
      </c>
      <c r="C811" s="2039" t="s">
        <v>2627</v>
      </c>
      <c r="D811" s="1857" t="s">
        <v>2267</v>
      </c>
      <c r="E811" s="1977" t="n">
        <v>7.1</v>
      </c>
      <c r="F811" s="1977" t="n">
        <v>2.2</v>
      </c>
      <c r="G811" s="1977" t="n">
        <v>5.5</v>
      </c>
    </row>
    <row r="812" customFormat="false" ht="12.75" hidden="false" customHeight="true" outlineLevel="0" collapsed="false">
      <c r="A812" s="1956" t="n">
        <v>108</v>
      </c>
      <c r="B812" s="2023" t="s">
        <v>2672</v>
      </c>
      <c r="C812" s="2039" t="s">
        <v>2600</v>
      </c>
      <c r="D812" s="1857" t="s">
        <v>2267</v>
      </c>
      <c r="E812" s="1977" t="n">
        <v>2</v>
      </c>
      <c r="F812" s="1977" t="n">
        <v>0.8</v>
      </c>
      <c r="G812" s="1977" t="n">
        <v>0.5</v>
      </c>
    </row>
    <row r="813" customFormat="false" ht="12.75" hidden="false" customHeight="true" outlineLevel="0" collapsed="false">
      <c r="A813" s="1952" t="n">
        <v>109</v>
      </c>
      <c r="B813" s="1953" t="s">
        <v>2673</v>
      </c>
      <c r="C813" s="2036"/>
      <c r="D813" s="1857" t="s">
        <v>1404</v>
      </c>
      <c r="E813" s="1977" t="n">
        <v>15</v>
      </c>
      <c r="F813" s="1977" t="n">
        <v>5.9</v>
      </c>
      <c r="G813" s="1977" t="n">
        <v>20</v>
      </c>
    </row>
    <row r="814" customFormat="false" ht="12.75" hidden="false" customHeight="true" outlineLevel="0" collapsed="false">
      <c r="A814" s="1956" t="n">
        <v>110</v>
      </c>
      <c r="B814" s="2017" t="s">
        <v>2674</v>
      </c>
      <c r="C814" s="2035"/>
      <c r="D814" s="1926" t="s">
        <v>1404</v>
      </c>
      <c r="E814" s="1977" t="n">
        <v>4</v>
      </c>
      <c r="F814" s="1977" t="n">
        <v>0.5</v>
      </c>
      <c r="G814" s="1977" t="n">
        <v>3</v>
      </c>
    </row>
    <row r="815" customFormat="false" ht="12.75" hidden="false" customHeight="true" outlineLevel="0" collapsed="false">
      <c r="A815" s="1952" t="n">
        <v>111</v>
      </c>
      <c r="B815" s="2017" t="s">
        <v>2675</v>
      </c>
      <c r="C815" s="2035"/>
      <c r="D815" s="1926" t="s">
        <v>1404</v>
      </c>
      <c r="E815" s="1979" t="n">
        <v>7.5</v>
      </c>
      <c r="F815" s="1979" t="n">
        <v>0.6</v>
      </c>
      <c r="G815" s="1979" t="n">
        <v>6</v>
      </c>
    </row>
    <row r="816" customFormat="false" ht="12.75" hidden="false" customHeight="true" outlineLevel="0" collapsed="false">
      <c r="A816" s="1956" t="n">
        <v>112</v>
      </c>
      <c r="B816" s="1953" t="s">
        <v>2676</v>
      </c>
      <c r="C816" s="2036"/>
      <c r="D816" s="1857" t="s">
        <v>1407</v>
      </c>
      <c r="E816" s="1977" t="n">
        <v>1.6</v>
      </c>
      <c r="F816" s="1977" t="n">
        <v>0.6</v>
      </c>
      <c r="G816" s="1977" t="n">
        <v>3.4</v>
      </c>
    </row>
    <row r="817" customFormat="false" ht="12.75" hidden="false" customHeight="true" outlineLevel="0" collapsed="false">
      <c r="A817" s="1952" t="n">
        <v>113</v>
      </c>
      <c r="B817" s="1965" t="s">
        <v>2677</v>
      </c>
      <c r="C817" s="2039" t="s">
        <v>2600</v>
      </c>
      <c r="D817" s="1857" t="s">
        <v>2267</v>
      </c>
      <c r="E817" s="1979" t="n">
        <v>1.9</v>
      </c>
      <c r="F817" s="1979" t="n">
        <v>1.3</v>
      </c>
      <c r="G817" s="1979" t="n">
        <v>0.8</v>
      </c>
    </row>
    <row r="818" customFormat="false" ht="12.75" hidden="false" customHeight="true" outlineLevel="0" collapsed="false">
      <c r="A818" s="1956" t="n">
        <v>114</v>
      </c>
      <c r="B818" s="2023" t="s">
        <v>2677</v>
      </c>
      <c r="C818" s="2039" t="s">
        <v>2601</v>
      </c>
      <c r="D818" s="1857" t="s">
        <v>2267</v>
      </c>
      <c r="E818" s="1977" t="n">
        <v>3.7</v>
      </c>
      <c r="F818" s="1977" t="n">
        <v>2.5</v>
      </c>
      <c r="G818" s="1977" t="n">
        <v>10</v>
      </c>
    </row>
    <row r="819" customFormat="false" ht="12.75" hidden="false" customHeight="true" outlineLevel="0" collapsed="false">
      <c r="A819" s="1952" t="n">
        <v>115</v>
      </c>
      <c r="B819" s="2023" t="s">
        <v>340</v>
      </c>
      <c r="C819" s="2039" t="s">
        <v>2600</v>
      </c>
      <c r="D819" s="1857" t="s">
        <v>2267</v>
      </c>
      <c r="E819" s="1977" t="n">
        <v>1.9</v>
      </c>
      <c r="F819" s="1977" t="n">
        <v>0.9</v>
      </c>
      <c r="G819" s="1977" t="n">
        <v>0.6</v>
      </c>
    </row>
    <row r="820" customFormat="false" ht="12.75" hidden="false" customHeight="true" outlineLevel="0" collapsed="false">
      <c r="A820" s="1956" t="n">
        <v>116</v>
      </c>
      <c r="B820" s="2023" t="s">
        <v>340</v>
      </c>
      <c r="C820" s="2039" t="s">
        <v>2601</v>
      </c>
      <c r="D820" s="1857" t="s">
        <v>2267</v>
      </c>
      <c r="E820" s="1977" t="n">
        <v>2.5</v>
      </c>
      <c r="F820" s="1977" t="n">
        <v>1.1</v>
      </c>
      <c r="G820" s="1977" t="n">
        <v>1.6</v>
      </c>
    </row>
    <row r="821" customFormat="false" ht="12.75" hidden="false" customHeight="true" outlineLevel="0" collapsed="false">
      <c r="A821" s="1952" t="n">
        <v>117</v>
      </c>
      <c r="B821" s="2017" t="s">
        <v>2678</v>
      </c>
      <c r="C821" s="2035"/>
      <c r="D821" s="1926" t="s">
        <v>2339</v>
      </c>
      <c r="E821" s="2045" t="n">
        <v>0.032</v>
      </c>
      <c r="F821" s="2045" t="n">
        <v>0.03</v>
      </c>
      <c r="G821" s="2045" t="n">
        <v>0.12</v>
      </c>
    </row>
    <row r="822" customFormat="false" ht="12.75" hidden="false" customHeight="true" outlineLevel="0" collapsed="false">
      <c r="A822" s="1846"/>
      <c r="D822" s="1846"/>
    </row>
    <row r="823" customFormat="false" ht="15" hidden="false" customHeight="true" outlineLevel="0" collapsed="false">
      <c r="A823" s="1070"/>
    </row>
    <row r="824" customFormat="false" ht="15" hidden="false" customHeight="true" outlineLevel="0" collapsed="false">
      <c r="A824" s="1070"/>
    </row>
    <row r="825" customFormat="false" ht="15" hidden="false" customHeight="true" outlineLevel="0" collapsed="false">
      <c r="A825" s="1070"/>
    </row>
    <row r="826" customFormat="false" ht="15" hidden="false" customHeight="true" outlineLevel="0" collapsed="false">
      <c r="A826" s="1070"/>
    </row>
    <row r="828" customFormat="false" ht="15" hidden="false" customHeight="true" outlineLevel="0" collapsed="false">
      <c r="A828" s="1070" t="s">
        <v>2679</v>
      </c>
    </row>
    <row r="829" customFormat="false" ht="13.5" hidden="false" customHeight="true" outlineLevel="0" collapsed="false"/>
    <row r="830" customFormat="false" ht="27" hidden="false" customHeight="true" outlineLevel="0" collapsed="false">
      <c r="A830" s="2046"/>
      <c r="B830" s="2047" t="s">
        <v>1512</v>
      </c>
      <c r="C830" s="2047" t="s">
        <v>1513</v>
      </c>
      <c r="D830" s="2048" t="s">
        <v>1514</v>
      </c>
      <c r="E830" s="2049" t="s">
        <v>2680</v>
      </c>
      <c r="F830" s="2049"/>
      <c r="G830" s="2049"/>
      <c r="H830" s="2049"/>
      <c r="I830" s="2050" t="s">
        <v>1516</v>
      </c>
    </row>
    <row r="831" customFormat="false" ht="25.5" hidden="false" customHeight="true" outlineLevel="0" collapsed="false">
      <c r="A831" s="2051" t="s">
        <v>2681</v>
      </c>
      <c r="B831" s="2052" t="s">
        <v>1518</v>
      </c>
      <c r="C831" s="2053" t="n">
        <f aca="false">D694+D695+D696</f>
        <v>0</v>
      </c>
      <c r="D831" s="2054" t="s">
        <v>1021</v>
      </c>
      <c r="E831" s="2055" t="s">
        <v>2682</v>
      </c>
      <c r="F831" s="2056" t="n">
        <v>3</v>
      </c>
      <c r="G831" s="2056"/>
      <c r="H831" s="2056"/>
      <c r="I831" s="2057" t="n">
        <f aca="false">C831*F831</f>
        <v>0</v>
      </c>
    </row>
    <row r="832" customFormat="false" ht="12.75" hidden="false" customHeight="true" outlineLevel="0" collapsed="false">
      <c r="A832" s="2051"/>
      <c r="B832" s="2058" t="s">
        <v>1519</v>
      </c>
      <c r="C832" s="2059" t="n">
        <f aca="false">D693</f>
        <v>0</v>
      </c>
      <c r="D832" s="2060" t="s">
        <v>1520</v>
      </c>
      <c r="E832" s="2061" t="s">
        <v>2682</v>
      </c>
      <c r="F832" s="2062" t="n">
        <v>0.8</v>
      </c>
      <c r="G832" s="2062"/>
      <c r="H832" s="2062"/>
      <c r="I832" s="2063" t="n">
        <f aca="false">C832*F832</f>
        <v>0</v>
      </c>
    </row>
    <row r="833" customFormat="false" ht="12.75" hidden="false" customHeight="true" outlineLevel="0" collapsed="false">
      <c r="A833" s="2051"/>
      <c r="B833" s="2058" t="s">
        <v>1521</v>
      </c>
      <c r="C833" s="2059" t="e">
        <f aca="false">D698+D699</f>
        <v>#VALUE!</v>
      </c>
      <c r="D833" s="2059" t="s">
        <v>1522</v>
      </c>
      <c r="E833" s="2061" t="s">
        <v>2682</v>
      </c>
      <c r="F833" s="2064" t="n">
        <v>3.4</v>
      </c>
      <c r="G833" s="2064"/>
      <c r="H833" s="2064"/>
      <c r="I833" s="2063" t="e">
        <f aca="false">C833*F833</f>
        <v>#VALUE!</v>
      </c>
    </row>
    <row r="834" customFormat="false" ht="25.5" hidden="false" customHeight="true" outlineLevel="0" collapsed="false">
      <c r="A834" s="2051"/>
      <c r="B834" s="2065" t="s">
        <v>1523</v>
      </c>
      <c r="C834" s="2059" t="s">
        <v>2683</v>
      </c>
      <c r="D834" s="2059" t="s">
        <v>1524</v>
      </c>
      <c r="E834" s="2061" t="s">
        <v>2682</v>
      </c>
      <c r="F834" s="2064" t="n">
        <v>6.2</v>
      </c>
      <c r="G834" s="2064"/>
      <c r="H834" s="2064"/>
      <c r="I834" s="2063" t="s">
        <v>2684</v>
      </c>
    </row>
    <row r="835" customFormat="false" ht="26.25" hidden="false" customHeight="true" outlineLevel="0" collapsed="false">
      <c r="A835" s="2051"/>
      <c r="B835" s="2066" t="s">
        <v>1525</v>
      </c>
      <c r="C835" s="2067" t="s">
        <v>2683</v>
      </c>
      <c r="D835" s="2067" t="s">
        <v>540</v>
      </c>
      <c r="E835" s="2068" t="s">
        <v>2682</v>
      </c>
      <c r="F835" s="2069" t="n">
        <v>1.2</v>
      </c>
      <c r="G835" s="2069"/>
      <c r="H835" s="2069"/>
      <c r="I835" s="2070" t="s">
        <v>2684</v>
      </c>
    </row>
    <row r="836" customFormat="false" ht="12.75" hidden="false" customHeight="true" outlineLevel="0" collapsed="false">
      <c r="A836" s="2071" t="s">
        <v>2685</v>
      </c>
      <c r="B836" s="2072" t="s">
        <v>1527</v>
      </c>
      <c r="C836" s="2073" t="n">
        <f aca="false">J400</f>
        <v>0</v>
      </c>
      <c r="D836" s="2074" t="s">
        <v>1530</v>
      </c>
      <c r="E836" s="2055" t="s">
        <v>2682</v>
      </c>
      <c r="F836" s="2056" t="n">
        <v>2500</v>
      </c>
      <c r="G836" s="2056"/>
      <c r="H836" s="2056"/>
      <c r="I836" s="2063" t="n">
        <f aca="false">C836*F836</f>
        <v>0</v>
      </c>
    </row>
    <row r="837" customFormat="false" ht="25.5" hidden="false" customHeight="true" outlineLevel="0" collapsed="false">
      <c r="A837" s="2071"/>
      <c r="B837" s="2075" t="s">
        <v>1529</v>
      </c>
      <c r="C837" s="2073"/>
      <c r="D837" s="2074"/>
      <c r="E837" s="2061" t="s">
        <v>2686</v>
      </c>
      <c r="F837" s="2076"/>
      <c r="G837" s="2077" t="s">
        <v>2687</v>
      </c>
      <c r="H837" s="2064" t="n">
        <v>81</v>
      </c>
      <c r="I837" s="2063" t="n">
        <f aca="false">C836*F837*H837</f>
        <v>0</v>
      </c>
    </row>
    <row r="838" customFormat="false" ht="13.5" hidden="false" customHeight="true" outlineLevel="0" collapsed="false">
      <c r="A838" s="2071"/>
      <c r="B838" s="2078" t="s">
        <v>1532</v>
      </c>
      <c r="C838" s="2073"/>
      <c r="D838" s="2074"/>
      <c r="E838" s="2079" t="s">
        <v>2686</v>
      </c>
      <c r="F838" s="2080"/>
      <c r="G838" s="2077"/>
      <c r="H838" s="2081" t="n">
        <v>0.6</v>
      </c>
      <c r="I838" s="2063" t="n">
        <f aca="false">C836*F838*H838</f>
        <v>0</v>
      </c>
    </row>
    <row r="839" customFormat="false" ht="25.5" hidden="false" customHeight="true" outlineLevel="0" collapsed="false">
      <c r="A839" s="2082" t="s">
        <v>2688</v>
      </c>
      <c r="B839" s="2083" t="s">
        <v>1535</v>
      </c>
      <c r="C839" s="2084" t="n">
        <f aca="false">J400</f>
        <v>0</v>
      </c>
      <c r="D839" s="2085" t="s">
        <v>1530</v>
      </c>
      <c r="E839" s="2086" t="s">
        <v>2686</v>
      </c>
      <c r="F839" s="2087"/>
      <c r="G839" s="2088" t="s">
        <v>2687</v>
      </c>
      <c r="H839" s="2089" t="n">
        <v>47</v>
      </c>
      <c r="I839" s="2057" t="n">
        <f aca="false">C839*F839*H839</f>
        <v>0</v>
      </c>
    </row>
    <row r="840" customFormat="false" ht="12.75" hidden="false" customHeight="true" outlineLevel="0" collapsed="false">
      <c r="A840" s="2082"/>
      <c r="B840" s="2090" t="s">
        <v>1532</v>
      </c>
      <c r="C840" s="2084"/>
      <c r="D840" s="2085"/>
      <c r="E840" s="2061" t="s">
        <v>2689</v>
      </c>
      <c r="F840" s="2076"/>
      <c r="G840" s="2088"/>
      <c r="H840" s="2064" t="n">
        <v>53</v>
      </c>
      <c r="I840" s="2063" t="n">
        <f aca="false">C839*F840*H840</f>
        <v>0</v>
      </c>
    </row>
    <row r="841" customFormat="false" ht="26.25" hidden="false" customHeight="true" outlineLevel="0" collapsed="false">
      <c r="A841" s="2082"/>
      <c r="B841" s="2091" t="s">
        <v>1523</v>
      </c>
      <c r="C841" s="2092" t="s">
        <v>2683</v>
      </c>
      <c r="D841" s="2093" t="s">
        <v>1536</v>
      </c>
      <c r="E841" s="2055" t="s">
        <v>2682</v>
      </c>
      <c r="F841" s="2056" t="n">
        <v>5</v>
      </c>
      <c r="G841" s="2056"/>
      <c r="H841" s="2056"/>
      <c r="I841" s="2070" t="s">
        <v>2684</v>
      </c>
    </row>
    <row r="842" customFormat="false" ht="13.5" hidden="false" customHeight="true" outlineLevel="0" collapsed="false">
      <c r="A842" s="2094" t="s">
        <v>2690</v>
      </c>
      <c r="B842" s="2094"/>
      <c r="C842" s="2094"/>
      <c r="D842" s="2094"/>
      <c r="E842" s="2094"/>
      <c r="F842" s="2094"/>
      <c r="G842" s="2094"/>
      <c r="H842" s="2094"/>
      <c r="I842" s="2095" t="e">
        <f aca="false">SUM(I831:I841)</f>
        <v>#VALUE!</v>
      </c>
    </row>
    <row r="843" customFormat="false" ht="39" hidden="false" customHeight="true" outlineLevel="0" collapsed="false">
      <c r="A843" s="2096" t="s">
        <v>1538</v>
      </c>
      <c r="B843" s="2097" t="s">
        <v>1539</v>
      </c>
      <c r="C843" s="2098" t="n">
        <f aca="false">F343</f>
        <v>0.68649885583524</v>
      </c>
      <c r="D843" s="2097" t="s">
        <v>91</v>
      </c>
      <c r="E843" s="2099" t="s">
        <v>2682</v>
      </c>
      <c r="F843" s="2100" t="n">
        <v>1835</v>
      </c>
      <c r="G843" s="2100"/>
      <c r="H843" s="2100"/>
      <c r="I843" s="2057" t="n">
        <f aca="false">C843*F843</f>
        <v>1259.72540045767</v>
      </c>
    </row>
    <row r="844" customFormat="false" ht="26.25" hidden="false" customHeight="true" outlineLevel="0" collapsed="false">
      <c r="A844" s="2096"/>
      <c r="B844" s="2097" t="s">
        <v>1540</v>
      </c>
      <c r="C844" s="2098" t="str">
        <f aca="false">D744</f>
        <v>T</v>
      </c>
      <c r="D844" s="2097" t="s">
        <v>1541</v>
      </c>
      <c r="E844" s="2099" t="s">
        <v>2682</v>
      </c>
      <c r="F844" s="2101" t="n">
        <v>4.6</v>
      </c>
      <c r="G844" s="2101"/>
      <c r="H844" s="2101"/>
      <c r="I844" s="2063" t="e">
        <f aca="false">C844*F844</f>
        <v>#VALUE!</v>
      </c>
    </row>
    <row r="845" customFormat="false" ht="12.75" hidden="false" customHeight="true" outlineLevel="0" collapsed="false">
      <c r="A845" s="2096"/>
      <c r="B845" s="2102" t="s">
        <v>1542</v>
      </c>
      <c r="C845" s="2103"/>
      <c r="D845" s="2102" t="s">
        <v>1543</v>
      </c>
      <c r="E845" s="2104" t="s">
        <v>2691</v>
      </c>
      <c r="F845" s="2101" t="n">
        <v>500</v>
      </c>
      <c r="G845" s="2101"/>
      <c r="H845" s="2101"/>
      <c r="I845" s="2063" t="n">
        <f aca="false">C845*F845</f>
        <v>0</v>
      </c>
    </row>
    <row r="846" customFormat="false" ht="13.5" hidden="false" customHeight="true" outlineLevel="0" collapsed="false">
      <c r="A846" s="2096"/>
      <c r="B846" s="2102"/>
      <c r="C846" s="2103"/>
      <c r="D846" s="2102"/>
      <c r="E846" s="2104"/>
      <c r="F846" s="2101"/>
      <c r="G846" s="2101"/>
      <c r="H846" s="2101"/>
      <c r="I846" s="2063"/>
    </row>
    <row r="847" customFormat="false" ht="13.5" hidden="false" customHeight="true" outlineLevel="0" collapsed="false">
      <c r="A847" s="2049" t="s">
        <v>2692</v>
      </c>
      <c r="B847" s="2049"/>
      <c r="C847" s="2049"/>
      <c r="D847" s="2049"/>
      <c r="E847" s="2049"/>
      <c r="F847" s="2049"/>
      <c r="G847" s="2049"/>
      <c r="H847" s="2049"/>
      <c r="I847" s="2105" t="e">
        <f aca="false">SUM(I843:I846)</f>
        <v>#VALUE!</v>
      </c>
    </row>
    <row r="849" customFormat="false" ht="12.75" hidden="false" customHeight="true" outlineLevel="0" collapsed="false">
      <c r="A849" s="0" t="s">
        <v>2693</v>
      </c>
    </row>
  </sheetData>
  <mergeCells count="173">
    <mergeCell ref="S49:Y49"/>
    <mergeCell ref="T51:T52"/>
    <mergeCell ref="U51:X51"/>
    <mergeCell ref="S57:Y57"/>
    <mergeCell ref="T59:T60"/>
    <mergeCell ref="U59:Y59"/>
    <mergeCell ref="S68:Y68"/>
    <mergeCell ref="B70:H70"/>
    <mergeCell ref="B71:H71"/>
    <mergeCell ref="B72:H72"/>
    <mergeCell ref="A77:A78"/>
    <mergeCell ref="B77:B78"/>
    <mergeCell ref="C77:C78"/>
    <mergeCell ref="D77:E78"/>
    <mergeCell ref="F77:F78"/>
    <mergeCell ref="G77:G78"/>
    <mergeCell ref="D81:D83"/>
    <mergeCell ref="E81:E83"/>
    <mergeCell ref="F81:F83"/>
    <mergeCell ref="D85:D86"/>
    <mergeCell ref="E85:E86"/>
    <mergeCell ref="F85:F86"/>
    <mergeCell ref="B120:B121"/>
    <mergeCell ref="C120:C121"/>
    <mergeCell ref="D120:D121"/>
    <mergeCell ref="B127:B128"/>
    <mergeCell ref="C127:C128"/>
    <mergeCell ref="D127:D128"/>
    <mergeCell ref="G203:G206"/>
    <mergeCell ref="G208:G210"/>
    <mergeCell ref="G212:G213"/>
    <mergeCell ref="G214:G215"/>
    <mergeCell ref="G216:G226"/>
    <mergeCell ref="A286:A287"/>
    <mergeCell ref="B286:C287"/>
    <mergeCell ref="D286:D287"/>
    <mergeCell ref="E286:G286"/>
    <mergeCell ref="A331:A332"/>
    <mergeCell ref="B331:C332"/>
    <mergeCell ref="D331:D332"/>
    <mergeCell ref="E331:G331"/>
    <mergeCell ref="A382:A383"/>
    <mergeCell ref="B382:C383"/>
    <mergeCell ref="D382:D383"/>
    <mergeCell ref="E382:G382"/>
    <mergeCell ref="B411:C411"/>
    <mergeCell ref="A427:A433"/>
    <mergeCell ref="B427:C428"/>
    <mergeCell ref="D427:F427"/>
    <mergeCell ref="B433:C433"/>
    <mergeCell ref="A435:A461"/>
    <mergeCell ref="B435:B436"/>
    <mergeCell ref="C435:C436"/>
    <mergeCell ref="D435:F435"/>
    <mergeCell ref="B439:C439"/>
    <mergeCell ref="B442:B443"/>
    <mergeCell ref="C442:C443"/>
    <mergeCell ref="D442:F442"/>
    <mergeCell ref="B446:C446"/>
    <mergeCell ref="B449:B450"/>
    <mergeCell ref="C449:C450"/>
    <mergeCell ref="D449:F449"/>
    <mergeCell ref="B453:C453"/>
    <mergeCell ref="B456:B457"/>
    <mergeCell ref="C456:C457"/>
    <mergeCell ref="D456:F456"/>
    <mergeCell ref="B460:C460"/>
    <mergeCell ref="H462:H470"/>
    <mergeCell ref="A463:A468"/>
    <mergeCell ref="B463:B464"/>
    <mergeCell ref="C463:C464"/>
    <mergeCell ref="D463:F463"/>
    <mergeCell ref="B467:C467"/>
    <mergeCell ref="A470:A482"/>
    <mergeCell ref="B470:B471"/>
    <mergeCell ref="C470:C471"/>
    <mergeCell ref="D470:F470"/>
    <mergeCell ref="H471:H474"/>
    <mergeCell ref="B474:C474"/>
    <mergeCell ref="H475:H478"/>
    <mergeCell ref="B476:B477"/>
    <mergeCell ref="C476:C477"/>
    <mergeCell ref="D476:F476"/>
    <mergeCell ref="B480:B481"/>
    <mergeCell ref="C480:C481"/>
    <mergeCell ref="D480:F480"/>
    <mergeCell ref="A484:A489"/>
    <mergeCell ref="B484:B485"/>
    <mergeCell ref="C484:C485"/>
    <mergeCell ref="D484:F484"/>
    <mergeCell ref="B486:C486"/>
    <mergeCell ref="B487:C487"/>
    <mergeCell ref="B488:C488"/>
    <mergeCell ref="B489:C489"/>
    <mergeCell ref="A491:A499"/>
    <mergeCell ref="B491:B492"/>
    <mergeCell ref="C491:C492"/>
    <mergeCell ref="D491:F491"/>
    <mergeCell ref="B496:B497"/>
    <mergeCell ref="C496:C497"/>
    <mergeCell ref="D496:F496"/>
    <mergeCell ref="B498:C498"/>
    <mergeCell ref="A501:A512"/>
    <mergeCell ref="B501:B502"/>
    <mergeCell ref="C501:C502"/>
    <mergeCell ref="D501:F501"/>
    <mergeCell ref="B507:C507"/>
    <mergeCell ref="B510:B511"/>
    <mergeCell ref="C510:C511"/>
    <mergeCell ref="D510:F510"/>
    <mergeCell ref="A514:A521"/>
    <mergeCell ref="B514:B515"/>
    <mergeCell ref="C514:C515"/>
    <mergeCell ref="D514:F514"/>
    <mergeCell ref="B520:C520"/>
    <mergeCell ref="A523:A539"/>
    <mergeCell ref="B523:B524"/>
    <mergeCell ref="C523:C524"/>
    <mergeCell ref="D523:F523"/>
    <mergeCell ref="B530:C530"/>
    <mergeCell ref="B532:B533"/>
    <mergeCell ref="C532:C533"/>
    <mergeCell ref="D532:F532"/>
    <mergeCell ref="B537:B538"/>
    <mergeCell ref="C537:C538"/>
    <mergeCell ref="D537:F537"/>
    <mergeCell ref="A541:A547"/>
    <mergeCell ref="B541:B542"/>
    <mergeCell ref="C541:C542"/>
    <mergeCell ref="D541:F541"/>
    <mergeCell ref="B599:B612"/>
    <mergeCell ref="B615:B628"/>
    <mergeCell ref="B642:D642"/>
    <mergeCell ref="A699:A700"/>
    <mergeCell ref="B699:C700"/>
    <mergeCell ref="D699:D700"/>
    <mergeCell ref="E699:G699"/>
    <mergeCell ref="A748:A749"/>
    <mergeCell ref="B748:C749"/>
    <mergeCell ref="D748:D749"/>
    <mergeCell ref="E748:G748"/>
    <mergeCell ref="A799:A800"/>
    <mergeCell ref="B799:C800"/>
    <mergeCell ref="D799:D800"/>
    <mergeCell ref="E799:G799"/>
    <mergeCell ref="E830:H830"/>
    <mergeCell ref="A831:A835"/>
    <mergeCell ref="F831:H831"/>
    <mergeCell ref="F832:H832"/>
    <mergeCell ref="F833:H833"/>
    <mergeCell ref="F834:H834"/>
    <mergeCell ref="F835:H835"/>
    <mergeCell ref="A836:A838"/>
    <mergeCell ref="C836:C838"/>
    <mergeCell ref="D836:D838"/>
    <mergeCell ref="F836:H836"/>
    <mergeCell ref="G837:G838"/>
    <mergeCell ref="A839:A841"/>
    <mergeCell ref="C839:C840"/>
    <mergeCell ref="D839:D840"/>
    <mergeCell ref="G839:G840"/>
    <mergeCell ref="F841:H841"/>
    <mergeCell ref="A842:H842"/>
    <mergeCell ref="A843:A846"/>
    <mergeCell ref="F843:H843"/>
    <mergeCell ref="F844:H844"/>
    <mergeCell ref="B845:B846"/>
    <mergeCell ref="C845:C846"/>
    <mergeCell ref="D845:D846"/>
    <mergeCell ref="E845:E846"/>
    <mergeCell ref="F845:H846"/>
    <mergeCell ref="I845:I846"/>
    <mergeCell ref="A847:H84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tabColor rgb="FF99CC00"/>
    <pageSetUpPr fitToPage="false"/>
  </sheetPr>
  <dimension ref="A1:X270"/>
  <sheetViews>
    <sheetView showFormulas="false" showGridLines="true" showRowColHeaders="true" showZeros="true" rightToLeft="false" tabSelected="false" showOutlineSymbols="true" defaultGridColor="true" view="normal" topLeftCell="A69" colorId="64" zoomScale="85" zoomScaleNormal="85" zoomScalePageLayoutView="100" workbookViewId="0">
      <selection pane="topLeft" activeCell="S94" activeCellId="0" sqref="S94"/>
    </sheetView>
  </sheetViews>
  <sheetFormatPr defaultRowHeight="12.75" zeroHeight="false" outlineLevelRow="0" outlineLevelCol="0"/>
  <cols>
    <col collapsed="false" customWidth="true" hidden="false" outlineLevel="0" max="1" min="1" style="2106" width="10.66"/>
    <col collapsed="false" customWidth="true" hidden="false" outlineLevel="0" max="6" min="2" style="0" width="10.66"/>
    <col collapsed="false" customWidth="true" hidden="false" outlineLevel="0" max="7" min="7" style="0" width="11.66"/>
    <col collapsed="false" customWidth="true" hidden="false" outlineLevel="0" max="10" min="8" style="0" width="10.66"/>
    <col collapsed="false" customWidth="true" hidden="false" outlineLevel="0" max="11" min="11" style="0" width="14.16"/>
    <col collapsed="false" customWidth="true" hidden="false" outlineLevel="0" max="12" min="12" style="0" width="3.83"/>
    <col collapsed="false" customWidth="true" hidden="false" outlineLevel="0" max="13" min="13" style="0" width="3.5"/>
    <col collapsed="false" customWidth="true" hidden="false" outlineLevel="0" max="14" min="14" style="0" width="21.83"/>
    <col collapsed="false" customWidth="true" hidden="false" outlineLevel="0" max="15" min="15" style="0" width="13.01"/>
    <col collapsed="false" customWidth="true" hidden="false" outlineLevel="0" max="16" min="16" style="0" width="11.99"/>
    <col collapsed="false" customWidth="false" hidden="false" outlineLevel="0" max="17" min="17" style="0" width="11.5"/>
    <col collapsed="false" customWidth="true" hidden="false" outlineLevel="0" max="1025" min="18" style="0" width="10.66"/>
  </cols>
  <sheetData>
    <row r="1" customFormat="false" ht="60" hidden="false" customHeight="true" outlineLevel="0" collapsed="false">
      <c r="A1" s="2107" t="s">
        <v>2694</v>
      </c>
      <c r="B1" s="2107"/>
      <c r="C1" s="2107"/>
      <c r="D1" s="2107"/>
      <c r="E1" s="2107"/>
      <c r="F1" s="2107"/>
      <c r="G1" s="2107"/>
      <c r="H1" s="2107"/>
      <c r="I1" s="2107"/>
      <c r="J1" s="2107"/>
      <c r="K1" s="2107"/>
    </row>
    <row r="2" customFormat="false" ht="15.75" hidden="false" customHeight="true" outlineLevel="0" collapsed="false">
      <c r="A2" s="2108"/>
      <c r="B2" s="2109"/>
      <c r="C2" s="2109"/>
    </row>
    <row r="3" customFormat="false" ht="15.75" hidden="false" customHeight="true" outlineLevel="0" collapsed="false">
      <c r="A3" s="2110" t="s">
        <v>2695</v>
      </c>
      <c r="B3" s="2111" t="s">
        <v>460</v>
      </c>
      <c r="C3" s="2112" t="s">
        <v>2696</v>
      </c>
      <c r="D3" s="2112"/>
      <c r="E3" s="2112"/>
      <c r="F3" s="2112"/>
      <c r="G3" s="2112"/>
      <c r="H3" s="2112"/>
      <c r="I3" s="2113" t="s">
        <v>2697</v>
      </c>
      <c r="J3" s="2114"/>
      <c r="K3" s="2115" t="n">
        <f aca="false">MIN(20,SUM(I6,I69,I45,I22,I85))</f>
        <v>16</v>
      </c>
      <c r="S3" s="146"/>
      <c r="T3" s="146"/>
    </row>
    <row r="4" customFormat="false" ht="15.75" hidden="false" customHeight="true" outlineLevel="0" collapsed="false">
      <c r="A4" s="2110"/>
      <c r="B4" s="2116"/>
      <c r="C4" s="972"/>
      <c r="D4" s="972"/>
      <c r="E4" s="972"/>
      <c r="F4" s="972"/>
      <c r="G4" s="972"/>
      <c r="H4" s="972"/>
      <c r="I4" s="972"/>
      <c r="J4" s="2117"/>
      <c r="K4" s="2115"/>
      <c r="S4" s="1334"/>
      <c r="T4" s="1334"/>
      <c r="U4" s="2118"/>
    </row>
    <row r="5" customFormat="false" ht="25.5" hidden="false" customHeight="true" outlineLevel="0" collapsed="false">
      <c r="A5" s="2110"/>
      <c r="B5" s="2116"/>
      <c r="C5" s="2119" t="s">
        <v>2698</v>
      </c>
      <c r="D5" s="2119"/>
      <c r="E5" s="2119"/>
      <c r="F5" s="2119"/>
      <c r="G5" s="2119"/>
      <c r="H5" s="2120" t="s">
        <v>2699</v>
      </c>
      <c r="I5" s="1926" t="s">
        <v>2700</v>
      </c>
      <c r="J5" s="2117"/>
      <c r="K5" s="2115"/>
      <c r="N5" s="1874" t="s">
        <v>2701</v>
      </c>
      <c r="O5" s="2121" t="s">
        <v>2702</v>
      </c>
      <c r="P5" s="2121" t="s">
        <v>2703</v>
      </c>
      <c r="Q5" s="2122" t="s">
        <v>2704</v>
      </c>
      <c r="R5" s="2123" t="s">
        <v>2705</v>
      </c>
      <c r="S5" s="978"/>
      <c r="T5" s="978"/>
      <c r="U5" s="2118"/>
    </row>
    <row r="6" customFormat="false" ht="15.75" hidden="false" customHeight="true" outlineLevel="0" collapsed="false">
      <c r="A6" s="2110"/>
      <c r="B6" s="2116"/>
      <c r="C6" s="2124" t="s">
        <v>2706</v>
      </c>
      <c r="D6" s="2124"/>
      <c r="E6" s="2124"/>
      <c r="F6" s="2124"/>
      <c r="G6" s="2125" t="n">
        <f aca="false">ROUND(F8*F9+F11*F14,0)</f>
        <v>4</v>
      </c>
      <c r="H6" s="2126" t="n">
        <f aca="false">IF(G15=4,4,G6+G15)</f>
        <v>5</v>
      </c>
      <c r="I6" s="2127" t="n">
        <f aca="false">MIN(5,H6)</f>
        <v>5</v>
      </c>
      <c r="J6" s="2117"/>
      <c r="K6" s="2115"/>
      <c r="N6" s="1926" t="s">
        <v>2707</v>
      </c>
      <c r="O6" s="1874" t="n">
        <v>0</v>
      </c>
      <c r="P6" s="1874" t="n">
        <v>1</v>
      </c>
      <c r="Q6" s="2128" t="n">
        <v>2</v>
      </c>
      <c r="R6" s="1857" t="n">
        <v>3</v>
      </c>
      <c r="S6" s="978"/>
      <c r="T6" s="978"/>
      <c r="U6" s="2118"/>
    </row>
    <row r="7" customFormat="false" ht="15.75" hidden="false" customHeight="true" outlineLevel="0" collapsed="false">
      <c r="A7" s="2110"/>
      <c r="B7" s="2116"/>
      <c r="C7" s="2129"/>
      <c r="D7" s="2130" t="s">
        <v>2708</v>
      </c>
      <c r="E7" s="2130"/>
      <c r="F7" s="2130"/>
      <c r="G7" s="2125"/>
      <c r="H7" s="2126"/>
      <c r="I7" s="2127"/>
      <c r="J7" s="2117"/>
      <c r="K7" s="2115"/>
      <c r="S7" s="978"/>
      <c r="T7" s="978"/>
      <c r="U7" s="2118"/>
    </row>
    <row r="8" customFormat="false" ht="15.75" hidden="false" customHeight="true" outlineLevel="0" collapsed="false">
      <c r="A8" s="2110"/>
      <c r="B8" s="2116"/>
      <c r="C8" s="2131"/>
      <c r="D8" s="2132"/>
      <c r="E8" s="675" t="s">
        <v>2709</v>
      </c>
      <c r="F8" s="2133" t="n">
        <f aca="false">'Saisie et Calculateur'!J376</f>
        <v>4</v>
      </c>
      <c r="G8" s="2125"/>
      <c r="H8" s="2126"/>
      <c r="I8" s="2127"/>
      <c r="J8" s="2117"/>
      <c r="K8" s="2115"/>
      <c r="N8" s="1641"/>
      <c r="O8" s="2118"/>
      <c r="P8" s="2118"/>
      <c r="Q8" s="2118"/>
      <c r="S8" s="978"/>
      <c r="T8" s="978"/>
      <c r="U8" s="2118"/>
    </row>
    <row r="9" customFormat="false" ht="15.75" hidden="false" customHeight="true" outlineLevel="0" collapsed="false">
      <c r="A9" s="2110"/>
      <c r="B9" s="2116"/>
      <c r="C9" s="2131"/>
      <c r="D9" s="675" t="s">
        <v>2710</v>
      </c>
      <c r="E9" s="675"/>
      <c r="F9" s="2134" t="n">
        <f aca="false">O12</f>
        <v>1</v>
      </c>
      <c r="G9" s="2125"/>
      <c r="H9" s="2126"/>
      <c r="I9" s="2127"/>
      <c r="J9" s="2117"/>
      <c r="K9" s="2115"/>
      <c r="N9" s="1641"/>
      <c r="O9" s="1926" t="s">
        <v>2708</v>
      </c>
      <c r="P9" s="1926"/>
      <c r="Q9" s="1926" t="s">
        <v>2711</v>
      </c>
      <c r="S9" s="978"/>
      <c r="T9" s="978"/>
      <c r="U9" s="2118"/>
    </row>
    <row r="10" customFormat="false" ht="15.75" hidden="false" customHeight="true" outlineLevel="0" collapsed="false">
      <c r="A10" s="2110"/>
      <c r="B10" s="2116"/>
      <c r="C10" s="2129"/>
      <c r="D10" s="2135" t="s">
        <v>97</v>
      </c>
      <c r="E10" s="2135"/>
      <c r="F10" s="2135"/>
      <c r="G10" s="2125"/>
      <c r="H10" s="2126"/>
      <c r="I10" s="2127"/>
      <c r="J10" s="2117"/>
      <c r="K10" s="2115"/>
      <c r="N10" s="1641"/>
      <c r="O10" s="1926"/>
      <c r="P10" s="1926"/>
      <c r="Q10" s="1926"/>
      <c r="S10" s="978"/>
      <c r="T10" s="978"/>
      <c r="U10" s="2118"/>
    </row>
    <row r="11" customFormat="false" ht="15.75" hidden="false" customHeight="true" outlineLevel="0" collapsed="false">
      <c r="A11" s="2110"/>
      <c r="B11" s="2116"/>
      <c r="C11" s="2136"/>
      <c r="D11" s="675" t="n">
        <f aca="false">'Saisie et Calculateur'!H379</f>
        <v>0</v>
      </c>
      <c r="E11" s="675" t="str">
        <f aca="false">IF(D11=O5,O6,IF(D11=P5,P6,IF(D11=Q5,Q6,IF(D11=R5,R6,"Erreur"))))</f>
        <v>Erreur</v>
      </c>
      <c r="F11" s="2137" t="n">
        <f aca="false">MIN(5,SUM(E11:E13))</f>
        <v>0</v>
      </c>
      <c r="G11" s="2125"/>
      <c r="H11" s="2126"/>
      <c r="I11" s="2127"/>
      <c r="J11" s="2117"/>
      <c r="K11" s="2115"/>
      <c r="N11" s="1926" t="s">
        <v>448</v>
      </c>
      <c r="O11" s="1974" t="n">
        <f aca="false">SUM('Saisie et Calculateur'!B14:B15,'Saisie et Calculateur'!B17:B18)</f>
        <v>113.65</v>
      </c>
      <c r="P11" s="1974"/>
      <c r="Q11" s="2138" t="n">
        <f aca="false">'Saisie et Calculateur'!B19</f>
        <v>0</v>
      </c>
      <c r="S11" s="978"/>
      <c r="T11" s="978"/>
      <c r="U11" s="2118"/>
    </row>
    <row r="12" customFormat="false" ht="15.75" hidden="false" customHeight="true" outlineLevel="0" collapsed="false">
      <c r="A12" s="2110"/>
      <c r="B12" s="2116"/>
      <c r="C12" s="2136" t="s">
        <v>2712</v>
      </c>
      <c r="D12" s="2136"/>
      <c r="E12" s="675" t="n">
        <f aca="false">IF('Saisie et Calculateur'!H381 ="oui",2,0)</f>
        <v>0</v>
      </c>
      <c r="F12" s="2137"/>
      <c r="G12" s="2125"/>
      <c r="H12" s="2126"/>
      <c r="I12" s="2127"/>
      <c r="J12" s="2117"/>
      <c r="K12" s="2115"/>
      <c r="N12" s="1857" t="s">
        <v>2713</v>
      </c>
      <c r="O12" s="2139" t="n">
        <f aca="false">O11/('Saisie et Calculateur'!B13-'Saisie et Calculateur'!B16-'Saisie et Calculateur'!B21)</f>
        <v>1</v>
      </c>
      <c r="P12" s="2139"/>
      <c r="Q12" s="2140" t="n">
        <f aca="false">Q11/('Saisie et Calculateur'!B13-'Saisie et Calculateur'!B16-'Saisie et Calculateur'!B21)</f>
        <v>0</v>
      </c>
      <c r="S12" s="978"/>
      <c r="T12" s="978"/>
      <c r="U12" s="2118"/>
    </row>
    <row r="13" customFormat="false" ht="15.75" hidden="false" customHeight="true" outlineLevel="0" collapsed="false">
      <c r="A13" s="2110"/>
      <c r="B13" s="2116"/>
      <c r="C13" s="2141"/>
      <c r="D13" s="675" t="s">
        <v>2714</v>
      </c>
      <c r="E13" s="675" t="n">
        <f aca="false">IF('Saisie et Calculateur'!H383="oui",1,0)</f>
        <v>0</v>
      </c>
      <c r="F13" s="2137"/>
      <c r="G13" s="2125"/>
      <c r="H13" s="2126"/>
      <c r="I13" s="2127"/>
      <c r="J13" s="2117"/>
      <c r="K13" s="2115"/>
      <c r="R13" s="2118"/>
      <c r="S13" s="978"/>
      <c r="T13" s="978"/>
      <c r="U13" s="2118"/>
    </row>
    <row r="14" customFormat="false" ht="15.75" hidden="false" customHeight="true" outlineLevel="0" collapsed="false">
      <c r="A14" s="2110"/>
      <c r="B14" s="2116"/>
      <c r="C14" s="2131"/>
      <c r="D14" s="675" t="s">
        <v>2710</v>
      </c>
      <c r="E14" s="675"/>
      <c r="F14" s="2134" t="n">
        <f aca="false">Q12</f>
        <v>0</v>
      </c>
      <c r="G14" s="2125"/>
      <c r="H14" s="2126"/>
      <c r="I14" s="2127"/>
      <c r="J14" s="2117"/>
      <c r="K14" s="2115"/>
      <c r="N14" s="1874" t="s">
        <v>2715</v>
      </c>
      <c r="O14" s="2142" t="n">
        <v>0.2</v>
      </c>
      <c r="P14" s="2142" t="n">
        <v>0.5</v>
      </c>
      <c r="Q14" s="2142" t="n">
        <v>0.9</v>
      </c>
      <c r="R14" s="2118"/>
      <c r="S14" s="978"/>
      <c r="T14" s="978"/>
      <c r="U14" s="2118"/>
    </row>
    <row r="15" customFormat="false" ht="15" hidden="false" customHeight="true" outlineLevel="0" collapsed="false">
      <c r="A15" s="2110"/>
      <c r="B15" s="2116"/>
      <c r="C15" s="2143" t="s">
        <v>2716</v>
      </c>
      <c r="D15" s="2143"/>
      <c r="E15" s="2143"/>
      <c r="F15" s="2143"/>
      <c r="G15" s="2144" t="n">
        <f aca="false">IF(E16&gt;Q14,Q15,IF(E16&gt;P14,P15,IF(E16&gt;O14,O15,0)))</f>
        <v>1</v>
      </c>
      <c r="H15" s="2126"/>
      <c r="I15" s="2127"/>
      <c r="J15" s="2117"/>
      <c r="K15" s="2115"/>
      <c r="M15" s="2118"/>
      <c r="N15" s="1926" t="s">
        <v>2717</v>
      </c>
      <c r="O15" s="1874" t="n">
        <v>1</v>
      </c>
      <c r="P15" s="1874" t="n">
        <v>2</v>
      </c>
      <c r="Q15" s="1874" t="n">
        <v>4</v>
      </c>
      <c r="R15" s="2118"/>
      <c r="S15" s="2118"/>
      <c r="T15" s="2118"/>
      <c r="U15" s="2118"/>
    </row>
    <row r="16" customFormat="false" ht="15.75" hidden="false" customHeight="true" outlineLevel="0" collapsed="false">
      <c r="A16" s="2110"/>
      <c r="B16" s="2116"/>
      <c r="C16" s="2145"/>
      <c r="D16" s="2146" t="s">
        <v>1110</v>
      </c>
      <c r="E16" s="2147" t="n">
        <f aca="false">'Saisie et Calculateur'!D387</f>
        <v>0.320243104254324</v>
      </c>
      <c r="F16" s="2148"/>
      <c r="G16" s="2144"/>
      <c r="H16" s="2126"/>
      <c r="I16" s="2127"/>
      <c r="J16" s="2117"/>
      <c r="K16" s="2115"/>
      <c r="M16" s="2118"/>
      <c r="P16" s="2118"/>
      <c r="Q16" s="2118"/>
      <c r="R16" s="2118"/>
      <c r="S16" s="2118"/>
      <c r="T16" s="2118"/>
      <c r="U16" s="2118"/>
    </row>
    <row r="17" customFormat="false" ht="12.75" hidden="false" customHeight="true" outlineLevel="0" collapsed="false">
      <c r="A17" s="2110"/>
      <c r="B17" s="2116"/>
      <c r="C17" s="972"/>
      <c r="D17" s="972"/>
      <c r="E17" s="972"/>
      <c r="F17" s="972"/>
      <c r="G17" s="972"/>
      <c r="H17" s="972"/>
      <c r="I17" s="972"/>
      <c r="J17" s="2117"/>
      <c r="K17" s="2115"/>
      <c r="M17" s="2118"/>
      <c r="P17" s="2118"/>
      <c r="Q17" s="2118"/>
      <c r="R17" s="2118"/>
      <c r="U17" s="2118"/>
    </row>
    <row r="18" customFormat="false" ht="14" hidden="false" customHeight="true" outlineLevel="0" collapsed="false">
      <c r="A18" s="2110"/>
      <c r="B18" s="2116"/>
      <c r="C18" s="972"/>
      <c r="D18" s="972"/>
      <c r="E18" s="972"/>
      <c r="F18" s="972"/>
      <c r="G18" s="972"/>
      <c r="H18" s="972"/>
      <c r="I18" s="972"/>
      <c r="J18" s="2117"/>
      <c r="K18" s="2115"/>
      <c r="M18" s="2118"/>
      <c r="N18" s="2118"/>
      <c r="O18" s="2118"/>
      <c r="P18" s="2118"/>
      <c r="Q18" s="2118"/>
      <c r="R18" s="2118"/>
      <c r="U18" s="2118"/>
    </row>
    <row r="19" customFormat="false" ht="14" hidden="false" customHeight="true" outlineLevel="0" collapsed="false">
      <c r="A19" s="2110"/>
      <c r="B19" s="2149" t="s">
        <v>240</v>
      </c>
      <c r="C19" s="2150" t="s">
        <v>2718</v>
      </c>
      <c r="D19" s="2150"/>
      <c r="E19" s="2150"/>
      <c r="F19" s="2150"/>
      <c r="G19" s="2150"/>
      <c r="H19" s="2150"/>
      <c r="I19" s="2151" t="s">
        <v>2697</v>
      </c>
      <c r="K19" s="2115"/>
      <c r="M19" s="2118"/>
      <c r="N19" s="2118"/>
      <c r="O19" s="2118"/>
      <c r="P19" s="2118"/>
      <c r="Q19" s="2118"/>
      <c r="R19" s="2118"/>
      <c r="U19" s="2118"/>
    </row>
    <row r="20" customFormat="false" ht="14" hidden="false" customHeight="true" outlineLevel="0" collapsed="false">
      <c r="A20" s="2110"/>
      <c r="B20" s="2116"/>
      <c r="C20" s="972"/>
      <c r="D20" s="972"/>
      <c r="E20" s="972"/>
      <c r="F20" s="972"/>
      <c r="G20" s="972"/>
      <c r="H20" s="972"/>
      <c r="I20" s="972"/>
      <c r="J20" s="2117"/>
      <c r="K20" s="2115"/>
      <c r="M20" s="2118"/>
      <c r="N20" s="2118"/>
      <c r="O20" s="2118"/>
      <c r="P20" s="2118"/>
      <c r="Q20" s="2118"/>
      <c r="R20" s="2118"/>
      <c r="S20" s="2118"/>
      <c r="T20" s="2118"/>
      <c r="U20" s="2118"/>
    </row>
    <row r="21" customFormat="false" ht="25.5" hidden="false" customHeight="true" outlineLevel="0" collapsed="false">
      <c r="A21" s="2110"/>
      <c r="B21" s="2116"/>
      <c r="C21" s="2119" t="s">
        <v>2698</v>
      </c>
      <c r="D21" s="2119"/>
      <c r="E21" s="2119"/>
      <c r="F21" s="2119"/>
      <c r="G21" s="2119"/>
      <c r="H21" s="2120" t="s">
        <v>2699</v>
      </c>
      <c r="I21" s="1926" t="s">
        <v>2700</v>
      </c>
      <c r="J21" s="2117"/>
      <c r="K21" s="2115"/>
    </row>
    <row r="22" customFormat="false" ht="12.75" hidden="false" customHeight="true" outlineLevel="0" collapsed="false">
      <c r="A22" s="2110"/>
      <c r="B22" s="2116"/>
      <c r="C22" s="2152" t="s">
        <v>2719</v>
      </c>
      <c r="D22" s="2152"/>
      <c r="E22" s="2152"/>
      <c r="F22" s="2152"/>
      <c r="G22" s="2153" t="n">
        <f aca="false">IF(E23="oui",1,0)</f>
        <v>0</v>
      </c>
      <c r="H22" s="2154" t="n">
        <f aca="false">SUM(G22,G35,G24)</f>
        <v>2</v>
      </c>
      <c r="I22" s="2127" t="n">
        <f aca="false">MIN(5,H22)</f>
        <v>2</v>
      </c>
      <c r="J22" s="2117"/>
      <c r="K22" s="2115"/>
    </row>
    <row r="23" customFormat="false" ht="14" hidden="false" customHeight="true" outlineLevel="0" collapsed="false">
      <c r="A23" s="2110"/>
      <c r="B23" s="2116"/>
      <c r="C23" s="2155"/>
      <c r="D23" s="2156" t="s">
        <v>2720</v>
      </c>
      <c r="E23" s="2156" t="str">
        <f aca="false">'Saisie et Calculateur'!J392</f>
        <v>non</v>
      </c>
      <c r="F23" s="2156"/>
      <c r="G23" s="2153"/>
      <c r="H23" s="2154"/>
      <c r="I23" s="2127"/>
      <c r="J23" s="2117"/>
      <c r="K23" s="2115"/>
    </row>
    <row r="24" customFormat="false" ht="15" hidden="false" customHeight="true" outlineLevel="0" collapsed="false">
      <c r="A24" s="2110"/>
      <c r="B24" s="2116"/>
      <c r="C24" s="2143" t="s">
        <v>2721</v>
      </c>
      <c r="D24" s="2143"/>
      <c r="E24" s="2143"/>
      <c r="F24" s="2143"/>
      <c r="G24" s="2157" t="n">
        <f aca="false">ROUND(MIN(4,F26+F28+F30+F32+F34),0)</f>
        <v>1</v>
      </c>
      <c r="H24" s="2154"/>
      <c r="I24" s="2127"/>
      <c r="J24" s="2117"/>
      <c r="K24" s="2115"/>
      <c r="N24" s="1699" t="s">
        <v>2722</v>
      </c>
      <c r="O24" s="2158" t="s">
        <v>2723</v>
      </c>
      <c r="P24" s="2158"/>
      <c r="Q24" s="1874" t="s">
        <v>94</v>
      </c>
      <c r="R24" s="1874" t="s">
        <v>95</v>
      </c>
      <c r="S24" s="1874" t="s">
        <v>97</v>
      </c>
    </row>
    <row r="25" customFormat="false" ht="14" hidden="false" customHeight="true" outlineLevel="0" collapsed="false">
      <c r="A25" s="2110"/>
      <c r="B25" s="2116"/>
      <c r="C25" s="2159"/>
      <c r="D25" s="2160" t="s">
        <v>2724</v>
      </c>
      <c r="E25" s="2160"/>
      <c r="F25" s="2160"/>
      <c r="G25" s="2157"/>
      <c r="H25" s="2154"/>
      <c r="I25" s="2127"/>
      <c r="J25" s="2117"/>
      <c r="K25" s="2115"/>
      <c r="N25" s="1699" t="s">
        <v>2709</v>
      </c>
      <c r="O25" s="2158" t="n">
        <f aca="false">'Saisie et Calculateur'!I422</f>
        <v>0</v>
      </c>
      <c r="P25" s="2158"/>
      <c r="Q25" s="1874" t="n">
        <f aca="false">'Saisie et Calculateur'!I437</f>
        <v>0</v>
      </c>
      <c r="R25" s="1874" t="n">
        <f aca="false">'Saisie et Calculateur'!I446</f>
        <v>0</v>
      </c>
      <c r="S25" s="1874" t="n">
        <f aca="false">'Saisie et Calculateur'!I453</f>
        <v>0</v>
      </c>
    </row>
    <row r="26" customFormat="false" ht="14" hidden="false" customHeight="true" outlineLevel="0" collapsed="false">
      <c r="A26" s="2110"/>
      <c r="B26" s="2116"/>
      <c r="C26" s="2131"/>
      <c r="D26" s="2160" t="s">
        <v>2720</v>
      </c>
      <c r="E26" s="2161" t="str">
        <f aca="false">'Saisie et Calculateur'!F397</f>
        <v>oui</v>
      </c>
      <c r="F26" s="2162" t="n">
        <f aca="false">IF(E26="oui",1,0)</f>
        <v>1</v>
      </c>
      <c r="G26" s="2157"/>
      <c r="H26" s="2154"/>
      <c r="I26" s="2127"/>
      <c r="J26" s="2117"/>
      <c r="K26" s="2115"/>
      <c r="N26" s="1857" t="s">
        <v>2725</v>
      </c>
      <c r="O26" s="2158" t="n">
        <f aca="false">SUM('Saisie et Calculateur'!B14:B15)</f>
        <v>113.65</v>
      </c>
      <c r="P26" s="2158"/>
      <c r="Q26" s="1874" t="n">
        <f aca="false">'Saisie et Calculateur'!B17</f>
        <v>0</v>
      </c>
      <c r="R26" s="1874" t="n">
        <f aca="false">'Saisie et Calculateur'!B18</f>
        <v>0</v>
      </c>
      <c r="S26" s="1874" t="n">
        <f aca="false">'Saisie et Calculateur'!B19</f>
        <v>0</v>
      </c>
    </row>
    <row r="27" customFormat="false" ht="14" hidden="false" customHeight="true" outlineLevel="0" collapsed="false">
      <c r="A27" s="2110"/>
      <c r="B27" s="2116"/>
      <c r="C27" s="2143"/>
      <c r="D27" s="972" t="s">
        <v>2726</v>
      </c>
      <c r="E27" s="972"/>
      <c r="F27" s="972"/>
      <c r="G27" s="2157"/>
      <c r="H27" s="2154"/>
      <c r="I27" s="2127"/>
      <c r="J27" s="2117"/>
      <c r="K27" s="2115"/>
      <c r="N27" s="1699" t="s">
        <v>2727</v>
      </c>
      <c r="O27" s="2163" t="n">
        <f aca="false">O26/('Saisie et Calculateur'!B13-'Saisie et Calculateur'!B16-'Saisie et Calculateur'!B21)</f>
        <v>1</v>
      </c>
      <c r="P27" s="2163"/>
      <c r="Q27" s="2164" t="n">
        <f aca="false">Q26/('Saisie et Calculateur'!B13-'Saisie et Calculateur'!B16-'Saisie et Calculateur'!B21)</f>
        <v>0</v>
      </c>
      <c r="R27" s="2164" t="n">
        <f aca="false">R26/('Saisie et Calculateur'!B13-'Saisie et Calculateur'!B16-'Saisie et Calculateur'!B21)</f>
        <v>0</v>
      </c>
      <c r="S27" s="2163" t="n">
        <f aca="false">S26/('Saisie et Calculateur'!B13-'Saisie et Calculateur'!B16-'Saisie et Calculateur'!B21)</f>
        <v>0</v>
      </c>
    </row>
    <row r="28" customFormat="false" ht="14" hidden="false" customHeight="true" outlineLevel="0" collapsed="false">
      <c r="A28" s="2110"/>
      <c r="B28" s="2149"/>
      <c r="C28" s="2143"/>
      <c r="D28" s="2160" t="s">
        <v>2728</v>
      </c>
      <c r="E28" s="2160"/>
      <c r="F28" s="2165" t="n">
        <f aca="false">O25*O27</f>
        <v>0</v>
      </c>
      <c r="G28" s="2157"/>
      <c r="H28" s="2154"/>
      <c r="I28" s="2127"/>
      <c r="J28" s="2117"/>
      <c r="K28" s="2115"/>
    </row>
    <row r="29" customFormat="false" ht="14" hidden="false" customHeight="true" outlineLevel="0" collapsed="false">
      <c r="A29" s="2110"/>
      <c r="B29" s="2149"/>
      <c r="C29" s="2129"/>
      <c r="D29" s="2118" t="s">
        <v>94</v>
      </c>
      <c r="E29" s="972"/>
      <c r="F29" s="2166"/>
      <c r="G29" s="2157"/>
      <c r="H29" s="2154"/>
      <c r="I29" s="2127"/>
      <c r="J29" s="2117"/>
      <c r="K29" s="2115"/>
    </row>
    <row r="30" customFormat="false" ht="14" hidden="false" customHeight="true" outlineLevel="0" collapsed="false">
      <c r="A30" s="2110"/>
      <c r="B30" s="2149"/>
      <c r="C30" s="2129"/>
      <c r="D30" s="2160" t="s">
        <v>2728</v>
      </c>
      <c r="E30" s="972"/>
      <c r="F30" s="2166" t="n">
        <f aca="false">Q25*Q27</f>
        <v>0</v>
      </c>
      <c r="G30" s="2157"/>
      <c r="H30" s="2154"/>
      <c r="I30" s="2127"/>
      <c r="J30" s="2117"/>
      <c r="K30" s="2115"/>
    </row>
    <row r="31" customFormat="false" ht="14" hidden="false" customHeight="true" outlineLevel="0" collapsed="false">
      <c r="A31" s="2110"/>
      <c r="B31" s="2149"/>
      <c r="C31" s="2129"/>
      <c r="D31" s="2118" t="s">
        <v>95</v>
      </c>
      <c r="E31" s="972"/>
      <c r="F31" s="2166"/>
      <c r="G31" s="2157"/>
      <c r="H31" s="2154"/>
      <c r="I31" s="2127"/>
      <c r="J31" s="2117"/>
      <c r="K31" s="2115"/>
    </row>
    <row r="32" customFormat="false" ht="14" hidden="false" customHeight="true" outlineLevel="0" collapsed="false">
      <c r="A32" s="2110"/>
      <c r="B32" s="2149"/>
      <c r="C32" s="2129"/>
      <c r="D32" s="2160" t="s">
        <v>2728</v>
      </c>
      <c r="E32" s="972"/>
      <c r="F32" s="2166" t="n">
        <f aca="false">R25*R27</f>
        <v>0</v>
      </c>
      <c r="G32" s="2157"/>
      <c r="H32" s="2154"/>
      <c r="I32" s="2127"/>
      <c r="J32" s="2117"/>
      <c r="K32" s="2115"/>
    </row>
    <row r="33" customFormat="false" ht="14" hidden="false" customHeight="true" outlineLevel="0" collapsed="false">
      <c r="A33" s="2110"/>
      <c r="B33" s="2149"/>
      <c r="C33" s="2129"/>
      <c r="D33" s="2118" t="s">
        <v>97</v>
      </c>
      <c r="E33" s="972"/>
      <c r="F33" s="2166"/>
      <c r="G33" s="2157"/>
      <c r="H33" s="2154"/>
      <c r="I33" s="2127"/>
      <c r="J33" s="2117"/>
      <c r="K33" s="2115"/>
    </row>
    <row r="34" customFormat="false" ht="14" hidden="false" customHeight="true" outlineLevel="0" collapsed="false">
      <c r="A34" s="2110"/>
      <c r="B34" s="2149"/>
      <c r="C34" s="2143"/>
      <c r="D34" s="2160" t="s">
        <v>2728</v>
      </c>
      <c r="E34" s="2161"/>
      <c r="F34" s="2167" t="n">
        <f aca="false">S25*S27</f>
        <v>0</v>
      </c>
      <c r="G34" s="2157"/>
      <c r="H34" s="2154"/>
      <c r="I34" s="2127"/>
      <c r="J34" s="2117"/>
      <c r="K34" s="2115"/>
    </row>
    <row r="35" customFormat="false" ht="14" hidden="false" customHeight="true" outlineLevel="0" collapsed="false">
      <c r="A35" s="2110"/>
      <c r="B35" s="2149"/>
      <c r="C35" s="2143" t="s">
        <v>2729</v>
      </c>
      <c r="D35" s="2143"/>
      <c r="E35" s="2143"/>
      <c r="F35" s="2143"/>
      <c r="G35" s="2168" t="n">
        <f aca="false">IF('Saisie et Calculateur'!F457="oui",MIN(2,F37+F39),0)</f>
        <v>1</v>
      </c>
      <c r="H35" s="2154"/>
      <c r="I35" s="2127"/>
      <c r="J35" s="2117"/>
      <c r="K35" s="2115"/>
      <c r="N35" s="1874" t="s">
        <v>2730</v>
      </c>
      <c r="O35" s="2142" t="n">
        <v>0</v>
      </c>
      <c r="P35" s="2142" t="n">
        <v>0.3</v>
      </c>
      <c r="Q35" s="2142"/>
    </row>
    <row r="36" customFormat="false" ht="14" hidden="false" customHeight="true" outlineLevel="0" collapsed="false">
      <c r="A36" s="2110"/>
      <c r="B36" s="2149"/>
      <c r="C36" s="2169"/>
      <c r="D36" s="972" t="s">
        <v>2731</v>
      </c>
      <c r="E36" s="2132"/>
      <c r="F36" s="2132"/>
      <c r="G36" s="2168"/>
      <c r="H36" s="2154"/>
      <c r="I36" s="2127"/>
      <c r="J36" s="2117"/>
      <c r="K36" s="2115"/>
      <c r="N36" s="1874" t="s">
        <v>2732</v>
      </c>
      <c r="O36" s="1874" t="n">
        <v>0</v>
      </c>
      <c r="P36" s="1874" t="n">
        <v>1</v>
      </c>
      <c r="Q36" s="1874" t="n">
        <v>2</v>
      </c>
    </row>
    <row r="37" customFormat="false" ht="14" hidden="false" customHeight="true" outlineLevel="0" collapsed="false">
      <c r="A37" s="2110"/>
      <c r="B37" s="2149"/>
      <c r="C37" s="2131"/>
      <c r="D37" s="2132" t="s">
        <v>1110</v>
      </c>
      <c r="E37" s="2170" t="n">
        <f aca="false">'Saisie et Calculateur'!J459</f>
        <v>0</v>
      </c>
      <c r="F37" s="2162" t="n">
        <f aca="false">IF(E37=O35,O36,IF(E37&lt;P35,P36,Q36))</f>
        <v>0</v>
      </c>
      <c r="G37" s="2168"/>
      <c r="H37" s="2154"/>
      <c r="I37" s="2127"/>
      <c r="J37" s="2117"/>
      <c r="K37" s="2115"/>
      <c r="P37" s="2171"/>
    </row>
    <row r="38" customFormat="false" ht="14" hidden="false" customHeight="true" outlineLevel="0" collapsed="false">
      <c r="A38" s="2110"/>
      <c r="B38" s="2149"/>
      <c r="C38" s="2143"/>
      <c r="D38" s="2160" t="s">
        <v>2733</v>
      </c>
      <c r="E38" s="2132"/>
      <c r="F38" s="2132"/>
      <c r="G38" s="2168"/>
      <c r="H38" s="2154"/>
      <c r="I38" s="2127"/>
      <c r="J38" s="2117"/>
      <c r="K38" s="2115"/>
      <c r="N38" s="2128" t="s">
        <v>2734</v>
      </c>
      <c r="O38" s="2158" t="s">
        <v>2735</v>
      </c>
      <c r="P38" s="2158"/>
      <c r="Q38" s="2158"/>
      <c r="R38" s="2158" t="s">
        <v>1287</v>
      </c>
      <c r="S38" s="2158"/>
    </row>
    <row r="39" customFormat="false" ht="14" hidden="false" customHeight="true" outlineLevel="0" collapsed="false">
      <c r="A39" s="2110"/>
      <c r="B39" s="2116"/>
      <c r="C39" s="2145"/>
      <c r="D39" s="2172" t="str">
        <f aca="false">'Saisie et Calculateur'!J461</f>
        <v>oui, critère principal</v>
      </c>
      <c r="E39" s="2172"/>
      <c r="F39" s="2172" t="n">
        <f aca="false">IF(D39=R38,R39,O39)</f>
        <v>1</v>
      </c>
      <c r="G39" s="2168"/>
      <c r="H39" s="2154"/>
      <c r="I39" s="2127"/>
      <c r="J39" s="2117"/>
      <c r="K39" s="2115"/>
      <c r="N39" s="2173" t="s">
        <v>2732</v>
      </c>
      <c r="O39" s="2158" t="n">
        <v>0</v>
      </c>
      <c r="P39" s="2158"/>
      <c r="Q39" s="2158"/>
      <c r="R39" s="2158" t="n">
        <v>1</v>
      </c>
      <c r="S39" s="2158"/>
    </row>
    <row r="40" customFormat="false" ht="14" hidden="false" customHeight="true" outlineLevel="0" collapsed="false">
      <c r="A40" s="2110"/>
      <c r="B40" s="2116"/>
      <c r="H40" s="972"/>
      <c r="I40" s="972"/>
      <c r="J40" s="2117"/>
      <c r="K40" s="2115"/>
      <c r="N40" s="1865"/>
      <c r="O40" s="1865"/>
      <c r="P40" s="972"/>
    </row>
    <row r="41" customFormat="false" ht="14" hidden="false" customHeight="true" outlineLevel="0" collapsed="false">
      <c r="A41" s="2110"/>
      <c r="B41" s="2116"/>
      <c r="H41" s="972"/>
      <c r="I41" s="972"/>
      <c r="J41" s="2117"/>
      <c r="K41" s="2115"/>
    </row>
    <row r="42" customFormat="false" ht="14" hidden="false" customHeight="true" outlineLevel="0" collapsed="false">
      <c r="A42" s="2110"/>
      <c r="B42" s="2149" t="s">
        <v>450</v>
      </c>
      <c r="C42" s="2150" t="s">
        <v>2736</v>
      </c>
      <c r="D42" s="2150"/>
      <c r="E42" s="2150"/>
      <c r="F42" s="2150"/>
      <c r="G42" s="2150"/>
      <c r="H42" s="2150"/>
      <c r="I42" s="2151" t="s">
        <v>2697</v>
      </c>
      <c r="J42" s="2117"/>
      <c r="K42" s="2115"/>
    </row>
    <row r="43" customFormat="false" ht="13.5" hidden="false" customHeight="true" outlineLevel="0" collapsed="false">
      <c r="A43" s="2110"/>
      <c r="B43" s="2116"/>
      <c r="C43" s="972"/>
      <c r="D43" s="972"/>
      <c r="E43" s="972"/>
      <c r="F43" s="972"/>
      <c r="G43" s="972"/>
      <c r="H43" s="972"/>
      <c r="I43" s="972"/>
      <c r="J43" s="2117"/>
      <c r="K43" s="2115"/>
      <c r="S43" s="1007"/>
      <c r="T43" s="1007"/>
      <c r="U43" s="1007"/>
      <c r="V43" s="1007"/>
    </row>
    <row r="44" customFormat="false" ht="25.5" hidden="false" customHeight="true" outlineLevel="0" collapsed="false">
      <c r="A44" s="2110"/>
      <c r="B44" s="2116"/>
      <c r="C44" s="2158" t="s">
        <v>2698</v>
      </c>
      <c r="D44" s="2158"/>
      <c r="E44" s="2158"/>
      <c r="F44" s="2158"/>
      <c r="G44" s="2158"/>
      <c r="H44" s="1926" t="s">
        <v>2699</v>
      </c>
      <c r="I44" s="1926" t="s">
        <v>2700</v>
      </c>
      <c r="J44" s="2117"/>
      <c r="K44" s="2115"/>
      <c r="S44" s="1007"/>
      <c r="T44" s="1007"/>
      <c r="U44" s="1007"/>
      <c r="V44" s="1007"/>
    </row>
    <row r="45" customFormat="false" ht="13.5" hidden="false" customHeight="true" outlineLevel="0" collapsed="false">
      <c r="A45" s="2110"/>
      <c r="B45" s="2116"/>
      <c r="C45" s="2174" t="s">
        <v>2737</v>
      </c>
      <c r="D45" s="2175"/>
      <c r="E45" s="2175"/>
      <c r="F45" s="2175"/>
      <c r="G45" s="2176" t="n">
        <f aca="false">MIN(5,SUM(F49,F47))</f>
        <v>5</v>
      </c>
      <c r="H45" s="2177" t="n">
        <f aca="false">IF(T63&gt;=0.9,4,ROUND(SUM((G45*O63),(G50*Q63),(G57*S63)),0))</f>
        <v>5</v>
      </c>
      <c r="I45" s="2178" t="n">
        <f aca="false">MIN(5,H45)</f>
        <v>5</v>
      </c>
      <c r="J45" s="2117"/>
      <c r="K45" s="2115"/>
      <c r="S45" s="1007"/>
      <c r="U45" s="2179" t="s">
        <v>2738</v>
      </c>
      <c r="V45" s="1007"/>
    </row>
    <row r="46" customFormat="false" ht="14" hidden="false" customHeight="true" outlineLevel="0" collapsed="false">
      <c r="A46" s="2110"/>
      <c r="B46" s="2116"/>
      <c r="C46" s="2129"/>
      <c r="D46" s="1826" t="s">
        <v>2739</v>
      </c>
      <c r="E46" s="1826"/>
      <c r="F46" s="1826"/>
      <c r="G46" s="2176"/>
      <c r="H46" s="2177"/>
      <c r="I46" s="2178"/>
      <c r="J46" s="2117"/>
      <c r="K46" s="2115"/>
      <c r="N46" s="1699" t="s">
        <v>2740</v>
      </c>
      <c r="O46" s="2142" t="n">
        <v>0.75</v>
      </c>
      <c r="P46" s="2142" t="n">
        <v>0.5</v>
      </c>
      <c r="Q46" s="2142" t="n">
        <v>0.25</v>
      </c>
      <c r="R46" s="2142" t="n">
        <v>0</v>
      </c>
      <c r="T46" s="1857" t="s">
        <v>242</v>
      </c>
      <c r="U46" s="1857" t="n">
        <v>3</v>
      </c>
    </row>
    <row r="47" customFormat="false" ht="15" hidden="false" customHeight="true" outlineLevel="0" collapsed="false">
      <c r="A47" s="2110"/>
      <c r="B47" s="2116"/>
      <c r="C47" s="2129"/>
      <c r="D47" s="972" t="s">
        <v>1110</v>
      </c>
      <c r="E47" s="2180" t="n">
        <f aca="false">'Saisie et Calculateur'!I466</f>
        <v>0</v>
      </c>
      <c r="F47" s="972" t="n">
        <f aca="false">IF(E47&lt;Q46,R47,IF(E47&lt;P46,Q47,IF(E47&lt;O46,P47,O47)))</f>
        <v>3</v>
      </c>
      <c r="G47" s="2176"/>
      <c r="H47" s="2177"/>
      <c r="I47" s="2178"/>
      <c r="J47" s="2117"/>
      <c r="K47" s="2115"/>
      <c r="N47" s="1699" t="s">
        <v>2732</v>
      </c>
      <c r="O47" s="1699" t="n">
        <v>0</v>
      </c>
      <c r="P47" s="1699" t="n">
        <v>1</v>
      </c>
      <c r="Q47" s="1699" t="n">
        <v>2</v>
      </c>
      <c r="R47" s="1699" t="n">
        <v>3</v>
      </c>
      <c r="T47" s="2181" t="s">
        <v>243</v>
      </c>
      <c r="U47" s="2181" t="n">
        <v>0</v>
      </c>
    </row>
    <row r="48" customFormat="false" ht="14" hidden="false" customHeight="true" outlineLevel="0" collapsed="false">
      <c r="A48" s="2110"/>
      <c r="B48" s="2116"/>
      <c r="C48" s="2129"/>
      <c r="D48" s="1826" t="s">
        <v>2741</v>
      </c>
      <c r="E48" s="1826"/>
      <c r="F48" s="1826"/>
      <c r="G48" s="2176"/>
      <c r="H48" s="2177"/>
      <c r="I48" s="2178"/>
      <c r="J48" s="2117"/>
      <c r="K48" s="2115"/>
    </row>
    <row r="49" customFormat="false" ht="14" hidden="false" customHeight="true" outlineLevel="0" collapsed="false">
      <c r="A49" s="2110"/>
      <c r="B49" s="2116"/>
      <c r="C49" s="2143"/>
      <c r="D49" s="2132" t="s">
        <v>2720</v>
      </c>
      <c r="E49" s="2132" t="str">
        <f aca="false">'Saisie et Calculateur'!J468</f>
        <v>oui</v>
      </c>
      <c r="F49" s="972" t="n">
        <f aca="false">IF(E49=T46,U46,U47)</f>
        <v>3</v>
      </c>
      <c r="G49" s="2176"/>
      <c r="H49" s="2177"/>
      <c r="I49" s="2178"/>
      <c r="J49" s="2117"/>
      <c r="K49" s="2115"/>
      <c r="N49" s="2181" t="s">
        <v>2742</v>
      </c>
      <c r="O49" s="2181"/>
      <c r="P49" s="1857" t="s">
        <v>2743</v>
      </c>
      <c r="Q49" s="1675" t="s">
        <v>2744</v>
      </c>
      <c r="R49" s="1675"/>
      <c r="S49" s="1675"/>
      <c r="U49" s="2182" t="s">
        <v>2745</v>
      </c>
      <c r="V49" s="2182"/>
      <c r="W49" s="1857" t="s">
        <v>2743</v>
      </c>
    </row>
    <row r="50" customFormat="false" ht="14" hidden="false" customHeight="true" outlineLevel="0" collapsed="false">
      <c r="A50" s="2110"/>
      <c r="B50" s="2116"/>
      <c r="C50" s="2143" t="s">
        <v>2746</v>
      </c>
      <c r="D50" s="2143"/>
      <c r="E50" s="2143"/>
      <c r="F50" s="2143"/>
      <c r="G50" s="2183" t="n">
        <f aca="false">MIN(5,SUM(F56,MAX(F54,F52)))</f>
        <v>0</v>
      </c>
      <c r="H50" s="2177"/>
      <c r="I50" s="2178"/>
      <c r="J50" s="2117"/>
      <c r="K50" s="2115"/>
      <c r="N50" s="2181" t="s">
        <v>2747</v>
      </c>
      <c r="O50" s="2181"/>
      <c r="P50" s="1857" t="n">
        <v>0</v>
      </c>
      <c r="Q50" s="1675" t="s">
        <v>2748</v>
      </c>
      <c r="R50" s="1675"/>
      <c r="S50" s="1675"/>
      <c r="U50" s="2181" t="s">
        <v>453</v>
      </c>
      <c r="V50" s="2181"/>
      <c r="W50" s="1857" t="n">
        <v>0</v>
      </c>
    </row>
    <row r="51" customFormat="false" ht="14" hidden="false" customHeight="true" outlineLevel="0" collapsed="false">
      <c r="A51" s="2110"/>
      <c r="B51" s="2116"/>
      <c r="C51" s="2143"/>
      <c r="D51" s="2132" t="s">
        <v>2742</v>
      </c>
      <c r="E51" s="2132"/>
      <c r="F51" s="2132"/>
      <c r="G51" s="2183"/>
      <c r="H51" s="2177"/>
      <c r="I51" s="2178"/>
      <c r="J51" s="2117"/>
      <c r="K51" s="2115"/>
      <c r="N51" s="2181" t="s">
        <v>2749</v>
      </c>
      <c r="O51" s="2181"/>
      <c r="P51" s="1857" t="n">
        <v>1</v>
      </c>
      <c r="Q51" s="1675" t="s">
        <v>2750</v>
      </c>
      <c r="R51" s="1675"/>
      <c r="S51" s="1675"/>
      <c r="U51" s="2184" t="s">
        <v>454</v>
      </c>
      <c r="V51" s="2184"/>
      <c r="W51" s="1857" t="n">
        <v>3</v>
      </c>
    </row>
    <row r="52" customFormat="false" ht="14" hidden="false" customHeight="true" outlineLevel="0" collapsed="false">
      <c r="A52" s="2110"/>
      <c r="B52" s="2116"/>
      <c r="C52" s="2143"/>
      <c r="D52" s="2132" t="s">
        <v>2751</v>
      </c>
      <c r="E52" s="2132" t="n">
        <f aca="false">'Saisie et Calculateur'!J472</f>
        <v>0</v>
      </c>
      <c r="F52" s="972" t="n">
        <f aca="false">IF(E52=N53,P53,IF(E52=N52,P52,IF(E52=N51,P51,P50)))</f>
        <v>0</v>
      </c>
      <c r="G52" s="2183"/>
      <c r="H52" s="2177"/>
      <c r="I52" s="2178"/>
      <c r="J52" s="2117"/>
      <c r="K52" s="2115"/>
      <c r="N52" s="2181" t="s">
        <v>2752</v>
      </c>
      <c r="O52" s="2181"/>
      <c r="P52" s="1857" t="n">
        <v>2</v>
      </c>
      <c r="Q52" s="1675" t="s">
        <v>2753</v>
      </c>
      <c r="R52" s="1675"/>
      <c r="S52" s="1675"/>
      <c r="U52" s="1675" t="s">
        <v>455</v>
      </c>
      <c r="V52" s="1675"/>
      <c r="W52" s="1857" t="n">
        <v>3</v>
      </c>
    </row>
    <row r="53" customFormat="false" ht="14" hidden="false" customHeight="true" outlineLevel="0" collapsed="false">
      <c r="A53" s="2110"/>
      <c r="B53" s="2116"/>
      <c r="C53" s="2143"/>
      <c r="D53" s="2132" t="s">
        <v>2744</v>
      </c>
      <c r="E53" s="2132"/>
      <c r="F53" s="2132"/>
      <c r="G53" s="2183"/>
      <c r="H53" s="2177"/>
      <c r="I53" s="2178"/>
      <c r="J53" s="2117"/>
      <c r="K53" s="2115"/>
      <c r="N53" s="2181" t="s">
        <v>2754</v>
      </c>
      <c r="O53" s="2181"/>
      <c r="P53" s="1857" t="n">
        <v>3</v>
      </c>
      <c r="Q53" s="1675" t="s">
        <v>2755</v>
      </c>
      <c r="R53" s="1675"/>
      <c r="S53" s="1675"/>
    </row>
    <row r="54" customFormat="false" ht="14" hidden="false" customHeight="true" outlineLevel="0" collapsed="false">
      <c r="A54" s="2110"/>
      <c r="B54" s="2116"/>
      <c r="C54" s="2143"/>
      <c r="D54" s="2132" t="s">
        <v>2751</v>
      </c>
      <c r="E54" s="2132" t="n">
        <f aca="false">'Saisie et Calculateur'!J474</f>
        <v>0</v>
      </c>
      <c r="F54" s="972" t="n">
        <f aca="false">IF(E54=Q53,P53,IF(E54=Q52,P52,IF(E54=Q51,P51,P50)))</f>
        <v>0</v>
      </c>
      <c r="G54" s="2183"/>
      <c r="H54" s="2177"/>
      <c r="I54" s="2178"/>
      <c r="J54" s="2117"/>
      <c r="K54" s="2115"/>
    </row>
    <row r="55" customFormat="false" ht="14" hidden="false" customHeight="true" outlineLevel="0" collapsed="false">
      <c r="A55" s="2110"/>
      <c r="B55" s="2116"/>
      <c r="C55" s="2143"/>
      <c r="D55" s="2132" t="s">
        <v>2756</v>
      </c>
      <c r="E55" s="2132"/>
      <c r="F55" s="2132"/>
      <c r="G55" s="2183"/>
      <c r="H55" s="2177"/>
      <c r="I55" s="2178"/>
      <c r="J55" s="2117"/>
      <c r="K55" s="2115"/>
      <c r="N55" s="1675" t="s">
        <v>2757</v>
      </c>
      <c r="O55" s="1675"/>
      <c r="P55" s="1857" t="s">
        <v>2743</v>
      </c>
      <c r="R55" s="1675" t="s">
        <v>2758</v>
      </c>
      <c r="S55" s="1675"/>
      <c r="U55" s="1675" t="s">
        <v>2757</v>
      </c>
      <c r="V55" s="1675"/>
    </row>
    <row r="56" customFormat="false" ht="14" hidden="false" customHeight="true" outlineLevel="0" collapsed="false">
      <c r="A56" s="2110"/>
      <c r="B56" s="2116"/>
      <c r="C56" s="2143"/>
      <c r="D56" s="2185" t="n">
        <f aca="false">'Saisie et Calculateur'!J476</f>
        <v>0</v>
      </c>
      <c r="E56" s="2185"/>
      <c r="F56" s="972" t="n">
        <f aca="false">IF(D56=U52,W52,IF(D56=U51,W51,W50))</f>
        <v>0</v>
      </c>
      <c r="G56" s="2183"/>
      <c r="H56" s="2177"/>
      <c r="I56" s="2178"/>
      <c r="J56" s="2117"/>
      <c r="K56" s="2115"/>
      <c r="N56" s="1675" t="s">
        <v>2702</v>
      </c>
      <c r="O56" s="1675"/>
      <c r="P56" s="1857" t="n">
        <v>0</v>
      </c>
      <c r="R56" s="1857" t="s">
        <v>242</v>
      </c>
      <c r="S56" s="1857" t="n">
        <v>-1</v>
      </c>
      <c r="U56" s="1857" t="s">
        <v>242</v>
      </c>
      <c r="V56" s="1857" t="n">
        <v>2</v>
      </c>
    </row>
    <row r="57" customFormat="false" ht="14" hidden="false" customHeight="true" outlineLevel="0" collapsed="false">
      <c r="A57" s="2110"/>
      <c r="B57" s="2116"/>
      <c r="C57" s="2143" t="s">
        <v>2759</v>
      </c>
      <c r="D57" s="2143"/>
      <c r="E57" s="2143"/>
      <c r="F57" s="2143"/>
      <c r="G57" s="2144" t="n">
        <f aca="false">MIN(5,SUM(F59,F61,F63))</f>
        <v>0</v>
      </c>
      <c r="H57" s="2177"/>
      <c r="I57" s="2178"/>
      <c r="J57" s="2117"/>
      <c r="K57" s="2115"/>
      <c r="N57" s="1675" t="s">
        <v>2760</v>
      </c>
      <c r="O57" s="1675"/>
      <c r="P57" s="1857" t="n">
        <v>1</v>
      </c>
      <c r="R57" s="1857" t="s">
        <v>243</v>
      </c>
      <c r="S57" s="1857" t="n">
        <v>0</v>
      </c>
      <c r="U57" s="1857" t="s">
        <v>243</v>
      </c>
      <c r="V57" s="1857" t="n">
        <v>0</v>
      </c>
    </row>
    <row r="58" customFormat="false" ht="14" hidden="false" customHeight="true" outlineLevel="0" collapsed="false">
      <c r="A58" s="2110"/>
      <c r="B58" s="2116"/>
      <c r="C58" s="2143"/>
      <c r="D58" s="2132" t="s">
        <v>2761</v>
      </c>
      <c r="E58" s="2132"/>
      <c r="F58" s="2132"/>
      <c r="G58" s="2144"/>
      <c r="H58" s="2177"/>
      <c r="I58" s="2178"/>
      <c r="J58" s="2117"/>
      <c r="K58" s="2115"/>
      <c r="N58" s="1675" t="s">
        <v>2762</v>
      </c>
      <c r="O58" s="1675"/>
      <c r="P58" s="1857" t="n">
        <v>2</v>
      </c>
    </row>
    <row r="59" customFormat="false" ht="14" hidden="false" customHeight="true" outlineLevel="0" collapsed="false">
      <c r="A59" s="2110"/>
      <c r="B59" s="2116"/>
      <c r="C59" s="2143"/>
      <c r="D59" s="2185" t="n">
        <f aca="false">'Saisie et Calculateur'!J479</f>
        <v>0</v>
      </c>
      <c r="E59" s="2185"/>
      <c r="F59" s="972" t="n">
        <f aca="false">IF(D59=N59,P59,IF(D59=N58,P58,IF(D59=N57,P57,P56)))</f>
        <v>0</v>
      </c>
      <c r="G59" s="2144"/>
      <c r="H59" s="2177"/>
      <c r="I59" s="2178"/>
      <c r="J59" s="2117"/>
      <c r="K59" s="2115"/>
      <c r="N59" s="1675" t="s">
        <v>2763</v>
      </c>
      <c r="O59" s="1675"/>
      <c r="P59" s="1857" t="n">
        <v>3</v>
      </c>
    </row>
    <row r="60" customFormat="false" ht="14" hidden="false" customHeight="true" outlineLevel="0" collapsed="false">
      <c r="A60" s="2110"/>
      <c r="B60" s="2116"/>
      <c r="C60" s="2143"/>
      <c r="D60" s="2132" t="s">
        <v>2764</v>
      </c>
      <c r="E60" s="2132"/>
      <c r="F60" s="2132"/>
      <c r="G60" s="2144"/>
      <c r="H60" s="2177"/>
      <c r="I60" s="2178"/>
      <c r="J60" s="2117"/>
      <c r="K60" s="2115"/>
    </row>
    <row r="61" customFormat="false" ht="14" hidden="false" customHeight="true" outlineLevel="0" collapsed="false">
      <c r="A61" s="2110"/>
      <c r="B61" s="2116"/>
      <c r="C61" s="2143"/>
      <c r="D61" s="2185" t="n">
        <f aca="false">'Saisie et Calculateur'!J481</f>
        <v>0</v>
      </c>
      <c r="E61" s="2185"/>
      <c r="F61" s="2162" t="n">
        <f aca="false">IF(D61=R56,S56,S57)</f>
        <v>0</v>
      </c>
      <c r="G61" s="2144"/>
      <c r="H61" s="2177"/>
      <c r="I61" s="2178"/>
      <c r="J61" s="2117"/>
      <c r="K61" s="2115"/>
      <c r="N61" s="1699" t="s">
        <v>2722</v>
      </c>
      <c r="O61" s="2158" t="s">
        <v>2765</v>
      </c>
      <c r="P61" s="2158"/>
      <c r="Q61" s="2158" t="s">
        <v>2766</v>
      </c>
      <c r="R61" s="2158"/>
      <c r="S61" s="1874" t="s">
        <v>97</v>
      </c>
      <c r="T61" s="1874" t="s">
        <v>2767</v>
      </c>
    </row>
    <row r="62" customFormat="false" ht="14" hidden="false" customHeight="true" outlineLevel="0" collapsed="false">
      <c r="A62" s="2110"/>
      <c r="B62" s="2116"/>
      <c r="C62" s="2143"/>
      <c r="D62" s="2132" t="s">
        <v>2768</v>
      </c>
      <c r="E62" s="2132"/>
      <c r="F62" s="2132"/>
      <c r="G62" s="2144"/>
      <c r="H62" s="2177"/>
      <c r="I62" s="2178"/>
      <c r="J62" s="2117"/>
      <c r="K62" s="2115"/>
      <c r="N62" s="1857" t="s">
        <v>2725</v>
      </c>
      <c r="O62" s="2158" t="n">
        <f aca="false">'Saisie et Calculateur'!B14+'Saisie et Calculateur'!B15</f>
        <v>113.65</v>
      </c>
      <c r="P62" s="2158"/>
      <c r="Q62" s="2158" t="n">
        <f aca="false">'Saisie et Calculateur'!B17+'Saisie et Calculateur'!B18</f>
        <v>0</v>
      </c>
      <c r="R62" s="2158"/>
      <c r="S62" s="1874" t="n">
        <f aca="false">'Saisie et Calculateur'!B19</f>
        <v>0</v>
      </c>
      <c r="T62" s="1874" t="n">
        <f aca="false">'Saisie et Calculateur'!B16</f>
        <v>54.8</v>
      </c>
    </row>
    <row r="63" customFormat="false" ht="14" hidden="false" customHeight="true" outlineLevel="0" collapsed="false">
      <c r="A63" s="2110"/>
      <c r="B63" s="2116"/>
      <c r="C63" s="2186"/>
      <c r="D63" s="2187" t="n">
        <f aca="false">'Saisie et Calculateur'!J483</f>
        <v>0</v>
      </c>
      <c r="E63" s="2187"/>
      <c r="F63" s="2148" t="n">
        <f aca="false">IF(D63=U56,V56,V57)</f>
        <v>0</v>
      </c>
      <c r="G63" s="2144"/>
      <c r="H63" s="2177"/>
      <c r="I63" s="2178"/>
      <c r="J63" s="2117"/>
      <c r="K63" s="2115"/>
      <c r="N63" s="1699" t="s">
        <v>2727</v>
      </c>
      <c r="O63" s="2163" t="n">
        <f aca="false">O62/('Saisie et Calculateur'!B13-'Saisie et Calculateur'!B16-'Saisie et Calculateur'!B21)</f>
        <v>1</v>
      </c>
      <c r="P63" s="2163"/>
      <c r="Q63" s="2188" t="n">
        <f aca="false">Q62/('Saisie et Calculateur'!B13-'Saisie et Calculateur'!B17)</f>
        <v>0</v>
      </c>
      <c r="R63" s="2188"/>
      <c r="S63" s="2163" t="n">
        <f aca="false">S62/('Saisie et Calculateur'!B13-'Saisie et Calculateur'!B16-'Saisie et Calculateur'!B21)</f>
        <v>0</v>
      </c>
      <c r="T63" s="2163" t="n">
        <f aca="false">'Saisie et Calculateur'!B16/('Saisie et Calculateur'!B13-'Saisie et Calculateur'!B21)</f>
        <v>0.325319085782131</v>
      </c>
    </row>
    <row r="64" customFormat="false" ht="15" hidden="false" customHeight="true" outlineLevel="0" collapsed="false">
      <c r="A64" s="2110"/>
      <c r="B64" s="2116"/>
      <c r="C64" s="972"/>
      <c r="D64" s="972"/>
      <c r="E64" s="972"/>
      <c r="F64" s="972"/>
      <c r="G64" s="972"/>
      <c r="H64" s="972"/>
      <c r="I64" s="972"/>
      <c r="J64" s="2117"/>
      <c r="K64" s="2115"/>
    </row>
    <row r="65" customFormat="false" ht="15" hidden="false" customHeight="true" outlineLevel="0" collapsed="false">
      <c r="A65" s="2110"/>
      <c r="B65" s="2116"/>
      <c r="C65" s="972"/>
      <c r="D65" s="972"/>
      <c r="E65" s="972"/>
      <c r="F65" s="972"/>
      <c r="G65" s="972"/>
      <c r="H65" s="972"/>
      <c r="I65" s="972"/>
      <c r="J65" s="2117"/>
      <c r="K65" s="2115"/>
    </row>
    <row r="66" customFormat="false" ht="12.75" hidden="false" customHeight="true" outlineLevel="0" collapsed="false">
      <c r="A66" s="2110"/>
      <c r="B66" s="2116" t="s">
        <v>469</v>
      </c>
      <c r="C66" s="2150" t="s">
        <v>2769</v>
      </c>
      <c r="D66" s="2150"/>
      <c r="E66" s="2150"/>
      <c r="F66" s="2150"/>
      <c r="G66" s="2150"/>
      <c r="H66" s="2150"/>
      <c r="I66" s="2151" t="s">
        <v>2697</v>
      </c>
      <c r="J66" s="2117"/>
      <c r="K66" s="2115"/>
    </row>
    <row r="67" customFormat="false" ht="15" hidden="false" customHeight="true" outlineLevel="0" collapsed="false">
      <c r="A67" s="2110"/>
      <c r="B67" s="2116"/>
      <c r="C67" s="972"/>
      <c r="D67" s="972"/>
      <c r="E67" s="972"/>
      <c r="F67" s="972"/>
      <c r="G67" s="972"/>
      <c r="H67" s="972"/>
      <c r="I67" s="972"/>
      <c r="J67" s="2117"/>
      <c r="K67" s="2115"/>
    </row>
    <row r="68" customFormat="false" ht="25.5" hidden="false" customHeight="true" outlineLevel="0" collapsed="false">
      <c r="A68" s="2110"/>
      <c r="B68" s="2116"/>
      <c r="C68" s="2119" t="s">
        <v>2698</v>
      </c>
      <c r="D68" s="2119"/>
      <c r="E68" s="2119"/>
      <c r="F68" s="2119"/>
      <c r="G68" s="2119"/>
      <c r="H68" s="2120" t="s">
        <v>2699</v>
      </c>
      <c r="I68" s="2120" t="s">
        <v>2700</v>
      </c>
      <c r="J68" s="2117"/>
      <c r="K68" s="2115"/>
      <c r="N68" s="1874" t="s">
        <v>2770</v>
      </c>
      <c r="O68" s="2142" t="n">
        <v>0.5</v>
      </c>
      <c r="P68" s="2142" t="n">
        <v>0.6</v>
      </c>
      <c r="Q68" s="2164" t="n">
        <v>0.7</v>
      </c>
      <c r="R68" s="2189"/>
    </row>
    <row r="69" customFormat="false" ht="14" hidden="false" customHeight="true" outlineLevel="0" collapsed="false">
      <c r="A69" s="2110"/>
      <c r="B69" s="2116"/>
      <c r="C69" s="2124" t="s">
        <v>2771</v>
      </c>
      <c r="D69" s="2124"/>
      <c r="E69" s="2124"/>
      <c r="F69" s="2124"/>
      <c r="G69" s="2125" t="n">
        <f aca="false">MIN(3,ROUND(SUM(F71,F73,F75,F77),0))</f>
        <v>1</v>
      </c>
      <c r="H69" s="2190" t="n">
        <f aca="false">G69+G78</f>
        <v>1</v>
      </c>
      <c r="I69" s="2127" t="n">
        <f aca="false">MIN(5,H69)</f>
        <v>1</v>
      </c>
      <c r="J69" s="2117"/>
      <c r="K69" s="2115"/>
      <c r="N69" s="1874" t="s">
        <v>2772</v>
      </c>
      <c r="O69" s="1874" t="n">
        <v>0</v>
      </c>
      <c r="P69" s="1874" t="n">
        <v>1</v>
      </c>
      <c r="Q69" s="2128" t="n">
        <v>2</v>
      </c>
      <c r="R69" s="2191" t="n">
        <v>3</v>
      </c>
    </row>
    <row r="70" customFormat="false" ht="14" hidden="false" customHeight="true" outlineLevel="0" collapsed="false">
      <c r="A70" s="2110"/>
      <c r="B70" s="2116"/>
      <c r="C70" s="2131"/>
      <c r="D70" s="2160" t="s">
        <v>2726</v>
      </c>
      <c r="E70" s="2160"/>
      <c r="F70" s="2160"/>
      <c r="G70" s="2125"/>
      <c r="H70" s="2190"/>
      <c r="I70" s="2127"/>
      <c r="J70" s="2117"/>
      <c r="K70" s="2115"/>
    </row>
    <row r="71" customFormat="false" ht="14" hidden="false" customHeight="true" outlineLevel="0" collapsed="false">
      <c r="A71" s="2110"/>
      <c r="B71" s="2116"/>
      <c r="C71" s="2131"/>
      <c r="D71" s="2160" t="s">
        <v>2728</v>
      </c>
      <c r="E71" s="2161"/>
      <c r="F71" s="2161" t="n">
        <f aca="false">O72*O74</f>
        <v>0.509070548712206</v>
      </c>
      <c r="G71" s="2125"/>
      <c r="H71" s="2190"/>
      <c r="I71" s="2127"/>
      <c r="J71" s="2117"/>
      <c r="K71" s="2115"/>
      <c r="N71" s="1874" t="s">
        <v>2722</v>
      </c>
      <c r="O71" s="2158" t="s">
        <v>2723</v>
      </c>
      <c r="P71" s="2158"/>
      <c r="Q71" s="1874" t="s">
        <v>94</v>
      </c>
      <c r="R71" s="1874" t="s">
        <v>95</v>
      </c>
      <c r="S71" s="2158" t="s">
        <v>97</v>
      </c>
      <c r="T71" s="2158"/>
    </row>
    <row r="72" customFormat="false" ht="14" hidden="false" customHeight="true" outlineLevel="0" collapsed="false">
      <c r="A72" s="2110"/>
      <c r="B72" s="2116"/>
      <c r="C72" s="2131"/>
      <c r="D72" s="2021" t="s">
        <v>94</v>
      </c>
      <c r="E72" s="2161"/>
      <c r="F72" s="2161"/>
      <c r="G72" s="2125"/>
      <c r="H72" s="2190"/>
      <c r="I72" s="2127"/>
      <c r="J72" s="2117"/>
      <c r="K72" s="2115"/>
      <c r="N72" s="1874" t="s">
        <v>2709</v>
      </c>
      <c r="O72" s="2158" t="n">
        <f aca="false">IF('Saisie et Calculateur'!J488=0,3,IF('Saisie et Calculateur'!J488=1,2,IF('Saisie et Calculateur'!J488=2,1,0)))</f>
        <v>1</v>
      </c>
      <c r="P72" s="2158"/>
      <c r="Q72" s="1874" t="n">
        <f aca="false">IF('Saisie et Calculateur'!J491=0,3,IF('Saisie et Calculateur'!J491=1,2,IF('Saisie et Calculateur'!J491=2,1,0)))</f>
        <v>3</v>
      </c>
      <c r="R72" s="1874" t="n">
        <f aca="false">IF('Saisie et Calculateur'!J493=0,3,IF('Saisie et Calculateur'!J493=1,2,IF('Saisie et Calculateur'!J493=2,1,0)))</f>
        <v>3</v>
      </c>
      <c r="S72" s="2191" t="n">
        <f aca="false">IF('Saisie et Calculateur'!J496=0,2,IF('Saisie et Calculateur'!J496=1,1,0))</f>
        <v>2</v>
      </c>
      <c r="T72" s="1857" t="n">
        <f aca="false">IF('Saisie et Calculateur'!J498="oui",1,0)</f>
        <v>0</v>
      </c>
    </row>
    <row r="73" customFormat="false" ht="14" hidden="false" customHeight="true" outlineLevel="0" collapsed="false">
      <c r="A73" s="2110"/>
      <c r="B73" s="2116"/>
      <c r="C73" s="2131"/>
      <c r="D73" s="2160" t="s">
        <v>2728</v>
      </c>
      <c r="E73" s="2161"/>
      <c r="F73" s="2161" t="n">
        <f aca="false">Q72*Q74</f>
        <v>0</v>
      </c>
      <c r="G73" s="2125"/>
      <c r="H73" s="2190"/>
      <c r="I73" s="2127"/>
      <c r="J73" s="2117"/>
      <c r="K73" s="2115"/>
      <c r="N73" s="1874" t="s">
        <v>2725</v>
      </c>
      <c r="O73" s="2158" t="n">
        <f aca="false">'Saisie et Calculateur'!B14+'Saisie et Calculateur'!B15</f>
        <v>113.65</v>
      </c>
      <c r="P73" s="2158"/>
      <c r="Q73" s="1874" t="n">
        <f aca="false">'Saisie et Calculateur'!B17</f>
        <v>0</v>
      </c>
      <c r="R73" s="1874" t="n">
        <f aca="false">'Saisie et Calculateur'!B18</f>
        <v>0</v>
      </c>
      <c r="S73" s="2158" t="n">
        <f aca="false">'Saisie et Calculateur'!B19</f>
        <v>0</v>
      </c>
      <c r="T73" s="2158"/>
    </row>
    <row r="74" customFormat="false" ht="14" hidden="false" customHeight="true" outlineLevel="0" collapsed="false">
      <c r="A74" s="2110"/>
      <c r="B74" s="2116"/>
      <c r="C74" s="2131"/>
      <c r="D74" s="2021" t="s">
        <v>95</v>
      </c>
      <c r="E74" s="2161"/>
      <c r="F74" s="2161"/>
      <c r="G74" s="2125"/>
      <c r="H74" s="2190"/>
      <c r="I74" s="2127"/>
      <c r="J74" s="2117"/>
      <c r="K74" s="2115"/>
      <c r="N74" s="1874" t="s">
        <v>2727</v>
      </c>
      <c r="O74" s="2163" t="n">
        <f aca="false">O73/('Saisie et Calculateur'!$B$13--'Saisie et Calculateur'!B16-'Saisie et Calculateur'!B21)</f>
        <v>0.509070548712206</v>
      </c>
      <c r="P74" s="2163"/>
      <c r="Q74" s="2163" t="n">
        <f aca="false">Q73/('Saisie et Calculateur'!$B$13-'Saisie et Calculateur'!B16-'Saisie et Calculateur'!B21)</f>
        <v>0</v>
      </c>
      <c r="R74" s="2163" t="n">
        <f aca="false">R73/('Saisie et Calculateur'!$B$13-'Saisie et Calculateur'!B16-'Saisie et Calculateur'!B21)</f>
        <v>0</v>
      </c>
      <c r="S74" s="2163" t="n">
        <f aca="false">S73/('Saisie et Calculateur'!$B$13-'Saisie et Calculateur'!B16-'Saisie et Calculateur'!B21)</f>
        <v>0</v>
      </c>
      <c r="T74" s="2163"/>
    </row>
    <row r="75" customFormat="false" ht="14" hidden="false" customHeight="true" outlineLevel="0" collapsed="false">
      <c r="A75" s="2110"/>
      <c r="B75" s="2116"/>
      <c r="C75" s="2131"/>
      <c r="D75" s="2160" t="s">
        <v>2728</v>
      </c>
      <c r="E75" s="2161"/>
      <c r="F75" s="2161" t="n">
        <f aca="false">R72*R74</f>
        <v>0</v>
      </c>
      <c r="G75" s="2125"/>
      <c r="H75" s="2190"/>
      <c r="I75" s="2127"/>
      <c r="J75" s="2117"/>
      <c r="K75" s="2115"/>
    </row>
    <row r="76" customFormat="false" ht="14" hidden="false" customHeight="true" outlineLevel="0" collapsed="false">
      <c r="A76" s="2110"/>
      <c r="B76" s="2116"/>
      <c r="C76" s="2131"/>
      <c r="D76" s="2021" t="s">
        <v>97</v>
      </c>
      <c r="E76" s="2161"/>
      <c r="F76" s="2161"/>
      <c r="G76" s="2125"/>
      <c r="H76" s="2190"/>
      <c r="I76" s="2127"/>
      <c r="J76" s="2117"/>
      <c r="K76" s="2115"/>
    </row>
    <row r="77" customFormat="false" ht="14" hidden="false" customHeight="true" outlineLevel="0" collapsed="false">
      <c r="A77" s="2110"/>
      <c r="B77" s="2116"/>
      <c r="C77" s="2131"/>
      <c r="D77" s="2160" t="s">
        <v>2728</v>
      </c>
      <c r="E77" s="2161"/>
      <c r="F77" s="2161" t="n">
        <f aca="false">(S72+T72)*S74</f>
        <v>0</v>
      </c>
      <c r="G77" s="2125"/>
      <c r="H77" s="2190"/>
      <c r="I77" s="2127"/>
      <c r="J77" s="2117"/>
      <c r="K77" s="2115"/>
    </row>
    <row r="78" customFormat="false" ht="14" hidden="false" customHeight="true" outlineLevel="0" collapsed="false">
      <c r="A78" s="2110"/>
      <c r="B78" s="2116"/>
      <c r="C78" s="2192" t="s">
        <v>2773</v>
      </c>
      <c r="D78" s="2192"/>
      <c r="E78" s="2192"/>
      <c r="F78" s="2192"/>
      <c r="G78" s="2193" t="n">
        <f aca="false">IF(E79&gt;Q68,R69,IF(E79&gt;P68,Q69,IF(E79&gt;O68,P69,O69)))</f>
        <v>0</v>
      </c>
      <c r="H78" s="2190"/>
      <c r="I78" s="2127"/>
      <c r="J78" s="2117"/>
      <c r="K78" s="2115"/>
    </row>
    <row r="79" customFormat="false" ht="14" hidden="false" customHeight="true" outlineLevel="0" collapsed="false">
      <c r="A79" s="2110"/>
      <c r="B79" s="2116"/>
      <c r="C79" s="2194"/>
      <c r="D79" s="2148" t="s">
        <v>2774</v>
      </c>
      <c r="E79" s="2195" t="n">
        <f aca="false">'Saisie et Calculateur'!J506</f>
        <v>0.422849462365591</v>
      </c>
      <c r="F79" s="2148"/>
      <c r="G79" s="2193"/>
      <c r="H79" s="2190"/>
      <c r="I79" s="2127"/>
      <c r="J79" s="2117"/>
      <c r="K79" s="2115"/>
    </row>
    <row r="80" customFormat="false" ht="14" hidden="false" customHeight="true" outlineLevel="0" collapsed="false">
      <c r="A80" s="2110"/>
      <c r="B80" s="2116"/>
      <c r="C80" s="972"/>
      <c r="D80" s="972"/>
      <c r="E80" s="2196"/>
      <c r="F80" s="972"/>
      <c r="G80" s="2197"/>
      <c r="H80" s="1632"/>
      <c r="I80" s="2198"/>
      <c r="J80" s="2117"/>
      <c r="K80" s="2115"/>
    </row>
    <row r="81" customFormat="false" ht="15" hidden="false" customHeight="true" outlineLevel="0" collapsed="false">
      <c r="A81" s="2110"/>
      <c r="B81" s="2149"/>
      <c r="C81" s="2132"/>
      <c r="D81" s="2132"/>
      <c r="E81" s="2132"/>
      <c r="F81" s="2132"/>
      <c r="G81" s="2199"/>
      <c r="H81" s="2200"/>
      <c r="I81" s="2198"/>
      <c r="J81" s="2117"/>
      <c r="K81" s="2115"/>
    </row>
    <row r="82" customFormat="false" ht="14" hidden="false" customHeight="true" outlineLevel="0" collapsed="false">
      <c r="A82" s="2110"/>
      <c r="B82" s="2149" t="s">
        <v>260</v>
      </c>
      <c r="C82" s="2150" t="s">
        <v>2775</v>
      </c>
      <c r="D82" s="2150"/>
      <c r="E82" s="2150"/>
      <c r="F82" s="2150"/>
      <c r="G82" s="2150"/>
      <c r="H82" s="2150"/>
      <c r="I82" s="2151" t="s">
        <v>2697</v>
      </c>
      <c r="J82" s="2117"/>
      <c r="K82" s="2115"/>
    </row>
    <row r="83" customFormat="false" ht="12.75" hidden="false" customHeight="true" outlineLevel="0" collapsed="false">
      <c r="A83" s="2110"/>
      <c r="B83" s="2149"/>
      <c r="C83" s="972"/>
      <c r="D83" s="972"/>
      <c r="E83" s="972"/>
      <c r="F83" s="972"/>
      <c r="G83" s="972"/>
      <c r="H83" s="972"/>
      <c r="I83" s="972"/>
      <c r="J83" s="2117"/>
      <c r="K83" s="2115"/>
    </row>
    <row r="84" customFormat="false" ht="25.5" hidden="false" customHeight="true" outlineLevel="0" collapsed="false">
      <c r="A84" s="2110"/>
      <c r="B84" s="2149"/>
      <c r="C84" s="2119" t="s">
        <v>2698</v>
      </c>
      <c r="D84" s="2119"/>
      <c r="E84" s="2119"/>
      <c r="F84" s="2119"/>
      <c r="G84" s="2119"/>
      <c r="H84" s="2120" t="s">
        <v>2699</v>
      </c>
      <c r="I84" s="1926" t="s">
        <v>2700</v>
      </c>
      <c r="J84" s="2117"/>
      <c r="K84" s="2115"/>
    </row>
    <row r="85" customFormat="false" ht="14" hidden="false" customHeight="true" outlineLevel="0" collapsed="false">
      <c r="A85" s="2110"/>
      <c r="B85" s="2149"/>
      <c r="C85" s="2201" t="s">
        <v>2776</v>
      </c>
      <c r="D85" s="2202"/>
      <c r="E85" s="2202"/>
      <c r="F85" s="2203" t="n">
        <f aca="false">E16</f>
        <v>0.320243104254324</v>
      </c>
      <c r="G85" s="2204" t="str">
        <f aca="false">IF(F85&gt;=0.75,"SCORE MAX", " ")</f>
        <v> </v>
      </c>
      <c r="H85" s="2126" t="n">
        <f aca="false">IF(F85&gt;=0.75,5,SUM(G86,G88,G93))</f>
        <v>3</v>
      </c>
      <c r="I85" s="2127" t="n">
        <f aca="false">MIN(5,H85)</f>
        <v>3</v>
      </c>
      <c r="J85" s="2117"/>
      <c r="K85" s="2115"/>
      <c r="N85" s="2181" t="s">
        <v>2777</v>
      </c>
      <c r="O85" s="2182" t="s">
        <v>609</v>
      </c>
      <c r="P85" s="2182"/>
      <c r="Q85" s="2182" t="s">
        <v>610</v>
      </c>
      <c r="R85" s="2182"/>
      <c r="S85" s="2184" t="s">
        <v>611</v>
      </c>
      <c r="T85" s="2184"/>
      <c r="U85" s="2184" t="s">
        <v>612</v>
      </c>
      <c r="V85" s="2184"/>
    </row>
    <row r="86" customFormat="false" ht="12.75" hidden="false" customHeight="true" outlineLevel="0" collapsed="false">
      <c r="A86" s="2110"/>
      <c r="B86" s="2149"/>
      <c r="C86" s="2143" t="s">
        <v>2778</v>
      </c>
      <c r="D86" s="2143"/>
      <c r="E86" s="2143"/>
      <c r="F86" s="972"/>
      <c r="G86" s="2205" t="n">
        <f aca="false">IF(E87=O85,O86,IF(E87=Q85,Q86,S86))</f>
        <v>2</v>
      </c>
      <c r="H86" s="2126"/>
      <c r="I86" s="2127"/>
      <c r="J86" s="2117"/>
      <c r="K86" s="2115"/>
      <c r="N86" s="2181" t="s">
        <v>2732</v>
      </c>
      <c r="O86" s="1675" t="n">
        <v>2</v>
      </c>
      <c r="P86" s="1675"/>
      <c r="Q86" s="1675" t="n">
        <v>1</v>
      </c>
      <c r="R86" s="1675"/>
      <c r="S86" s="1675" t="n">
        <v>0</v>
      </c>
      <c r="T86" s="1675"/>
      <c r="U86" s="1675" t="n">
        <v>0</v>
      </c>
      <c r="V86" s="1675"/>
    </row>
    <row r="87" customFormat="false" ht="14" hidden="false" customHeight="true" outlineLevel="0" collapsed="false">
      <c r="A87" s="2110"/>
      <c r="B87" s="2149"/>
      <c r="C87" s="2206" t="s">
        <v>2779</v>
      </c>
      <c r="D87" s="2206"/>
      <c r="E87" s="2185" t="str">
        <f aca="false">'Saisie et Calculateur'!J522</f>
        <v>sans phyto entretien écologique</v>
      </c>
      <c r="F87" s="2185"/>
      <c r="G87" s="2205"/>
      <c r="H87" s="2126"/>
      <c r="I87" s="2127"/>
      <c r="J87" s="2117"/>
      <c r="K87" s="2115"/>
    </row>
    <row r="88" customFormat="false" ht="12" hidden="false" customHeight="true" outlineLevel="0" collapsed="false">
      <c r="A88" s="2110"/>
      <c r="B88" s="2149"/>
      <c r="C88" s="2131" t="s">
        <v>2780</v>
      </c>
      <c r="D88" s="2131"/>
      <c r="E88" s="2131"/>
      <c r="F88" s="2131"/>
      <c r="G88" s="2157" t="n">
        <f aca="false">IF('Saisie et Calculateur'!B23="non",F90,MIN(F90,F92))</f>
        <v>1</v>
      </c>
      <c r="H88" s="2126"/>
      <c r="I88" s="2127"/>
      <c r="J88" s="2117"/>
      <c r="K88" s="2115"/>
      <c r="N88" s="2181" t="s">
        <v>2781</v>
      </c>
      <c r="O88" s="2181" t="s">
        <v>2782</v>
      </c>
    </row>
    <row r="89" customFormat="false" ht="14" hidden="false" customHeight="true" outlineLevel="0" collapsed="false">
      <c r="A89" s="2110"/>
      <c r="B89" s="2149"/>
      <c r="C89" s="2129"/>
      <c r="D89" s="2132" t="s">
        <v>2783</v>
      </c>
      <c r="E89" s="2132"/>
      <c r="F89" s="2132"/>
      <c r="G89" s="2157"/>
      <c r="H89" s="2126"/>
      <c r="I89" s="2127"/>
      <c r="J89" s="2117"/>
      <c r="K89" s="2115"/>
      <c r="N89" s="2207" t="n">
        <v>0.3</v>
      </c>
      <c r="O89" s="1857" t="n">
        <v>0</v>
      </c>
    </row>
    <row r="90" customFormat="false" ht="14" hidden="false" customHeight="true" outlineLevel="0" collapsed="false">
      <c r="A90" s="2110"/>
      <c r="B90" s="2149"/>
      <c r="C90" s="2131"/>
      <c r="D90" s="2132" t="s">
        <v>1110</v>
      </c>
      <c r="E90" s="2170" t="n">
        <f aca="false">'Saisie et Calculateur'!J525</f>
        <v>0.219436652641421</v>
      </c>
      <c r="F90" s="2208" t="n">
        <f aca="false">IF(E90&gt;N89,O89,IF(E90&gt;N90,O90,O91))</f>
        <v>1</v>
      </c>
      <c r="G90" s="2157"/>
      <c r="H90" s="2126"/>
      <c r="I90" s="2127"/>
      <c r="J90" s="2117"/>
      <c r="K90" s="2115"/>
      <c r="N90" s="2207" t="n">
        <v>0.1</v>
      </c>
      <c r="O90" s="1857" t="n">
        <v>1</v>
      </c>
    </row>
    <row r="91" customFormat="false" ht="14" hidden="false" customHeight="true" outlineLevel="0" collapsed="false">
      <c r="A91" s="2110"/>
      <c r="B91" s="2149"/>
      <c r="C91" s="2129"/>
      <c r="D91" s="2132" t="s">
        <v>2784</v>
      </c>
      <c r="E91" s="2132"/>
      <c r="F91" s="2132"/>
      <c r="G91" s="2157"/>
      <c r="H91" s="2126"/>
      <c r="I91" s="2127"/>
      <c r="J91" s="2117"/>
      <c r="K91" s="2115"/>
      <c r="O91" s="1857" t="n">
        <v>2</v>
      </c>
    </row>
    <row r="92" customFormat="false" ht="14" hidden="false" customHeight="true" outlineLevel="0" collapsed="false">
      <c r="A92" s="2110"/>
      <c r="B92" s="2149"/>
      <c r="C92" s="2129"/>
      <c r="D92" s="2132" t="s">
        <v>1110</v>
      </c>
      <c r="E92" s="2170" t="n">
        <f aca="false">'Saisie et Calculateur'!J527</f>
        <v>0.194552529182879</v>
      </c>
      <c r="F92" s="2208" t="n">
        <f aca="false">IF(E92&gt;N89,O89,IF(E92&gt;N90,O90,O91))</f>
        <v>1</v>
      </c>
      <c r="G92" s="2157"/>
      <c r="H92" s="2126"/>
      <c r="I92" s="2127"/>
      <c r="J92" s="2117"/>
      <c r="K92" s="2115"/>
    </row>
    <row r="93" customFormat="false" ht="14" hidden="false" customHeight="true" outlineLevel="0" collapsed="false">
      <c r="A93" s="2110"/>
      <c r="B93" s="2149"/>
      <c r="C93" s="2143" t="s">
        <v>2785</v>
      </c>
      <c r="D93" s="2143"/>
      <c r="E93" s="2143"/>
      <c r="F93" s="2143"/>
      <c r="G93" s="2209" t="n">
        <f aca="false">IF(E94=O94,O95,P95)</f>
        <v>0</v>
      </c>
      <c r="H93" s="2126"/>
      <c r="I93" s="2127"/>
      <c r="J93" s="2117"/>
      <c r="K93" s="2115"/>
    </row>
    <row r="94" customFormat="false" ht="15" hidden="false" customHeight="true" outlineLevel="0" collapsed="false">
      <c r="A94" s="2110"/>
      <c r="B94" s="2149"/>
      <c r="C94" s="2186"/>
      <c r="D94" s="2148"/>
      <c r="E94" s="2146" t="str">
        <f aca="false">'Saisie et Calculateur'!J530</f>
        <v>non</v>
      </c>
      <c r="F94" s="2210"/>
      <c r="G94" s="2209"/>
      <c r="H94" s="2126"/>
      <c r="I94" s="2127"/>
      <c r="J94" s="2117"/>
      <c r="K94" s="2115"/>
      <c r="N94" s="1857" t="s">
        <v>2786</v>
      </c>
      <c r="O94" s="2181" t="s">
        <v>242</v>
      </c>
      <c r="P94" s="2181" t="s">
        <v>243</v>
      </c>
    </row>
    <row r="95" customFormat="false" ht="14" hidden="false" customHeight="true" outlineLevel="0" collapsed="false">
      <c r="A95" s="2110"/>
      <c r="B95" s="2211"/>
      <c r="C95" s="2212"/>
      <c r="D95" s="2212"/>
      <c r="E95" s="2212"/>
      <c r="F95" s="2212"/>
      <c r="G95" s="2213"/>
      <c r="H95" s="2214"/>
      <c r="I95" s="2215"/>
      <c r="J95" s="2216"/>
      <c r="K95" s="2115"/>
      <c r="N95" s="1857" t="s">
        <v>2787</v>
      </c>
      <c r="O95" s="2181" t="n">
        <v>1</v>
      </c>
      <c r="P95" s="2181" t="n">
        <v>0</v>
      </c>
    </row>
    <row r="96" customFormat="false" ht="14" hidden="false" customHeight="true" outlineLevel="0" collapsed="false"/>
    <row r="97" customFormat="false" ht="14" hidden="false" customHeight="true" outlineLevel="0" collapsed="false">
      <c r="A97" s="2217" t="s">
        <v>2788</v>
      </c>
      <c r="B97" s="2218" t="s">
        <v>472</v>
      </c>
      <c r="C97" s="2219" t="s">
        <v>2789</v>
      </c>
      <c r="D97" s="2219"/>
      <c r="E97" s="2219"/>
      <c r="F97" s="2219"/>
      <c r="G97" s="2219"/>
      <c r="H97" s="2219"/>
      <c r="I97" s="2220" t="s">
        <v>2790</v>
      </c>
      <c r="J97" s="2221"/>
      <c r="K97" s="2222" t="n">
        <f aca="false">MIN(20,SUM(I100,I111,I121))</f>
        <v>12</v>
      </c>
    </row>
    <row r="98" customFormat="false" ht="14" hidden="false" customHeight="true" outlineLevel="0" collapsed="false">
      <c r="A98" s="2217"/>
      <c r="B98" s="2116"/>
      <c r="C98" s="972"/>
      <c r="D98" s="972"/>
      <c r="E98" s="972"/>
      <c r="F98" s="972"/>
      <c r="G98" s="972"/>
      <c r="H98" s="972"/>
      <c r="I98" s="972"/>
      <c r="J98" s="972"/>
      <c r="K98" s="2222"/>
      <c r="R98" s="1865"/>
    </row>
    <row r="99" customFormat="false" ht="24" hidden="false" customHeight="true" outlineLevel="0" collapsed="false">
      <c r="A99" s="2217"/>
      <c r="B99" s="2116"/>
      <c r="C99" s="1699" t="s">
        <v>2698</v>
      </c>
      <c r="D99" s="1699"/>
      <c r="E99" s="1699"/>
      <c r="F99" s="1699"/>
      <c r="G99" s="1699"/>
      <c r="H99" s="2120" t="s">
        <v>2699</v>
      </c>
      <c r="I99" s="1926" t="s">
        <v>2700</v>
      </c>
      <c r="J99" s="972"/>
      <c r="K99" s="2222"/>
      <c r="N99" s="1699" t="s">
        <v>2791</v>
      </c>
      <c r="O99" s="2223" t="s">
        <v>2792</v>
      </c>
      <c r="P99" s="2223"/>
      <c r="Q99" s="2224" t="s">
        <v>2793</v>
      </c>
      <c r="R99" s="2224"/>
      <c r="S99" s="2224"/>
      <c r="T99" s="2225" t="s">
        <v>1323</v>
      </c>
      <c r="U99" s="2129"/>
    </row>
    <row r="100" customFormat="false" ht="14" hidden="false" customHeight="true" outlineLevel="0" collapsed="false">
      <c r="A100" s="2217"/>
      <c r="B100" s="2116"/>
      <c r="C100" s="2226" t="s">
        <v>2794</v>
      </c>
      <c r="D100" s="2226"/>
      <c r="E100" s="2226"/>
      <c r="F100" s="2226"/>
      <c r="G100" s="2153" t="n">
        <f aca="false">IF(E101=O99,O100,IF(E101=Q99,Q100,T100))</f>
        <v>0</v>
      </c>
      <c r="H100" s="2227" t="n">
        <f aca="false">G100+G102+G104</f>
        <v>2</v>
      </c>
      <c r="I100" s="2127" t="n">
        <f aca="false">MIN(8,H100)</f>
        <v>2</v>
      </c>
      <c r="J100" s="972"/>
      <c r="K100" s="2222"/>
      <c r="N100" s="1874" t="s">
        <v>2772</v>
      </c>
      <c r="O100" s="2128" t="n">
        <v>3</v>
      </c>
      <c r="P100" s="2128"/>
      <c r="Q100" s="2158" t="n">
        <v>1</v>
      </c>
      <c r="R100" s="2158"/>
      <c r="S100" s="2158"/>
      <c r="T100" s="1857" t="n">
        <v>0</v>
      </c>
    </row>
    <row r="101" customFormat="false" ht="14" hidden="false" customHeight="true" outlineLevel="0" collapsed="false">
      <c r="A101" s="2217"/>
      <c r="B101" s="2116"/>
      <c r="C101" s="2228"/>
      <c r="D101" s="2156"/>
      <c r="E101" s="2156" t="str">
        <f aca="false">'Saisie et Calculateur'!H535</f>
        <v>Non</v>
      </c>
      <c r="F101" s="2229"/>
      <c r="G101" s="2153"/>
      <c r="H101" s="2227"/>
      <c r="I101" s="2127"/>
      <c r="J101" s="972"/>
      <c r="K101" s="2222"/>
    </row>
    <row r="102" customFormat="false" ht="14" hidden="false" customHeight="true" outlineLevel="0" collapsed="false">
      <c r="A102" s="2217"/>
      <c r="B102" s="2116"/>
      <c r="C102" s="2155" t="s">
        <v>2795</v>
      </c>
      <c r="D102" s="2156"/>
      <c r="E102" s="2156"/>
      <c r="F102" s="2156"/>
      <c r="G102" s="2230" t="n">
        <f aca="false">E103</f>
        <v>1</v>
      </c>
      <c r="H102" s="2227"/>
      <c r="I102" s="2127"/>
      <c r="J102" s="972"/>
      <c r="K102" s="2222"/>
      <c r="N102" s="2184" t="s">
        <v>2796</v>
      </c>
      <c r="O102" s="2181" t="s">
        <v>2782</v>
      </c>
    </row>
    <row r="103" customFormat="false" ht="14" hidden="false" customHeight="true" outlineLevel="0" collapsed="false">
      <c r="A103" s="2217"/>
      <c r="B103" s="2116"/>
      <c r="C103" s="2129"/>
      <c r="D103" s="2156"/>
      <c r="E103" s="2156" t="n">
        <f aca="false">'Saisie et Calculateur'!H542</f>
        <v>1</v>
      </c>
      <c r="F103" s="2156"/>
      <c r="G103" s="2230"/>
      <c r="H103" s="2227"/>
      <c r="I103" s="2127"/>
      <c r="J103" s="972"/>
      <c r="K103" s="2222"/>
      <c r="N103" s="2184"/>
      <c r="O103" s="2181"/>
    </row>
    <row r="104" customFormat="false" ht="14" hidden="false" customHeight="true" outlineLevel="0" collapsed="false">
      <c r="A104" s="2217"/>
      <c r="B104" s="2116"/>
      <c r="C104" s="2155" t="s">
        <v>2797</v>
      </c>
      <c r="D104" s="2156"/>
      <c r="E104" s="2156"/>
      <c r="F104" s="2156"/>
      <c r="G104" s="2193" t="n">
        <f aca="false">IF(E105&gt;N104,O104,IF(E105&gt;=N105,O105,IF(E105&gt;N106,O106,O107)))</f>
        <v>1</v>
      </c>
      <c r="H104" s="2227"/>
      <c r="I104" s="2127"/>
      <c r="J104" s="972"/>
      <c r="K104" s="2222"/>
      <c r="N104" s="2207" t="n">
        <v>0.6</v>
      </c>
      <c r="O104" s="1857" t="n">
        <v>3</v>
      </c>
    </row>
    <row r="105" customFormat="false" ht="14" hidden="false" customHeight="true" outlineLevel="0" collapsed="false">
      <c r="A105" s="2217"/>
      <c r="B105" s="2116"/>
      <c r="C105" s="2231"/>
      <c r="D105" s="2232"/>
      <c r="E105" s="2233" t="n">
        <f aca="false">'Saisie et Calculateur'!J544</f>
        <v>0.1358</v>
      </c>
      <c r="F105" s="2232"/>
      <c r="G105" s="2193"/>
      <c r="H105" s="2227"/>
      <c r="I105" s="2127"/>
      <c r="J105" s="972"/>
      <c r="K105" s="2222"/>
      <c r="N105" s="2207" t="n">
        <v>0.3</v>
      </c>
      <c r="O105" s="1857" t="n">
        <v>2</v>
      </c>
    </row>
    <row r="106" customFormat="false" ht="12.75" hidden="false" customHeight="true" outlineLevel="0" collapsed="false">
      <c r="A106" s="2217"/>
      <c r="B106" s="2116"/>
      <c r="C106" s="972"/>
      <c r="D106" s="972"/>
      <c r="E106" s="972"/>
      <c r="F106" s="972"/>
      <c r="G106" s="972"/>
      <c r="H106" s="972"/>
      <c r="I106" s="972"/>
      <c r="J106" s="972"/>
      <c r="K106" s="2222"/>
      <c r="N106" s="2188" t="n">
        <v>0</v>
      </c>
      <c r="O106" s="1857" t="n">
        <v>1</v>
      </c>
    </row>
    <row r="107" customFormat="false" ht="14" hidden="false" customHeight="true" outlineLevel="0" collapsed="false">
      <c r="A107" s="2217"/>
      <c r="B107" s="2149"/>
      <c r="C107" s="972"/>
      <c r="D107" s="972"/>
      <c r="E107" s="972"/>
      <c r="F107" s="972"/>
      <c r="G107" s="972"/>
      <c r="H107" s="972"/>
      <c r="I107" s="972"/>
      <c r="J107" s="972"/>
      <c r="K107" s="2222"/>
      <c r="N107" s="2189"/>
      <c r="O107" s="2234" t="n">
        <v>0</v>
      </c>
    </row>
    <row r="108" customFormat="false" ht="15" hidden="false" customHeight="true" outlineLevel="0" collapsed="false">
      <c r="A108" s="2217"/>
      <c r="B108" s="2149" t="s">
        <v>235</v>
      </c>
      <c r="C108" s="2235" t="s">
        <v>2798</v>
      </c>
      <c r="D108" s="2235"/>
      <c r="E108" s="2235"/>
      <c r="F108" s="2235"/>
      <c r="G108" s="2235"/>
      <c r="H108" s="2235"/>
      <c r="I108" s="2236" t="s">
        <v>2790</v>
      </c>
      <c r="J108" s="972"/>
      <c r="K108" s="2222"/>
    </row>
    <row r="109" customFormat="false" ht="14" hidden="false" customHeight="true" outlineLevel="0" collapsed="false">
      <c r="A109" s="2217"/>
      <c r="B109" s="2149"/>
      <c r="C109" s="972"/>
      <c r="D109" s="972"/>
      <c r="E109" s="972"/>
      <c r="F109" s="972"/>
      <c r="G109" s="972"/>
      <c r="H109" s="972"/>
      <c r="I109" s="972"/>
      <c r="J109" s="972"/>
      <c r="K109" s="2222"/>
      <c r="N109" s="1874" t="s">
        <v>2799</v>
      </c>
      <c r="O109" s="2142" t="n">
        <v>1</v>
      </c>
      <c r="P109" s="2142" t="n">
        <v>0.9</v>
      </c>
      <c r="Q109" s="1874"/>
      <c r="R109" s="2200"/>
      <c r="S109" s="972"/>
    </row>
    <row r="110" customFormat="false" ht="25.5" hidden="false" customHeight="true" outlineLevel="0" collapsed="false">
      <c r="A110" s="2217"/>
      <c r="B110" s="2149"/>
      <c r="C110" s="2158" t="s">
        <v>2698</v>
      </c>
      <c r="D110" s="2158"/>
      <c r="E110" s="2158"/>
      <c r="F110" s="2158"/>
      <c r="G110" s="2158"/>
      <c r="H110" s="2120" t="s">
        <v>2699</v>
      </c>
      <c r="I110" s="1926" t="s">
        <v>2700</v>
      </c>
      <c r="J110" s="972"/>
      <c r="K110" s="2222"/>
      <c r="N110" s="1874" t="s">
        <v>2732</v>
      </c>
      <c r="O110" s="1874" t="n">
        <v>8</v>
      </c>
      <c r="P110" s="1874" t="n">
        <v>4</v>
      </c>
      <c r="Q110" s="1874" t="n">
        <v>0</v>
      </c>
      <c r="R110" s="2118"/>
      <c r="S110" s="2200"/>
    </row>
    <row r="111" customFormat="false" ht="12.75" hidden="false" customHeight="true" outlineLevel="0" collapsed="false">
      <c r="A111" s="2217"/>
      <c r="B111" s="2149"/>
      <c r="C111" s="2237" t="s">
        <v>2800</v>
      </c>
      <c r="D111" s="2237"/>
      <c r="E111" s="2238" t="str">
        <f aca="false">'Saisie et Calculateur'!B549</f>
        <v>herbivore</v>
      </c>
      <c r="F111" s="2238"/>
      <c r="G111" s="2238"/>
      <c r="H111" s="2239" t="n">
        <f aca="false">IF(E111="pas d'élevage",0,IF(E111="monogastrique",G114,IF(E111="herbivore",ROUND(G112*0.7+G114*0.3,0),0)))</f>
        <v>6</v>
      </c>
      <c r="I111" s="2127" t="n">
        <f aca="false">MIN(8,H111)</f>
        <v>6</v>
      </c>
      <c r="J111" s="972"/>
      <c r="K111" s="2222"/>
      <c r="N111" s="2118"/>
      <c r="O111" s="2118"/>
      <c r="P111" s="2118"/>
      <c r="Q111" s="2118"/>
      <c r="R111" s="2118"/>
      <c r="S111" s="2200"/>
    </row>
    <row r="112" customFormat="false" ht="14" hidden="false" customHeight="true" outlineLevel="0" collapsed="false">
      <c r="A112" s="2217"/>
      <c r="B112" s="2149"/>
      <c r="C112" s="2129" t="s">
        <v>2801</v>
      </c>
      <c r="D112" s="972"/>
      <c r="E112" s="2196"/>
      <c r="F112" s="972"/>
      <c r="G112" s="2230" t="n">
        <f aca="false">IF(E113&gt;=O109,O110,IF(E113&gt;=P109,P110,Q110))</f>
        <v>8</v>
      </c>
      <c r="H112" s="2239"/>
      <c r="I112" s="2127"/>
      <c r="J112" s="972"/>
      <c r="K112" s="2222"/>
      <c r="N112" s="1857" t="s">
        <v>2802</v>
      </c>
      <c r="O112" s="2240" t="n">
        <v>0.8</v>
      </c>
      <c r="P112" s="2240" t="n">
        <v>0.5</v>
      </c>
      <c r="Q112" s="1857"/>
    </row>
    <row r="113" customFormat="false" ht="14" hidden="false" customHeight="true" outlineLevel="0" collapsed="false">
      <c r="A113" s="2217"/>
      <c r="B113" s="2149"/>
      <c r="C113" s="2129"/>
      <c r="D113" s="972" t="s">
        <v>1110</v>
      </c>
      <c r="E113" s="2180" t="n">
        <f aca="false">'Saisie et Calculateur'!J552</f>
        <v>1</v>
      </c>
      <c r="F113" s="972"/>
      <c r="G113" s="2230"/>
      <c r="H113" s="2239"/>
      <c r="I113" s="2127"/>
      <c r="J113" s="972"/>
      <c r="K113" s="2222"/>
      <c r="N113" s="1857" t="s">
        <v>2772</v>
      </c>
      <c r="O113" s="1857" t="n">
        <v>8</v>
      </c>
      <c r="P113" s="1857" t="n">
        <v>4</v>
      </c>
      <c r="Q113" s="1857" t="n">
        <v>0</v>
      </c>
      <c r="R113" s="1865"/>
      <c r="S113" s="1865"/>
      <c r="T113" s="1865"/>
    </row>
    <row r="114" customFormat="false" ht="14" hidden="false" customHeight="true" outlineLevel="0" collapsed="false">
      <c r="A114" s="2217"/>
      <c r="B114" s="2149"/>
      <c r="C114" s="2192" t="s">
        <v>2803</v>
      </c>
      <c r="D114" s="2192"/>
      <c r="E114" s="2192"/>
      <c r="F114" s="2192"/>
      <c r="G114" s="2144" t="n">
        <f aca="false">IF(E115&gt;=O112,O113,IF(E115&gt;=P112,P113,Q113))</f>
        <v>0</v>
      </c>
      <c r="H114" s="2239"/>
      <c r="I114" s="2127"/>
      <c r="J114" s="972"/>
      <c r="K114" s="2222"/>
      <c r="R114" s="1865"/>
      <c r="S114" s="1865"/>
      <c r="T114" s="1865"/>
    </row>
    <row r="115" customFormat="false" ht="14" hidden="false" customHeight="true" outlineLevel="0" collapsed="false">
      <c r="A115" s="2217"/>
      <c r="B115" s="2149"/>
      <c r="C115" s="2194"/>
      <c r="D115" s="2241" t="s">
        <v>1110</v>
      </c>
      <c r="E115" s="2242" t="n">
        <f aca="false">'Saisie et Calculateur'!J555</f>
        <v>0</v>
      </c>
      <c r="F115" s="2148"/>
      <c r="G115" s="2144"/>
      <c r="H115" s="2239"/>
      <c r="I115" s="2127"/>
      <c r="J115" s="972"/>
      <c r="K115" s="2222"/>
    </row>
    <row r="116" customFormat="false" ht="14" hidden="false" customHeight="true" outlineLevel="0" collapsed="false">
      <c r="A116" s="2217"/>
      <c r="B116" s="2149"/>
      <c r="C116" s="972"/>
      <c r="D116" s="972"/>
      <c r="E116" s="972"/>
      <c r="F116" s="972"/>
      <c r="G116" s="972"/>
      <c r="H116" s="972"/>
      <c r="I116" s="972"/>
      <c r="J116" s="972"/>
      <c r="K116" s="2222"/>
    </row>
    <row r="117" customFormat="false" ht="14" hidden="false" customHeight="true" outlineLevel="0" collapsed="false">
      <c r="A117" s="2217"/>
      <c r="B117" s="2149"/>
      <c r="C117" s="972"/>
      <c r="D117" s="972"/>
      <c r="E117" s="972"/>
      <c r="F117" s="972"/>
      <c r="G117" s="2161"/>
      <c r="H117" s="972"/>
      <c r="I117" s="972"/>
      <c r="J117" s="972"/>
      <c r="K117" s="2222"/>
    </row>
    <row r="118" customFormat="false" ht="14" hidden="false" customHeight="true" outlineLevel="0" collapsed="false">
      <c r="A118" s="2217"/>
      <c r="B118" s="2149" t="s">
        <v>503</v>
      </c>
      <c r="C118" s="2235" t="s">
        <v>2804</v>
      </c>
      <c r="D118" s="2235"/>
      <c r="E118" s="2235"/>
      <c r="F118" s="2235"/>
      <c r="G118" s="2235"/>
      <c r="H118" s="2235"/>
      <c r="I118" s="2236" t="s">
        <v>2790</v>
      </c>
      <c r="J118" s="972"/>
      <c r="K118" s="2222"/>
    </row>
    <row r="119" customFormat="false" ht="14" hidden="false" customHeight="true" outlineLevel="0" collapsed="false">
      <c r="A119" s="2217"/>
      <c r="B119" s="2149"/>
      <c r="C119" s="972"/>
      <c r="D119" s="972"/>
      <c r="E119" s="972"/>
      <c r="F119" s="972"/>
      <c r="G119" s="972"/>
      <c r="H119" s="972"/>
      <c r="I119" s="972"/>
      <c r="J119" s="972"/>
      <c r="K119" s="2222"/>
      <c r="N119" s="2181" t="s">
        <v>2805</v>
      </c>
      <c r="O119" s="2240" t="n">
        <v>0.6</v>
      </c>
      <c r="P119" s="2240" t="n">
        <v>0.3</v>
      </c>
      <c r="Q119" s="2240" t="n">
        <v>0</v>
      </c>
      <c r="R119" s="2240" t="s">
        <v>2806</v>
      </c>
    </row>
    <row r="120" customFormat="false" ht="25.5" hidden="false" customHeight="true" outlineLevel="0" collapsed="false">
      <c r="A120" s="2217"/>
      <c r="B120" s="2149"/>
      <c r="C120" s="2119" t="s">
        <v>2698</v>
      </c>
      <c r="D120" s="2119"/>
      <c r="E120" s="2119"/>
      <c r="F120" s="2119"/>
      <c r="G120" s="2119"/>
      <c r="H120" s="2120" t="s">
        <v>2699</v>
      </c>
      <c r="I120" s="2120" t="s">
        <v>2700</v>
      </c>
      <c r="J120" s="972"/>
      <c r="K120" s="2222"/>
      <c r="N120" s="1699" t="s">
        <v>2772</v>
      </c>
      <c r="O120" s="1699" t="n">
        <v>6</v>
      </c>
      <c r="P120" s="1699" t="n">
        <v>4</v>
      </c>
      <c r="Q120" s="1699" t="n">
        <v>2</v>
      </c>
      <c r="R120" s="1699" t="n">
        <v>0</v>
      </c>
    </row>
    <row r="121" customFormat="false" ht="14" hidden="false" customHeight="true" outlineLevel="0" collapsed="false">
      <c r="A121" s="2217"/>
      <c r="B121" s="2116"/>
      <c r="C121" s="2243" t="s">
        <v>2807</v>
      </c>
      <c r="D121" s="2243"/>
      <c r="E121" s="2243"/>
      <c r="F121" s="2243"/>
      <c r="G121" s="2244" t="n">
        <f aca="false">IF(E122&gt;=O119,O120,IF(E122&gt;=P119,P120,IF(E122&gt;Q119,Q120,R120)))</f>
        <v>2</v>
      </c>
      <c r="H121" s="2239" t="n">
        <f aca="false">IF(E16=1,8,G123+G121)</f>
        <v>4</v>
      </c>
      <c r="I121" s="2127" t="n">
        <f aca="false">MIN(8,H121)</f>
        <v>4</v>
      </c>
      <c r="J121" s="972"/>
      <c r="K121" s="2222"/>
    </row>
    <row r="122" customFormat="false" ht="14" hidden="false" customHeight="true" outlineLevel="0" collapsed="false">
      <c r="A122" s="2217"/>
      <c r="B122" s="2116"/>
      <c r="C122" s="2143"/>
      <c r="D122" s="2132" t="s">
        <v>1110</v>
      </c>
      <c r="E122" s="2170" t="n">
        <f aca="false">'Saisie et Calculateur'!J562</f>
        <v>0.121555915721232</v>
      </c>
      <c r="F122" s="972"/>
      <c r="G122" s="2244"/>
      <c r="H122" s="2239"/>
      <c r="I122" s="2127"/>
      <c r="J122" s="972"/>
      <c r="K122" s="2222"/>
      <c r="N122" s="1699" t="s">
        <v>2808</v>
      </c>
      <c r="O122" s="2142" t="n">
        <v>0.4</v>
      </c>
      <c r="P122" s="2142" t="n">
        <v>0.3</v>
      </c>
      <c r="Q122" s="2142" t="n">
        <v>0.2</v>
      </c>
      <c r="R122" s="2245" t="n">
        <v>0.05</v>
      </c>
      <c r="S122" s="1857" t="s">
        <v>2806</v>
      </c>
      <c r="T122" s="146"/>
    </row>
    <row r="123" customFormat="false" ht="14" hidden="false" customHeight="true" outlineLevel="0" collapsed="false">
      <c r="A123" s="2217"/>
      <c r="B123" s="2116"/>
      <c r="C123" s="2131" t="s">
        <v>2809</v>
      </c>
      <c r="D123" s="2131"/>
      <c r="E123" s="2131"/>
      <c r="F123" s="2131"/>
      <c r="G123" s="2193" t="n">
        <f aca="false">IF(E124&gt;=O122,O123,IF(E124&gt;=P122,P123,IF(E124&gt;=Q122,Q123,IF(E124&gt;=R122,R123,S123))))</f>
        <v>2</v>
      </c>
      <c r="H123" s="2239"/>
      <c r="I123" s="2127"/>
      <c r="J123" s="972"/>
      <c r="K123" s="2222"/>
      <c r="N123" s="1699" t="s">
        <v>2772</v>
      </c>
      <c r="O123" s="1699" t="n">
        <v>4</v>
      </c>
      <c r="P123" s="1699" t="n">
        <v>3</v>
      </c>
      <c r="Q123" s="1699" t="n">
        <v>2</v>
      </c>
      <c r="R123" s="2173" t="n">
        <v>1</v>
      </c>
      <c r="S123" s="1699" t="n">
        <v>0</v>
      </c>
    </row>
    <row r="124" customFormat="false" ht="14" hidden="false" customHeight="true" outlineLevel="0" collapsed="false">
      <c r="A124" s="2217"/>
      <c r="B124" s="2116"/>
      <c r="C124" s="2194"/>
      <c r="D124" s="2148" t="s">
        <v>1110</v>
      </c>
      <c r="E124" s="2233" t="n">
        <f aca="false">'Saisie et Calculateur'!J567</f>
        <v>0.201220770288858</v>
      </c>
      <c r="F124" s="2148"/>
      <c r="G124" s="2193"/>
      <c r="H124" s="2239"/>
      <c r="I124" s="2127"/>
      <c r="J124" s="972"/>
      <c r="K124" s="2222"/>
      <c r="S124" s="146"/>
      <c r="T124" s="146"/>
    </row>
    <row r="125" customFormat="false" ht="14" hidden="false" customHeight="true" outlineLevel="0" collapsed="false">
      <c r="A125" s="2217"/>
      <c r="B125" s="2116"/>
      <c r="C125" s="972"/>
      <c r="D125" s="972"/>
      <c r="E125" s="972"/>
      <c r="F125" s="972"/>
      <c r="G125" s="972"/>
      <c r="H125" s="972"/>
      <c r="I125" s="972"/>
      <c r="J125" s="972"/>
      <c r="K125" s="2222"/>
    </row>
    <row r="126" customFormat="false" ht="14" hidden="false" customHeight="true" outlineLevel="0" collapsed="false">
      <c r="A126" s="2217"/>
      <c r="B126" s="2116"/>
      <c r="C126" s="972"/>
      <c r="D126" s="972"/>
      <c r="E126" s="972"/>
      <c r="F126" s="972"/>
      <c r="G126" s="972"/>
      <c r="H126" s="972"/>
      <c r="I126" s="972"/>
      <c r="J126" s="972"/>
      <c r="K126" s="2222"/>
    </row>
    <row r="127" customFormat="false" ht="14" hidden="false" customHeight="true" outlineLevel="0" collapsed="false">
      <c r="A127" s="2217"/>
      <c r="B127" s="2246"/>
      <c r="C127" s="2247"/>
      <c r="D127" s="2247"/>
      <c r="E127" s="2247"/>
      <c r="F127" s="2247"/>
      <c r="G127" s="2248"/>
      <c r="H127" s="2248"/>
      <c r="I127" s="2248"/>
      <c r="J127" s="2248"/>
      <c r="K127" s="2222"/>
    </row>
    <row r="128" customFormat="false" ht="13.5" hidden="false" customHeight="true" outlineLevel="0" collapsed="false"/>
    <row r="129" customFormat="false" ht="15" hidden="false" customHeight="true" outlineLevel="0" collapsed="false">
      <c r="A129" s="2249" t="s">
        <v>2810</v>
      </c>
      <c r="B129" s="2218" t="s">
        <v>555</v>
      </c>
      <c r="C129" s="2219" t="s">
        <v>2811</v>
      </c>
      <c r="D129" s="2219"/>
      <c r="E129" s="2219"/>
      <c r="F129" s="2219"/>
      <c r="G129" s="2219"/>
      <c r="H129" s="2219"/>
      <c r="I129" s="2220" t="s">
        <v>2790</v>
      </c>
      <c r="J129" s="2221"/>
      <c r="K129" s="2250" t="n">
        <f aca="false">MIN(20,SUM(I132,I140,I147))</f>
        <v>20</v>
      </c>
    </row>
    <row r="130" customFormat="false" ht="14" hidden="false" customHeight="true" outlineLevel="0" collapsed="false">
      <c r="A130" s="2249"/>
      <c r="B130" s="2116"/>
      <c r="C130" s="972"/>
      <c r="D130" s="972"/>
      <c r="E130" s="972"/>
      <c r="F130" s="972"/>
      <c r="G130" s="972"/>
      <c r="H130" s="972"/>
      <c r="I130" s="972"/>
      <c r="J130" s="972"/>
      <c r="K130" s="2250"/>
    </row>
    <row r="131" customFormat="false" ht="25.5" hidden="false" customHeight="true" outlineLevel="0" collapsed="false">
      <c r="A131" s="2249"/>
      <c r="B131" s="2116"/>
      <c r="C131" s="2158" t="s">
        <v>2698</v>
      </c>
      <c r="D131" s="2158"/>
      <c r="E131" s="2158"/>
      <c r="F131" s="2158"/>
      <c r="G131" s="2158"/>
      <c r="H131" s="2120" t="s">
        <v>2699</v>
      </c>
      <c r="I131" s="1926" t="s">
        <v>2700</v>
      </c>
      <c r="J131" s="972"/>
      <c r="K131" s="2250"/>
    </row>
    <row r="132" customFormat="false" ht="14" hidden="false" customHeight="true" outlineLevel="0" collapsed="false">
      <c r="A132" s="2249"/>
      <c r="B132" s="2116"/>
      <c r="C132" s="2124" t="s">
        <v>2812</v>
      </c>
      <c r="D132" s="2124"/>
      <c r="E132" s="2124"/>
      <c r="F132" s="2251" t="str">
        <f aca="false">'Saisie et Calculateur'!D575</f>
        <v>Oui</v>
      </c>
      <c r="G132" s="2252" t="n">
        <f aca="false">IF(F132="Non",8,0)</f>
        <v>0</v>
      </c>
      <c r="H132" s="2239" t="n">
        <f aca="false">IF(G132=8,8,G133)</f>
        <v>8</v>
      </c>
      <c r="I132" s="2127" t="n">
        <f aca="false">MIN(8,H132)</f>
        <v>8</v>
      </c>
      <c r="J132" s="972"/>
      <c r="K132" s="2250"/>
    </row>
    <row r="133" customFormat="false" ht="14" hidden="false" customHeight="true" outlineLevel="0" collapsed="false">
      <c r="A133" s="2249"/>
      <c r="B133" s="2116"/>
      <c r="C133" s="2145" t="s">
        <v>2813</v>
      </c>
      <c r="D133" s="2145"/>
      <c r="E133" s="2145"/>
      <c r="F133" s="2145"/>
      <c r="G133" s="2253" t="n">
        <f aca="false">'Saisie et Calculateur'!H588</f>
        <v>8</v>
      </c>
      <c r="H133" s="2239"/>
      <c r="I133" s="2127"/>
      <c r="J133" s="972"/>
      <c r="K133" s="2250"/>
    </row>
    <row r="134" customFormat="false" ht="14" hidden="false" customHeight="true" outlineLevel="0" collapsed="false">
      <c r="A134" s="2249"/>
      <c r="B134" s="2116"/>
      <c r="C134" s="2145"/>
      <c r="D134" s="2145"/>
      <c r="E134" s="2145"/>
      <c r="F134" s="2145"/>
      <c r="G134" s="2253"/>
      <c r="H134" s="2239"/>
      <c r="I134" s="2127"/>
      <c r="J134" s="972"/>
      <c r="K134" s="2250"/>
    </row>
    <row r="135" customFormat="false" ht="14" hidden="false" customHeight="true" outlineLevel="0" collapsed="false">
      <c r="A135" s="2249"/>
      <c r="B135" s="2116"/>
      <c r="C135" s="972"/>
      <c r="D135" s="972"/>
      <c r="E135" s="972"/>
      <c r="F135" s="972"/>
      <c r="G135" s="972"/>
      <c r="H135" s="972"/>
      <c r="I135" s="972"/>
      <c r="J135" s="972"/>
      <c r="K135" s="2250"/>
    </row>
    <row r="136" customFormat="false" ht="14" hidden="false" customHeight="true" outlineLevel="0" collapsed="false">
      <c r="A136" s="2249"/>
      <c r="B136" s="2116"/>
      <c r="C136" s="972"/>
      <c r="D136" s="972"/>
      <c r="E136" s="972"/>
      <c r="F136" s="972"/>
      <c r="G136" s="972"/>
      <c r="H136" s="972"/>
      <c r="I136" s="972"/>
      <c r="J136" s="972"/>
      <c r="K136" s="2250"/>
    </row>
    <row r="137" customFormat="false" ht="14" hidden="false" customHeight="true" outlineLevel="0" collapsed="false">
      <c r="A137" s="2249"/>
      <c r="B137" s="2116" t="s">
        <v>2814</v>
      </c>
      <c r="C137" s="2235" t="s">
        <v>2815</v>
      </c>
      <c r="D137" s="2235"/>
      <c r="E137" s="2235"/>
      <c r="F137" s="2235"/>
      <c r="G137" s="2235"/>
      <c r="H137" s="2235"/>
      <c r="I137" s="2236" t="s">
        <v>2790</v>
      </c>
      <c r="J137" s="972"/>
      <c r="K137" s="2250"/>
      <c r="N137" s="1874" t="s">
        <v>2816</v>
      </c>
      <c r="O137" s="2254" t="n">
        <v>20</v>
      </c>
      <c r="P137" s="2254" t="n">
        <v>30</v>
      </c>
      <c r="Q137" s="2255" t="n">
        <v>40</v>
      </c>
      <c r="R137" s="2254" t="n">
        <v>60</v>
      </c>
      <c r="S137" s="2189"/>
    </row>
    <row r="138" customFormat="false" ht="14" hidden="false" customHeight="true" outlineLevel="0" collapsed="false">
      <c r="A138" s="2249"/>
      <c r="B138" s="2116"/>
      <c r="C138" s="972"/>
      <c r="D138" s="972"/>
      <c r="E138" s="972"/>
      <c r="F138" s="972"/>
      <c r="G138" s="972"/>
      <c r="H138" s="972"/>
      <c r="I138" s="972"/>
      <c r="J138" s="972"/>
      <c r="K138" s="2250"/>
      <c r="N138" s="1874" t="s">
        <v>2732</v>
      </c>
      <c r="O138" s="1874" t="n">
        <v>8</v>
      </c>
      <c r="P138" s="1874" t="n">
        <v>6</v>
      </c>
      <c r="Q138" s="2128" t="n">
        <v>4</v>
      </c>
      <c r="R138" s="1699" t="n">
        <v>2</v>
      </c>
      <c r="S138" s="1699" t="n">
        <v>0</v>
      </c>
    </row>
    <row r="139" customFormat="false" ht="43" hidden="false" customHeight="false" outlineLevel="0" collapsed="false">
      <c r="A139" s="2249"/>
      <c r="B139" s="2116"/>
      <c r="C139" s="2158" t="s">
        <v>2698</v>
      </c>
      <c r="D139" s="2158"/>
      <c r="E139" s="2158"/>
      <c r="F139" s="2158"/>
      <c r="G139" s="2158"/>
      <c r="H139" s="2120" t="s">
        <v>2699</v>
      </c>
      <c r="I139" s="1926" t="s">
        <v>2700</v>
      </c>
      <c r="J139" s="972"/>
      <c r="K139" s="2250"/>
    </row>
    <row r="140" customFormat="false" ht="14" hidden="false" customHeight="true" outlineLevel="0" collapsed="false">
      <c r="A140" s="2249"/>
      <c r="B140" s="2116"/>
      <c r="C140" s="2174" t="s">
        <v>1383</v>
      </c>
      <c r="D140" s="2174"/>
      <c r="E140" s="2174"/>
      <c r="F140" s="2174"/>
      <c r="G140" s="2256" t="n">
        <f aca="false">IF(E141&lt;=O137,O138,IF(E141&lt;=P137,P138,IF(E141&lt;=Q137,Q138,IF(E141&lt;=R137,R138,S138))))</f>
        <v>8</v>
      </c>
      <c r="H140" s="1699" t="n">
        <f aca="false">G140</f>
        <v>8</v>
      </c>
      <c r="I140" s="2178" t="n">
        <f aca="false">MIN(8,H140)</f>
        <v>8</v>
      </c>
      <c r="J140" s="972"/>
      <c r="K140" s="2250"/>
      <c r="N140" s="2118"/>
      <c r="O140" s="2118"/>
      <c r="P140" s="2118"/>
      <c r="Q140" s="2118"/>
      <c r="R140" s="2118"/>
      <c r="S140" s="972"/>
    </row>
    <row r="141" customFormat="false" ht="14" hidden="false" customHeight="true" outlineLevel="0" collapsed="false">
      <c r="A141" s="2249"/>
      <c r="B141" s="2116"/>
      <c r="C141" s="2145"/>
      <c r="D141" s="2146" t="s">
        <v>2817</v>
      </c>
      <c r="E141" s="2257" t="n">
        <f aca="false">'Saisie et Calculateur'!F595</f>
        <v>4.67508181393175</v>
      </c>
      <c r="F141" s="2146"/>
      <c r="G141" s="2256"/>
      <c r="H141" s="1699"/>
      <c r="I141" s="2178"/>
      <c r="J141" s="972"/>
      <c r="K141" s="2250"/>
      <c r="Q141" s="2118"/>
      <c r="R141" s="2118"/>
      <c r="S141" s="972"/>
    </row>
    <row r="142" customFormat="false" ht="14" hidden="false" customHeight="true" outlineLevel="0" collapsed="false">
      <c r="A142" s="2249"/>
      <c r="J142" s="972"/>
      <c r="K142" s="2250"/>
      <c r="Q142" s="2118"/>
      <c r="R142" s="2118"/>
      <c r="S142" s="972"/>
    </row>
    <row r="143" customFormat="false" ht="14" hidden="false" customHeight="true" outlineLevel="0" collapsed="false">
      <c r="A143" s="2249"/>
      <c r="J143" s="972"/>
      <c r="K143" s="2250"/>
      <c r="M143" s="146"/>
      <c r="N143" s="2200"/>
      <c r="O143" s="2200"/>
      <c r="P143" s="2118"/>
      <c r="Q143" s="2118"/>
      <c r="R143" s="2118"/>
    </row>
    <row r="144" customFormat="false" ht="14" hidden="false" customHeight="true" outlineLevel="0" collapsed="false">
      <c r="A144" s="2249"/>
      <c r="B144" s="2149" t="s">
        <v>530</v>
      </c>
      <c r="C144" s="2235" t="s">
        <v>2818</v>
      </c>
      <c r="D144" s="2235"/>
      <c r="E144" s="2235"/>
      <c r="F144" s="2235"/>
      <c r="G144" s="2235"/>
      <c r="H144" s="2235"/>
      <c r="I144" s="2236" t="s">
        <v>2790</v>
      </c>
      <c r="J144" s="972"/>
      <c r="K144" s="2250"/>
      <c r="M144" s="146"/>
      <c r="N144" s="1874" t="s">
        <v>2819</v>
      </c>
      <c r="O144" s="1874" t="n">
        <v>200</v>
      </c>
      <c r="P144" s="1874" t="n">
        <v>300</v>
      </c>
      <c r="Q144" s="1874" t="n">
        <v>450</v>
      </c>
      <c r="R144" s="1874" t="n">
        <v>600</v>
      </c>
      <c r="S144" s="2128" t="n">
        <v>750</v>
      </c>
      <c r="T144" s="1699" t="n">
        <v>900</v>
      </c>
      <c r="U144" s="1699" t="n">
        <v>1100</v>
      </c>
      <c r="V144" s="1699" t="n">
        <v>1300</v>
      </c>
      <c r="W144" s="2189"/>
    </row>
    <row r="145" customFormat="false" ht="12" hidden="false" customHeight="true" outlineLevel="0" collapsed="false">
      <c r="A145" s="2249"/>
      <c r="B145" s="2116"/>
      <c r="C145" s="972"/>
      <c r="D145" s="972"/>
      <c r="E145" s="972"/>
      <c r="F145" s="972"/>
      <c r="G145" s="972"/>
      <c r="H145" s="972"/>
      <c r="I145" s="972"/>
      <c r="J145" s="972"/>
      <c r="K145" s="2250"/>
      <c r="N145" s="1874" t="s">
        <v>2732</v>
      </c>
      <c r="O145" s="1874" t="n">
        <v>8</v>
      </c>
      <c r="P145" s="1874" t="n">
        <v>7</v>
      </c>
      <c r="Q145" s="1874" t="n">
        <v>6</v>
      </c>
      <c r="R145" s="1874" t="n">
        <v>5</v>
      </c>
      <c r="S145" s="2128" t="n">
        <v>4</v>
      </c>
      <c r="T145" s="1699" t="n">
        <v>3</v>
      </c>
      <c r="U145" s="1699" t="n">
        <v>2</v>
      </c>
      <c r="V145" s="1699" t="n">
        <v>1</v>
      </c>
      <c r="W145" s="1699" t="n">
        <v>0</v>
      </c>
    </row>
    <row r="146" customFormat="false" ht="25.5" hidden="false" customHeight="true" outlineLevel="0" collapsed="false">
      <c r="A146" s="2249"/>
      <c r="C146" s="2119" t="s">
        <v>2698</v>
      </c>
      <c r="D146" s="2119"/>
      <c r="E146" s="2119"/>
      <c r="F146" s="2119"/>
      <c r="G146" s="2119"/>
      <c r="H146" s="2120" t="s">
        <v>2699</v>
      </c>
      <c r="I146" s="1926" t="s">
        <v>2700</v>
      </c>
      <c r="J146" s="972"/>
      <c r="K146" s="2250"/>
    </row>
    <row r="147" customFormat="false" ht="14" hidden="false" customHeight="true" outlineLevel="0" collapsed="false">
      <c r="A147" s="2249"/>
      <c r="C147" s="2124" t="s">
        <v>2820</v>
      </c>
      <c r="D147" s="2124"/>
      <c r="E147" s="2124"/>
      <c r="F147" s="2124"/>
      <c r="G147" s="2256" t="n">
        <f aca="false">IF(E148&lt;O144,O145,IF(E148&lt;P144,P145,IF(E148&lt;Q144,Q145,IF(E148&lt;R144,R145,IF(E148&lt;S144,S145,IF(E148&lt;T144,T145,IF(E148&lt;U144,U145,IF(E148&lt;V144,V145,W145))))))))</f>
        <v>8</v>
      </c>
      <c r="H147" s="1699" t="n">
        <f aca="false">G147</f>
        <v>8</v>
      </c>
      <c r="I147" s="2127" t="n">
        <f aca="false">MIN(8,H147)</f>
        <v>8</v>
      </c>
      <c r="J147" s="972"/>
      <c r="K147" s="2250"/>
    </row>
    <row r="148" customFormat="false" ht="14" hidden="false" customHeight="true" outlineLevel="0" collapsed="false">
      <c r="A148" s="2249"/>
      <c r="C148" s="2186"/>
      <c r="D148" s="2146" t="s">
        <v>1392</v>
      </c>
      <c r="E148" s="2258" t="n">
        <f aca="false">'Saisie et Calculateur'!J620</f>
        <v>182.507358683246</v>
      </c>
      <c r="F148" s="2146"/>
      <c r="G148" s="2256"/>
      <c r="H148" s="1699"/>
      <c r="I148" s="2127"/>
      <c r="J148" s="972"/>
      <c r="K148" s="2250"/>
    </row>
    <row r="149" customFormat="false" ht="14" hidden="false" customHeight="true" outlineLevel="0" collapsed="false">
      <c r="A149" s="2249"/>
      <c r="B149" s="2246"/>
      <c r="C149" s="2247"/>
      <c r="D149" s="2247"/>
      <c r="E149" s="2247"/>
      <c r="F149" s="2247"/>
      <c r="G149" s="2248"/>
      <c r="H149" s="2248"/>
      <c r="I149" s="2248"/>
      <c r="J149" s="2248"/>
      <c r="K149" s="2250"/>
      <c r="S149" s="972"/>
    </row>
    <row r="150" customFormat="false" ht="14" hidden="false" customHeight="true" outlineLevel="0" collapsed="false"/>
    <row r="151" customFormat="false" ht="14" hidden="false" customHeight="true" outlineLevel="0" collapsed="false">
      <c r="A151" s="2259" t="s">
        <v>2821</v>
      </c>
      <c r="B151" s="2218" t="s">
        <v>563</v>
      </c>
      <c r="C151" s="2219" t="s">
        <v>2822</v>
      </c>
      <c r="D151" s="2219"/>
      <c r="E151" s="2219"/>
      <c r="F151" s="2219"/>
      <c r="G151" s="2219"/>
      <c r="H151" s="2219"/>
      <c r="I151" s="2220" t="s">
        <v>2790</v>
      </c>
      <c r="J151" s="2221"/>
      <c r="K151" s="2260" t="n">
        <f aca="false">MIN(20,SUM(I189,I198,I154,I169))</f>
        <v>16</v>
      </c>
    </row>
    <row r="152" customFormat="false" ht="14" hidden="false" customHeight="true" outlineLevel="0" collapsed="false">
      <c r="A152" s="2259"/>
      <c r="B152" s="2116"/>
      <c r="C152" s="972"/>
      <c r="D152" s="972"/>
      <c r="E152" s="972"/>
      <c r="F152" s="972"/>
      <c r="G152" s="972"/>
      <c r="H152" s="972"/>
      <c r="I152" s="972"/>
      <c r="J152" s="972"/>
      <c r="K152" s="2260"/>
    </row>
    <row r="153" customFormat="false" ht="43" hidden="false" customHeight="false" outlineLevel="0" collapsed="false">
      <c r="A153" s="2259"/>
      <c r="B153" s="2116"/>
      <c r="C153" s="2158" t="s">
        <v>2698</v>
      </c>
      <c r="D153" s="2158"/>
      <c r="E153" s="2158"/>
      <c r="F153" s="2158"/>
      <c r="G153" s="2158"/>
      <c r="H153" s="2120" t="s">
        <v>2699</v>
      </c>
      <c r="I153" s="1926" t="s">
        <v>2700</v>
      </c>
      <c r="J153" s="972"/>
      <c r="K153" s="2260"/>
      <c r="M153" s="1007"/>
    </row>
    <row r="154" customFormat="false" ht="14" hidden="false" customHeight="true" outlineLevel="0" collapsed="false">
      <c r="A154" s="2259"/>
      <c r="B154" s="2116"/>
      <c r="C154" s="2261" t="s">
        <v>2823</v>
      </c>
      <c r="D154" s="2261"/>
      <c r="E154" s="2261"/>
      <c r="F154" s="2261"/>
      <c r="G154" s="2153" t="n">
        <f aca="false">MIN(F155+F157+F158,4)</f>
        <v>3</v>
      </c>
      <c r="H154" s="2239" t="n">
        <f aca="false">G154+G159+G162</f>
        <v>5</v>
      </c>
      <c r="I154" s="2127" t="n">
        <f aca="false">MIN(8,H154)</f>
        <v>5</v>
      </c>
      <c r="J154" s="972"/>
      <c r="K154" s="2260"/>
      <c r="M154" s="1007"/>
      <c r="N154" s="1874" t="s">
        <v>2743</v>
      </c>
      <c r="O154" s="2158" t="s">
        <v>1902</v>
      </c>
      <c r="P154" s="2158"/>
      <c r="Q154" s="2158"/>
      <c r="R154" s="2158"/>
      <c r="S154" s="2158"/>
      <c r="T154" s="2158"/>
      <c r="U154" s="2158"/>
      <c r="V154" s="2158"/>
      <c r="W154" s="2158"/>
      <c r="X154" s="2158"/>
    </row>
    <row r="155" customFormat="false" ht="14" hidden="false" customHeight="true" outlineLevel="0" collapsed="false">
      <c r="A155" s="2259"/>
      <c r="B155" s="2116"/>
      <c r="C155" s="2131"/>
      <c r="D155" s="2262" t="s">
        <v>2824</v>
      </c>
      <c r="E155" s="2132" t="n">
        <f aca="false">'Saisie et Calculateur'!D633</f>
        <v>0</v>
      </c>
      <c r="F155" s="0" t="n">
        <f aca="false">IF(E155=O158,N158,IF(E155=O157,N157,IF(E155=O156,N156,N155)))</f>
        <v>0</v>
      </c>
      <c r="G155" s="2153"/>
      <c r="H155" s="2239"/>
      <c r="I155" s="2127"/>
      <c r="J155" s="972"/>
      <c r="K155" s="2260"/>
      <c r="M155" s="1007"/>
      <c r="N155" s="1874" t="n">
        <v>0</v>
      </c>
      <c r="O155" s="2263" t="s">
        <v>571</v>
      </c>
      <c r="P155" s="2263"/>
      <c r="Q155" s="2263"/>
      <c r="R155" s="2263"/>
      <c r="S155" s="2263"/>
      <c r="T155" s="2263"/>
      <c r="U155" s="2263"/>
      <c r="V155" s="2263"/>
      <c r="W155" s="2263"/>
      <c r="X155" s="2263"/>
    </row>
    <row r="156" customFormat="false" ht="14" hidden="false" customHeight="true" outlineLevel="0" collapsed="false">
      <c r="A156" s="2259"/>
      <c r="B156" s="2116"/>
      <c r="C156" s="2264"/>
      <c r="D156" s="2160" t="s">
        <v>2825</v>
      </c>
      <c r="E156" s="2132"/>
      <c r="F156" s="972"/>
      <c r="G156" s="2153"/>
      <c r="H156" s="2239"/>
      <c r="I156" s="2127"/>
      <c r="J156" s="972"/>
      <c r="K156" s="2260"/>
      <c r="N156" s="1874" t="n">
        <v>1</v>
      </c>
      <c r="O156" s="2263" t="s">
        <v>572</v>
      </c>
      <c r="P156" s="2263"/>
      <c r="Q156" s="2263"/>
      <c r="R156" s="2263"/>
      <c r="S156" s="2263"/>
      <c r="T156" s="2263"/>
      <c r="U156" s="2263"/>
      <c r="V156" s="2263"/>
      <c r="W156" s="2263"/>
      <c r="X156" s="2263"/>
    </row>
    <row r="157" customFormat="false" ht="12" hidden="false" customHeight="true" outlineLevel="0" collapsed="false">
      <c r="A157" s="2259"/>
      <c r="B157" s="2116"/>
      <c r="C157" s="2131"/>
      <c r="D157" s="972"/>
      <c r="E157" s="2265" t="str">
        <f aca="false">'Saisie et Calculateur'!D636</f>
        <v>oui</v>
      </c>
      <c r="F157" s="2132" t="n">
        <f aca="false">IF(E157="oui",3,0)</f>
        <v>3</v>
      </c>
      <c r="G157" s="2153"/>
      <c r="H157" s="2239"/>
      <c r="I157" s="2127"/>
      <c r="J157" s="972"/>
      <c r="K157" s="2260"/>
      <c r="N157" s="1874" t="n">
        <v>2</v>
      </c>
      <c r="O157" s="2263" t="s">
        <v>573</v>
      </c>
      <c r="P157" s="2263"/>
      <c r="Q157" s="2263"/>
      <c r="R157" s="2263"/>
      <c r="S157" s="2263"/>
      <c r="T157" s="2263"/>
      <c r="U157" s="2263"/>
      <c r="V157" s="2263"/>
      <c r="W157" s="2263"/>
      <c r="X157" s="2263"/>
    </row>
    <row r="158" customFormat="false" ht="12" hidden="false" customHeight="true" outlineLevel="0" collapsed="false">
      <c r="A158" s="2259"/>
      <c r="B158" s="2116"/>
      <c r="C158" s="2131"/>
      <c r="D158" s="2160" t="s">
        <v>2826</v>
      </c>
      <c r="E158" s="2132"/>
      <c r="F158" s="2132" t="n">
        <f aca="false">IF('Saisie et Calculateur'!D638="oui",1,0)</f>
        <v>0</v>
      </c>
      <c r="G158" s="2153"/>
      <c r="H158" s="2239"/>
      <c r="I158" s="2127"/>
      <c r="J158" s="972"/>
      <c r="K158" s="2260"/>
      <c r="N158" s="1874" t="n">
        <v>4</v>
      </c>
      <c r="O158" s="2263" t="s">
        <v>2827</v>
      </c>
      <c r="P158" s="2263"/>
      <c r="Q158" s="2263"/>
      <c r="R158" s="2263"/>
      <c r="S158" s="2263"/>
      <c r="T158" s="2263"/>
      <c r="U158" s="2263"/>
      <c r="V158" s="2263"/>
      <c r="W158" s="2263"/>
      <c r="X158" s="2263"/>
    </row>
    <row r="159" customFormat="false" ht="12" hidden="false" customHeight="true" outlineLevel="0" collapsed="false">
      <c r="A159" s="2259"/>
      <c r="B159" s="2116"/>
      <c r="C159" s="2143" t="s">
        <v>2828</v>
      </c>
      <c r="D159" s="2160"/>
      <c r="E159" s="2132"/>
      <c r="F159" s="2132"/>
      <c r="G159" s="2230" t="n">
        <f aca="false">MIN(F160+F161,4)</f>
        <v>2</v>
      </c>
      <c r="H159" s="2239"/>
      <c r="I159" s="2127"/>
      <c r="J159" s="972"/>
      <c r="K159" s="2260"/>
    </row>
    <row r="160" customFormat="false" ht="14" hidden="false" customHeight="true" outlineLevel="0" collapsed="false">
      <c r="A160" s="2259"/>
      <c r="B160" s="2116"/>
      <c r="C160" s="2143"/>
      <c r="D160" s="2160" t="s">
        <v>2829</v>
      </c>
      <c r="E160" s="2132"/>
      <c r="F160" s="2132" t="n">
        <f aca="false">IF('Saisie et Calculateur'!D642="oui",2,0)</f>
        <v>2</v>
      </c>
      <c r="G160" s="2230"/>
      <c r="H160" s="2239"/>
      <c r="I160" s="2127"/>
      <c r="J160" s="972"/>
      <c r="K160" s="2260"/>
    </row>
    <row r="161" customFormat="false" ht="14" hidden="false" customHeight="true" outlineLevel="0" collapsed="false">
      <c r="A161" s="2259"/>
      <c r="B161" s="2116"/>
      <c r="C161" s="2131"/>
      <c r="D161" s="2160" t="s">
        <v>2830</v>
      </c>
      <c r="E161" s="2132"/>
      <c r="F161" s="2132" t="n">
        <f aca="false">'Saisie et Calculateur'!D644</f>
        <v>0</v>
      </c>
      <c r="G161" s="2230"/>
      <c r="H161" s="2239"/>
      <c r="I161" s="2127"/>
      <c r="J161" s="972"/>
      <c r="K161" s="2260"/>
    </row>
    <row r="162" customFormat="false" ht="15" hidden="false" customHeight="true" outlineLevel="0" collapsed="false">
      <c r="A162" s="2259"/>
      <c r="B162" s="2116"/>
      <c r="C162" s="2143" t="s">
        <v>2831</v>
      </c>
      <c r="D162" s="2160"/>
      <c r="E162" s="2132"/>
      <c r="F162" s="2132"/>
      <c r="G162" s="2193" t="n">
        <f aca="false">IF('Saisie et Calculateur'!H655="oui",4,0)</f>
        <v>0</v>
      </c>
      <c r="H162" s="2239"/>
      <c r="I162" s="2127"/>
      <c r="J162" s="972"/>
      <c r="K162" s="2260"/>
    </row>
    <row r="163" customFormat="false" ht="14" hidden="false" customHeight="true" outlineLevel="0" collapsed="false">
      <c r="A163" s="2259"/>
      <c r="B163" s="2116"/>
      <c r="C163" s="2145"/>
      <c r="D163" s="2266" t="s">
        <v>2832</v>
      </c>
      <c r="E163" s="2146"/>
      <c r="F163" s="2146"/>
      <c r="G163" s="2193"/>
      <c r="H163" s="2239"/>
      <c r="I163" s="2127"/>
      <c r="J163" s="972"/>
      <c r="K163" s="2260"/>
    </row>
    <row r="164" customFormat="false" ht="26.25" hidden="false" customHeight="true" outlineLevel="0" collapsed="false">
      <c r="A164" s="2259"/>
      <c r="B164" s="2116"/>
      <c r="C164" s="972"/>
      <c r="D164" s="972"/>
      <c r="E164" s="972"/>
      <c r="F164" s="972"/>
      <c r="G164" s="972"/>
      <c r="H164" s="972"/>
      <c r="I164" s="972"/>
      <c r="J164" s="972"/>
      <c r="K164" s="2260"/>
      <c r="M164" s="675"/>
    </row>
    <row r="165" customFormat="false" ht="12.75" hidden="false" customHeight="true" outlineLevel="0" collapsed="false">
      <c r="A165" s="2259"/>
      <c r="B165" s="2116"/>
      <c r="C165" s="972"/>
      <c r="D165" s="972"/>
      <c r="E165" s="972"/>
      <c r="F165" s="972"/>
      <c r="G165" s="972"/>
      <c r="H165" s="972"/>
      <c r="I165" s="972"/>
      <c r="J165" s="972"/>
      <c r="K165" s="2260"/>
      <c r="M165" s="675"/>
      <c r="N165" s="2118"/>
      <c r="O165" s="2118"/>
      <c r="P165" s="972"/>
      <c r="Q165" s="675"/>
    </row>
    <row r="166" customFormat="false" ht="14" hidden="false" customHeight="true" outlineLevel="0" collapsed="false">
      <c r="A166" s="2259"/>
      <c r="B166" s="2149" t="s">
        <v>508</v>
      </c>
      <c r="C166" s="2235" t="s">
        <v>2833</v>
      </c>
      <c r="D166" s="2235"/>
      <c r="E166" s="2235"/>
      <c r="F166" s="2235"/>
      <c r="G166" s="2235"/>
      <c r="H166" s="2235"/>
      <c r="I166" s="2236" t="s">
        <v>2790</v>
      </c>
      <c r="J166" s="972"/>
      <c r="K166" s="2260"/>
    </row>
    <row r="167" customFormat="false" ht="14" hidden="false" customHeight="true" outlineLevel="0" collapsed="false">
      <c r="A167" s="2259"/>
      <c r="B167" s="2116"/>
      <c r="C167" s="972"/>
      <c r="D167" s="972"/>
      <c r="E167" s="972"/>
      <c r="F167" s="972"/>
      <c r="G167" s="972"/>
      <c r="H167" s="972"/>
      <c r="I167" s="972"/>
      <c r="J167" s="972"/>
      <c r="K167" s="2260"/>
    </row>
    <row r="168" customFormat="false" ht="43" hidden="false" customHeight="false" outlineLevel="0" collapsed="false">
      <c r="A168" s="2259"/>
      <c r="B168" s="2116"/>
      <c r="C168" s="2119" t="s">
        <v>2698</v>
      </c>
      <c r="D168" s="2119"/>
      <c r="E168" s="2119"/>
      <c r="F168" s="2119"/>
      <c r="G168" s="2119"/>
      <c r="H168" s="2120" t="s">
        <v>2699</v>
      </c>
      <c r="I168" s="2120" t="s">
        <v>2700</v>
      </c>
      <c r="J168" s="972"/>
      <c r="K168" s="2260"/>
    </row>
    <row r="169" customFormat="false" ht="14" hidden="false" customHeight="true" outlineLevel="0" collapsed="false">
      <c r="A169" s="2259"/>
      <c r="B169" s="2116"/>
      <c r="C169" s="2174" t="s">
        <v>2834</v>
      </c>
      <c r="D169" s="2174"/>
      <c r="E169" s="2174"/>
      <c r="F169" s="2174"/>
      <c r="G169" s="2125" t="n">
        <f aca="false">MIN(4,F172+F170+F171)</f>
        <v>1</v>
      </c>
      <c r="H169" s="2239" t="n">
        <f aca="false">G169+G173+G182</f>
        <v>5</v>
      </c>
      <c r="I169" s="2127" t="n">
        <f aca="false">IF(H169&lt;0,0,MIN(8,H169))</f>
        <v>5</v>
      </c>
      <c r="J169" s="972"/>
      <c r="K169" s="2260"/>
      <c r="N169" s="1874" t="s">
        <v>2835</v>
      </c>
      <c r="O169" s="2267" t="n">
        <v>0.6</v>
      </c>
      <c r="P169" s="2267" t="n">
        <v>0.3</v>
      </c>
      <c r="Q169" s="1874" t="n">
        <v>0</v>
      </c>
      <c r="R169" s="2268" t="n">
        <f aca="false">'Saisie et Calculateur'!F661</f>
        <v>0</v>
      </c>
    </row>
    <row r="170" customFormat="false" ht="14" hidden="false" customHeight="true" outlineLevel="0" collapsed="false">
      <c r="A170" s="2259"/>
      <c r="B170" s="2116"/>
      <c r="C170" s="2143"/>
      <c r="D170" s="2160" t="s">
        <v>2836</v>
      </c>
      <c r="E170" s="2132"/>
      <c r="F170" s="2132" t="n">
        <f aca="false">IF(R169&lt;P169,Q170,IF(R169&lt;O169,P170,O170))</f>
        <v>0</v>
      </c>
      <c r="G170" s="2125"/>
      <c r="H170" s="2239"/>
      <c r="I170" s="2127"/>
      <c r="J170" s="972"/>
      <c r="K170" s="2260"/>
      <c r="N170" s="1874" t="s">
        <v>2732</v>
      </c>
      <c r="O170" s="1874" t="n">
        <v>3</v>
      </c>
      <c r="P170" s="1874" t="n">
        <v>2</v>
      </c>
      <c r="Q170" s="1874" t="n">
        <v>0</v>
      </c>
      <c r="S170" s="972"/>
    </row>
    <row r="171" customFormat="false" ht="14" hidden="false" customHeight="true" outlineLevel="0" collapsed="false">
      <c r="A171" s="2259"/>
      <c r="B171" s="2116"/>
      <c r="C171" s="2159"/>
      <c r="D171" s="2160" t="s">
        <v>2837</v>
      </c>
      <c r="E171" s="2269"/>
      <c r="F171" s="2132" t="n">
        <f aca="false">IF('Saisie et Calculateur'!D664="oui",-1,0)</f>
        <v>0</v>
      </c>
      <c r="G171" s="2125"/>
      <c r="H171" s="2239"/>
      <c r="I171" s="2127"/>
      <c r="J171" s="972"/>
      <c r="K171" s="2260"/>
      <c r="S171" s="2200"/>
    </row>
    <row r="172" customFormat="false" ht="25.5" hidden="false" customHeight="true" outlineLevel="0" collapsed="false">
      <c r="A172" s="2259"/>
      <c r="B172" s="2116"/>
      <c r="C172" s="2143"/>
      <c r="D172" s="2160" t="s">
        <v>2838</v>
      </c>
      <c r="E172" s="2132"/>
      <c r="F172" s="2132" t="n">
        <f aca="false">IF('Saisie et Calculateur'!D666="non",1,0)</f>
        <v>1</v>
      </c>
      <c r="G172" s="2125"/>
      <c r="H172" s="2239"/>
      <c r="I172" s="2127"/>
      <c r="J172" s="972"/>
      <c r="K172" s="2260"/>
      <c r="N172" s="1699" t="s">
        <v>2839</v>
      </c>
      <c r="O172" s="2142" t="n">
        <v>0.6</v>
      </c>
      <c r="P172" s="2142" t="n">
        <v>0.3</v>
      </c>
      <c r="Q172" s="2142"/>
      <c r="S172" s="2200"/>
    </row>
    <row r="173" customFormat="false" ht="12.75" hidden="false" customHeight="true" outlineLevel="0" collapsed="false">
      <c r="A173" s="2259"/>
      <c r="B173" s="2116"/>
      <c r="C173" s="2143" t="s">
        <v>2840</v>
      </c>
      <c r="D173" s="2143"/>
      <c r="E173" s="2143"/>
      <c r="F173" s="2143"/>
      <c r="G173" s="2270" t="n">
        <f aca="false">MIN(4,SUM(F174+F176+F178+F180))</f>
        <v>4</v>
      </c>
      <c r="H173" s="2239"/>
      <c r="I173" s="2127"/>
      <c r="J173" s="972"/>
      <c r="K173" s="2260"/>
      <c r="N173" s="1699" t="s">
        <v>2772</v>
      </c>
      <c r="O173" s="1699" t="n">
        <v>2</v>
      </c>
      <c r="P173" s="1699" t="n">
        <v>1</v>
      </c>
      <c r="Q173" s="1699" t="n">
        <v>0</v>
      </c>
      <c r="S173" s="972"/>
    </row>
    <row r="174" customFormat="false" ht="13.5" hidden="false" customHeight="true" outlineLevel="0" collapsed="false">
      <c r="A174" s="2259"/>
      <c r="B174" s="2116"/>
      <c r="C174" s="2143"/>
      <c r="D174" s="2185" t="s">
        <v>2841</v>
      </c>
      <c r="E174" s="2185"/>
      <c r="F174" s="2132" t="n">
        <f aca="false">IF(D175&gt;O172,O173,IF(D175&gt;P172,P173,Q173))</f>
        <v>2</v>
      </c>
      <c r="G174" s="2270"/>
      <c r="H174" s="2239"/>
      <c r="I174" s="2127"/>
      <c r="J174" s="972"/>
      <c r="K174" s="2260"/>
      <c r="R174" s="2271"/>
    </row>
    <row r="175" customFormat="false" ht="13.5" hidden="false" customHeight="true" outlineLevel="0" collapsed="false">
      <c r="A175" s="2259"/>
      <c r="B175" s="2116"/>
      <c r="C175" s="2131"/>
      <c r="D175" s="2170" t="n">
        <f aca="false">'Saisie et Calculateur'!H669</f>
        <v>0.724520804114072</v>
      </c>
      <c r="E175" s="2132"/>
      <c r="F175" s="2132"/>
      <c r="G175" s="2270"/>
      <c r="H175" s="2239"/>
      <c r="I175" s="2127"/>
      <c r="J175" s="972"/>
      <c r="K175" s="2260"/>
      <c r="N175" s="1699" t="s">
        <v>2842</v>
      </c>
      <c r="O175" s="2142" t="n">
        <v>0.6</v>
      </c>
      <c r="P175" s="2142" t="n">
        <v>0.3</v>
      </c>
      <c r="Q175" s="2142"/>
      <c r="R175" s="972"/>
    </row>
    <row r="176" customFormat="false" ht="13.5" hidden="false" customHeight="true" outlineLevel="0" collapsed="false">
      <c r="A176" s="2259"/>
      <c r="B176" s="2116"/>
      <c r="C176" s="2143"/>
      <c r="D176" s="2185" t="s">
        <v>2843</v>
      </c>
      <c r="E176" s="2185"/>
      <c r="F176" s="2132" t="n">
        <f aca="false">IF(D177&gt;O175,O176,IF(D177&gt;P175,P176,Q176))</f>
        <v>1</v>
      </c>
      <c r="G176" s="2270"/>
      <c r="H176" s="2239"/>
      <c r="I176" s="2127"/>
      <c r="J176" s="972"/>
      <c r="K176" s="2260"/>
      <c r="N176" s="1699" t="s">
        <v>2772</v>
      </c>
      <c r="O176" s="1699" t="n">
        <v>2</v>
      </c>
      <c r="P176" s="1699" t="n">
        <v>1</v>
      </c>
      <c r="Q176" s="1699" t="n">
        <v>0</v>
      </c>
      <c r="R176" s="2271"/>
    </row>
    <row r="177" customFormat="false" ht="14" hidden="false" customHeight="true" outlineLevel="0" collapsed="false">
      <c r="A177" s="2259"/>
      <c r="B177" s="2116"/>
      <c r="C177" s="2131"/>
      <c r="D177" s="2170" t="n">
        <f aca="false">'Saisie et Calculateur'!H670</f>
        <v>0.374357176250584</v>
      </c>
      <c r="E177" s="2132"/>
      <c r="F177" s="2132"/>
      <c r="G177" s="2270"/>
      <c r="H177" s="2239"/>
      <c r="I177" s="2127"/>
      <c r="J177" s="972"/>
      <c r="K177" s="2260"/>
    </row>
    <row r="178" customFormat="false" ht="14" hidden="false" customHeight="true" outlineLevel="0" collapsed="false">
      <c r="A178" s="2259"/>
      <c r="B178" s="2116"/>
      <c r="C178" s="2143"/>
      <c r="D178" s="2185" t="s">
        <v>2844</v>
      </c>
      <c r="E178" s="2185"/>
      <c r="F178" s="2132" t="n">
        <f aca="false">IF(D179&gt;O178,O179,IF(D179&gt;P178,P179,Q179))</f>
        <v>2</v>
      </c>
      <c r="G178" s="2270"/>
      <c r="H178" s="2239"/>
      <c r="I178" s="2127"/>
      <c r="J178" s="972"/>
      <c r="K178" s="2260"/>
      <c r="N178" s="1699" t="s">
        <v>2845</v>
      </c>
      <c r="O178" s="2142" t="n">
        <v>0.6</v>
      </c>
      <c r="P178" s="2142" t="n">
        <v>0.3</v>
      </c>
      <c r="Q178" s="2142"/>
    </row>
    <row r="179" customFormat="false" ht="15" hidden="false" customHeight="true" outlineLevel="0" collapsed="false">
      <c r="A179" s="2259"/>
      <c r="B179" s="2116"/>
      <c r="C179" s="2131"/>
      <c r="D179" s="2170" t="n">
        <f aca="false">'Saisie et Calculateur'!H671</f>
        <v>0.69588592800374</v>
      </c>
      <c r="E179" s="2132"/>
      <c r="F179" s="2132"/>
      <c r="G179" s="2270"/>
      <c r="H179" s="2239"/>
      <c r="I179" s="2127"/>
      <c r="J179" s="972"/>
      <c r="K179" s="2260"/>
      <c r="N179" s="1699" t="s">
        <v>2772</v>
      </c>
      <c r="O179" s="1699" t="n">
        <v>2</v>
      </c>
      <c r="P179" s="1699" t="n">
        <v>1</v>
      </c>
      <c r="Q179" s="1699" t="n">
        <v>0</v>
      </c>
    </row>
    <row r="180" customFormat="false" ht="15" hidden="false" customHeight="true" outlineLevel="0" collapsed="false">
      <c r="A180" s="2259"/>
      <c r="B180" s="2116"/>
      <c r="C180" s="2131"/>
      <c r="D180" s="2185" t="s">
        <v>2846</v>
      </c>
      <c r="E180" s="2185"/>
      <c r="F180" s="2272" t="n">
        <f aca="false">IF(D181=O181,O182,P182)</f>
        <v>0</v>
      </c>
      <c r="G180" s="2270"/>
      <c r="H180" s="2239"/>
      <c r="I180" s="2127"/>
      <c r="J180" s="972"/>
      <c r="K180" s="2260"/>
      <c r="N180" s="1632"/>
      <c r="O180" s="1632"/>
      <c r="P180" s="1632"/>
      <c r="Q180" s="1632"/>
    </row>
    <row r="181" customFormat="false" ht="15" hidden="false" customHeight="true" outlineLevel="0" collapsed="false">
      <c r="A181" s="2259"/>
      <c r="B181" s="2116"/>
      <c r="C181" s="2131"/>
      <c r="D181" s="2273" t="str">
        <f aca="false">'Saisie et Calculateur'!D673</f>
        <v>non</v>
      </c>
      <c r="E181" s="2132"/>
      <c r="F181" s="2273"/>
      <c r="G181" s="2270"/>
      <c r="H181" s="2239"/>
      <c r="I181" s="2127"/>
      <c r="J181" s="972"/>
      <c r="K181" s="2260"/>
      <c r="N181" s="1699" t="s">
        <v>2847</v>
      </c>
      <c r="O181" s="2142" t="s">
        <v>242</v>
      </c>
      <c r="P181" s="2142" t="s">
        <v>243</v>
      </c>
    </row>
    <row r="182" customFormat="false" ht="13.5" hidden="false" customHeight="true" outlineLevel="0" collapsed="false">
      <c r="A182" s="2259"/>
      <c r="B182" s="2116"/>
      <c r="C182" s="2131" t="s">
        <v>2848</v>
      </c>
      <c r="D182" s="2131"/>
      <c r="E182" s="2131"/>
      <c r="F182" s="2131"/>
      <c r="G182" s="2193" t="n">
        <f aca="false">IF(F183="oui",2,0)</f>
        <v>0</v>
      </c>
      <c r="H182" s="2239"/>
      <c r="I182" s="2127"/>
      <c r="J182" s="972"/>
      <c r="K182" s="2260"/>
      <c r="N182" s="1699" t="s">
        <v>2772</v>
      </c>
      <c r="O182" s="1699" t="n">
        <v>-1</v>
      </c>
      <c r="P182" s="1699" t="n">
        <v>0</v>
      </c>
    </row>
    <row r="183" customFormat="false" ht="15" hidden="false" customHeight="true" outlineLevel="0" collapsed="false">
      <c r="A183" s="2259"/>
      <c r="B183" s="2116"/>
      <c r="C183" s="2145"/>
      <c r="D183" s="2146" t="s">
        <v>2849</v>
      </c>
      <c r="E183" s="2148"/>
      <c r="F183" s="2146" t="str">
        <f aca="false">'Saisie et Calculateur'!E676</f>
        <v>non</v>
      </c>
      <c r="G183" s="2193"/>
      <c r="H183" s="2239"/>
      <c r="I183" s="2127"/>
      <c r="J183" s="972"/>
      <c r="K183" s="2260"/>
    </row>
    <row r="184" customFormat="false" ht="12" hidden="false" customHeight="true" outlineLevel="0" collapsed="false">
      <c r="A184" s="2259"/>
      <c r="J184" s="972"/>
      <c r="K184" s="2260"/>
    </row>
    <row r="185" customFormat="false" ht="25.5" hidden="false" customHeight="true" outlineLevel="0" collapsed="false">
      <c r="A185" s="2259"/>
      <c r="J185" s="972"/>
      <c r="K185" s="2260"/>
    </row>
    <row r="186" customFormat="false" ht="13" hidden="false" customHeight="true" outlineLevel="0" collapsed="false">
      <c r="A186" s="2259"/>
      <c r="B186" s="2149" t="s">
        <v>256</v>
      </c>
      <c r="C186" s="2235" t="s">
        <v>2850</v>
      </c>
      <c r="D186" s="2235"/>
      <c r="E186" s="2235"/>
      <c r="F186" s="2235"/>
      <c r="G186" s="2235"/>
      <c r="H186" s="2235"/>
      <c r="I186" s="2236" t="s">
        <v>2851</v>
      </c>
      <c r="J186" s="972"/>
      <c r="K186" s="2260"/>
    </row>
    <row r="187" customFormat="false" ht="12" hidden="false" customHeight="true" outlineLevel="0" collapsed="false">
      <c r="A187" s="2259"/>
      <c r="B187" s="2116"/>
      <c r="C187" s="972"/>
      <c r="D187" s="972"/>
      <c r="E187" s="972"/>
      <c r="F187" s="972"/>
      <c r="G187" s="972"/>
      <c r="H187" s="972"/>
      <c r="I187" s="972"/>
      <c r="J187" s="972"/>
      <c r="K187" s="2260"/>
    </row>
    <row r="188" customFormat="false" ht="43" hidden="false" customHeight="false" outlineLevel="0" collapsed="false">
      <c r="A188" s="2259"/>
      <c r="B188" s="2116"/>
      <c r="C188" s="2158" t="s">
        <v>2698</v>
      </c>
      <c r="D188" s="2158"/>
      <c r="E188" s="2158"/>
      <c r="F188" s="2158"/>
      <c r="G188" s="2158"/>
      <c r="H188" s="2120" t="s">
        <v>2699</v>
      </c>
      <c r="I188" s="1926" t="s">
        <v>2700</v>
      </c>
      <c r="J188" s="972"/>
      <c r="K188" s="2260"/>
    </row>
    <row r="189" customFormat="false" ht="12" hidden="false" customHeight="true" outlineLevel="0" collapsed="false">
      <c r="A189" s="2259"/>
      <c r="B189" s="2116"/>
      <c r="C189" s="2274" t="s">
        <v>2852</v>
      </c>
      <c r="D189" s="2275"/>
      <c r="E189" s="2275"/>
      <c r="H189" s="2239" t="n">
        <f aca="false">IF(D190=U192,4,IF(D190=R192,G193,IF(D190=O192,G191,MIN(G191,G193))))</f>
        <v>2</v>
      </c>
      <c r="I189" s="2127" t="n">
        <f aca="false">MIN(4,H189)</f>
        <v>2</v>
      </c>
      <c r="J189" s="972"/>
      <c r="K189" s="2260"/>
      <c r="O189" s="1675" t="s">
        <v>479</v>
      </c>
      <c r="P189" s="1675"/>
      <c r="Q189" s="1675" t="s">
        <v>480</v>
      </c>
      <c r="R189" s="1675"/>
      <c r="S189" s="1675" t="s">
        <v>481</v>
      </c>
      <c r="T189" s="1675"/>
    </row>
    <row r="190" customFormat="false" ht="12" hidden="false" customHeight="true" outlineLevel="0" collapsed="false">
      <c r="A190" s="2259"/>
      <c r="B190" s="2116"/>
      <c r="C190" s="2276"/>
      <c r="D190" s="2277" t="str">
        <f aca="false">'Saisie et Calculateur'!D683</f>
        <v>Oui les 2</v>
      </c>
      <c r="E190" s="2277"/>
      <c r="F190" s="2277"/>
      <c r="G190" s="2278"/>
      <c r="H190" s="2239"/>
      <c r="I190" s="2127"/>
      <c r="J190" s="972"/>
      <c r="K190" s="2260"/>
      <c r="N190" s="1857" t="s">
        <v>2853</v>
      </c>
      <c r="O190" s="1675" t="n">
        <v>4</v>
      </c>
      <c r="P190" s="1675"/>
      <c r="Q190" s="1675" t="n">
        <v>2</v>
      </c>
      <c r="R190" s="1675"/>
      <c r="S190" s="1675" t="n">
        <v>0</v>
      </c>
      <c r="T190" s="1675"/>
    </row>
    <row r="191" customFormat="false" ht="12" hidden="false" customHeight="true" outlineLevel="0" collapsed="false">
      <c r="A191" s="2259"/>
      <c r="B191" s="2116"/>
      <c r="C191" s="2279" t="s">
        <v>2854</v>
      </c>
      <c r="D191" s="2279"/>
      <c r="E191" s="2279"/>
      <c r="F191" s="2279"/>
      <c r="G191" s="2230" t="n">
        <f aca="false">IF(D192=O189,O190,IF(D192=Q189,Q190,0))</f>
        <v>2</v>
      </c>
      <c r="H191" s="2239"/>
      <c r="I191" s="2127"/>
      <c r="J191" s="972"/>
      <c r="K191" s="2260"/>
    </row>
    <row r="192" customFormat="false" ht="15" hidden="false" customHeight="true" outlineLevel="0" collapsed="false">
      <c r="A192" s="2259"/>
      <c r="B192" s="2116"/>
      <c r="C192" s="2131"/>
      <c r="D192" s="2280" t="str">
        <f aca="false">'Saisie et Calculateur'!D685</f>
        <v>Partielle ou occasionnelle</v>
      </c>
      <c r="E192" s="2280"/>
      <c r="F192" s="2280"/>
      <c r="G192" s="2230"/>
      <c r="H192" s="2239"/>
      <c r="I192" s="2127"/>
      <c r="J192" s="972"/>
      <c r="K192" s="2260"/>
      <c r="N192" s="1857" t="s">
        <v>1449</v>
      </c>
      <c r="O192" s="1675" t="s">
        <v>2855</v>
      </c>
      <c r="P192" s="1675"/>
      <c r="Q192" s="1675"/>
      <c r="R192" s="1675" t="s">
        <v>2856</v>
      </c>
      <c r="S192" s="1675"/>
      <c r="T192" s="1675"/>
      <c r="U192" s="1857" t="s">
        <v>1323</v>
      </c>
    </row>
    <row r="193" customFormat="false" ht="12" hidden="false" customHeight="true" outlineLevel="0" collapsed="false">
      <c r="A193" s="2259"/>
      <c r="B193" s="2116"/>
      <c r="C193" s="2281" t="s">
        <v>2857</v>
      </c>
      <c r="D193" s="2281"/>
      <c r="E193" s="2281"/>
      <c r="F193" s="2281"/>
      <c r="G193" s="2282" t="n">
        <f aca="false">'Saisie et Calculateur'!H691</f>
        <v>4</v>
      </c>
      <c r="H193" s="2239"/>
      <c r="I193" s="2127"/>
      <c r="J193" s="972"/>
      <c r="K193" s="2260"/>
      <c r="N193" s="1865"/>
      <c r="O193" s="1865"/>
      <c r="S193" s="972"/>
    </row>
    <row r="194" customFormat="false" ht="25.5" hidden="false" customHeight="true" outlineLevel="0" collapsed="false">
      <c r="A194" s="2259"/>
      <c r="B194" s="2116"/>
      <c r="C194" s="972"/>
      <c r="D194" s="972"/>
      <c r="E194" s="972"/>
      <c r="F194" s="972"/>
      <c r="G194" s="972"/>
      <c r="H194" s="972"/>
      <c r="I194" s="972"/>
      <c r="J194" s="972"/>
      <c r="K194" s="2260"/>
    </row>
    <row r="195" customFormat="false" ht="13.5" hidden="false" customHeight="true" outlineLevel="0" collapsed="false">
      <c r="A195" s="2259"/>
      <c r="B195" s="2149" t="s">
        <v>237</v>
      </c>
      <c r="C195" s="2235" t="s">
        <v>2858</v>
      </c>
      <c r="D195" s="2235"/>
      <c r="E195" s="2235"/>
      <c r="F195" s="2235"/>
      <c r="G195" s="2235"/>
      <c r="H195" s="2235"/>
      <c r="I195" s="2236" t="s">
        <v>2851</v>
      </c>
      <c r="J195" s="972"/>
      <c r="K195" s="2260"/>
    </row>
    <row r="196" customFormat="false" ht="13.5" hidden="false" customHeight="true" outlineLevel="0" collapsed="false">
      <c r="A196" s="2259"/>
      <c r="B196" s="2116"/>
      <c r="C196" s="972"/>
      <c r="D196" s="972"/>
      <c r="E196" s="972"/>
      <c r="F196" s="972"/>
      <c r="G196" s="972"/>
      <c r="H196" s="972"/>
      <c r="I196" s="972"/>
      <c r="J196" s="972"/>
      <c r="K196" s="2260"/>
      <c r="M196" s="972"/>
      <c r="N196" s="1857" t="s">
        <v>2859</v>
      </c>
      <c r="O196" s="2181" t="n">
        <v>1</v>
      </c>
      <c r="P196" s="1857" t="n">
        <v>0</v>
      </c>
      <c r="Q196" s="1857"/>
      <c r="T196" s="1865"/>
    </row>
    <row r="197" customFormat="false" ht="43" hidden="false" customHeight="false" outlineLevel="0" collapsed="false">
      <c r="A197" s="2259"/>
      <c r="B197" s="2116"/>
      <c r="C197" s="2119" t="s">
        <v>2698</v>
      </c>
      <c r="D197" s="2119"/>
      <c r="E197" s="2119"/>
      <c r="F197" s="2119"/>
      <c r="G197" s="2119"/>
      <c r="H197" s="2120" t="s">
        <v>2699</v>
      </c>
      <c r="I197" s="1926" t="s">
        <v>2700</v>
      </c>
      <c r="J197" s="972"/>
      <c r="K197" s="2260"/>
      <c r="M197" s="972"/>
      <c r="N197" s="1857" t="s">
        <v>2732</v>
      </c>
      <c r="O197" s="2181" t="n">
        <v>0</v>
      </c>
      <c r="P197" s="1857" t="n">
        <v>-1</v>
      </c>
      <c r="Q197" s="1857" t="n">
        <v>-2</v>
      </c>
      <c r="T197" s="1865"/>
    </row>
    <row r="198" customFormat="false" ht="15.75" hidden="false" customHeight="true" outlineLevel="0" collapsed="false">
      <c r="A198" s="2259"/>
      <c r="B198" s="2116"/>
      <c r="C198" s="2124" t="s">
        <v>2860</v>
      </c>
      <c r="D198" s="2124"/>
      <c r="E198" s="2124"/>
      <c r="F198" s="2124"/>
      <c r="G198" s="2283" t="n">
        <f aca="false">IF(D199=N199,N202,IF(D199=O199,O202,IF(D199=Q199,Q202,P202)))</f>
        <v>2</v>
      </c>
      <c r="H198" s="2126" t="n">
        <f aca="false">SUM(G198,G200,G202)</f>
        <v>4</v>
      </c>
      <c r="I198" s="2127" t="n">
        <f aca="false">IF(H198&lt;0,0,MIN(4,H198))</f>
        <v>4</v>
      </c>
      <c r="J198" s="972"/>
      <c r="K198" s="2260"/>
      <c r="M198" s="972"/>
      <c r="N198" s="2284"/>
      <c r="O198" s="2284"/>
      <c r="P198" s="2284"/>
      <c r="Q198" s="34"/>
      <c r="T198" s="1865"/>
    </row>
    <row r="199" customFormat="false" ht="15" hidden="false" customHeight="true" outlineLevel="0" collapsed="false">
      <c r="A199" s="2259"/>
      <c r="B199" s="2116"/>
      <c r="C199" s="2131"/>
      <c r="D199" s="2160" t="str">
        <f aca="false">'Saisie et Calculateur'!F698</f>
        <v>Aucun problème</v>
      </c>
      <c r="E199" s="2132"/>
      <c r="F199" s="2132"/>
      <c r="G199" s="2283"/>
      <c r="H199" s="2126"/>
      <c r="I199" s="2127"/>
      <c r="J199" s="972"/>
      <c r="K199" s="2260"/>
      <c r="M199" s="972"/>
      <c r="N199" s="2285" t="s">
        <v>634</v>
      </c>
      <c r="O199" s="2285" t="s">
        <v>636</v>
      </c>
      <c r="P199" s="2285" t="s">
        <v>638</v>
      </c>
      <c r="Q199" s="2285" t="s">
        <v>640</v>
      </c>
      <c r="T199" s="1865"/>
    </row>
    <row r="200" customFormat="false" ht="12" hidden="false" customHeight="true" outlineLevel="0" collapsed="false">
      <c r="A200" s="2259"/>
      <c r="B200" s="2116"/>
      <c r="C200" s="2131" t="s">
        <v>2861</v>
      </c>
      <c r="D200" s="2131"/>
      <c r="E200" s="2131"/>
      <c r="F200" s="2131"/>
      <c r="G200" s="2286" t="n">
        <f aca="false">IF(D201=N199,N202,IF(D201=O199,O202,IF(D201=Q199,Q202,P202)))</f>
        <v>2</v>
      </c>
      <c r="H200" s="2126"/>
      <c r="I200" s="2127"/>
      <c r="J200" s="972"/>
      <c r="K200" s="2260"/>
      <c r="M200" s="972"/>
      <c r="N200" s="2285"/>
      <c r="O200" s="2285"/>
      <c r="P200" s="2285"/>
      <c r="Q200" s="2285"/>
      <c r="T200" s="1865"/>
    </row>
    <row r="201" customFormat="false" ht="15" hidden="false" customHeight="true" outlineLevel="0" collapsed="false">
      <c r="A201" s="2259"/>
      <c r="B201" s="2116"/>
      <c r="C201" s="2131"/>
      <c r="D201" s="2160" t="str">
        <f aca="false">'Saisie et Calculateur'!F705</f>
        <v>Aucun problème</v>
      </c>
      <c r="E201" s="2132"/>
      <c r="F201" s="2132"/>
      <c r="G201" s="2286"/>
      <c r="H201" s="2126"/>
      <c r="I201" s="2127"/>
      <c r="J201" s="972"/>
      <c r="K201" s="2260"/>
      <c r="M201" s="972"/>
      <c r="N201" s="2285"/>
      <c r="O201" s="2285"/>
      <c r="P201" s="2285"/>
      <c r="Q201" s="2285"/>
      <c r="T201" s="1865"/>
    </row>
    <row r="202" customFormat="false" ht="12" hidden="false" customHeight="true" outlineLevel="0" collapsed="false">
      <c r="A202" s="2259"/>
      <c r="B202" s="2116"/>
      <c r="C202" s="2192" t="s">
        <v>2862</v>
      </c>
      <c r="D202" s="2192"/>
      <c r="E202" s="2192"/>
      <c r="F202" s="2192"/>
      <c r="G202" s="2287" t="n">
        <f aca="false">IF(D203="NC",0,IF(D203&gt;O196,O197,IF(E192&gt;P196,P197,Q197)))</f>
        <v>0</v>
      </c>
      <c r="H202" s="2126"/>
      <c r="I202" s="2127"/>
      <c r="J202" s="972"/>
      <c r="K202" s="2260"/>
      <c r="M202" s="972"/>
      <c r="N202" s="2288" t="n">
        <v>2</v>
      </c>
      <c r="O202" s="2288" t="n">
        <v>1</v>
      </c>
      <c r="P202" s="2288" t="n">
        <v>0</v>
      </c>
      <c r="Q202" s="2289" t="n">
        <v>-1</v>
      </c>
      <c r="R202" s="1865"/>
    </row>
    <row r="203" customFormat="false" ht="12" hidden="false" customHeight="true" outlineLevel="0" collapsed="false">
      <c r="A203" s="2259"/>
      <c r="B203" s="2116"/>
      <c r="C203" s="2281"/>
      <c r="D203" s="2290" t="n">
        <f aca="false">'Saisie et Calculateur'!J713</f>
        <v>3.24254215304799</v>
      </c>
      <c r="E203" s="2266" t="s">
        <v>2863</v>
      </c>
      <c r="F203" s="2148"/>
      <c r="G203" s="2287"/>
      <c r="H203" s="2126"/>
      <c r="I203" s="2127"/>
      <c r="J203" s="972"/>
      <c r="K203" s="2260"/>
    </row>
    <row r="204" customFormat="false" ht="12" hidden="false" customHeight="true" outlineLevel="0" collapsed="false">
      <c r="A204" s="2259"/>
      <c r="B204" s="2246"/>
      <c r="C204" s="2247"/>
      <c r="D204" s="2247"/>
      <c r="E204" s="2247"/>
      <c r="F204" s="2247"/>
      <c r="G204" s="2248"/>
      <c r="H204" s="2248"/>
      <c r="I204" s="2248"/>
      <c r="J204" s="2248"/>
      <c r="K204" s="2260"/>
    </row>
    <row r="205" customFormat="false" ht="12" hidden="false" customHeight="true" outlineLevel="0" collapsed="false">
      <c r="S205" s="972"/>
    </row>
    <row r="206" customFormat="false" ht="15" hidden="false" customHeight="true" outlineLevel="0" collapsed="false">
      <c r="A206" s="2291" t="s">
        <v>2864</v>
      </c>
      <c r="B206" s="2292" t="s">
        <v>583</v>
      </c>
      <c r="C206" s="2219" t="s">
        <v>2865</v>
      </c>
      <c r="D206" s="2219"/>
      <c r="E206" s="2219"/>
      <c r="F206" s="2219"/>
      <c r="G206" s="2219"/>
      <c r="H206" s="2219"/>
      <c r="I206" s="2220" t="s">
        <v>2866</v>
      </c>
      <c r="J206" s="2221"/>
      <c r="K206" s="2293" t="n">
        <f aca="false">MIN(20,SUM(I209,I229,I240,I247,I259))</f>
        <v>17</v>
      </c>
      <c r="N206" s="1874" t="s">
        <v>2867</v>
      </c>
      <c r="O206" s="1874" t="n">
        <v>20</v>
      </c>
      <c r="P206" s="1874" t="n">
        <v>40</v>
      </c>
      <c r="Q206" s="1874"/>
    </row>
    <row r="207" customFormat="false" ht="16" hidden="false" customHeight="false" outlineLevel="0" collapsed="false">
      <c r="A207" s="2291"/>
      <c r="B207" s="972"/>
      <c r="C207" s="2132"/>
      <c r="D207" s="2132"/>
      <c r="E207" s="2132"/>
      <c r="F207" s="2132"/>
      <c r="G207" s="2199"/>
      <c r="H207" s="2200"/>
      <c r="I207" s="2198"/>
      <c r="J207" s="972"/>
      <c r="K207" s="2293"/>
      <c r="N207" s="1874" t="s">
        <v>2732</v>
      </c>
      <c r="O207" s="1874" t="n">
        <v>2</v>
      </c>
      <c r="P207" s="1874" t="n">
        <v>1</v>
      </c>
      <c r="Q207" s="1874" t="n">
        <v>0</v>
      </c>
    </row>
    <row r="208" customFormat="false" ht="43" hidden="false" customHeight="false" outlineLevel="0" collapsed="false">
      <c r="A208" s="2291"/>
      <c r="B208" s="972"/>
      <c r="C208" s="2119" t="s">
        <v>2698</v>
      </c>
      <c r="D208" s="2119"/>
      <c r="E208" s="2119"/>
      <c r="F208" s="2119"/>
      <c r="G208" s="2119"/>
      <c r="H208" s="2120" t="s">
        <v>2699</v>
      </c>
      <c r="I208" s="2120" t="s">
        <v>2700</v>
      </c>
      <c r="J208" s="972"/>
      <c r="K208" s="2293"/>
    </row>
    <row r="209" customFormat="false" ht="12" hidden="false" customHeight="true" outlineLevel="0" collapsed="false">
      <c r="A209" s="2291"/>
      <c r="B209" s="972"/>
      <c r="C209" s="2174" t="s">
        <v>2868</v>
      </c>
      <c r="D209" s="2174"/>
      <c r="E209" s="2174"/>
      <c r="F209" s="2174"/>
      <c r="G209" s="2294" t="n">
        <f aca="false">F211+F212</f>
        <v>2</v>
      </c>
      <c r="H209" s="2239" t="n">
        <f aca="false">G209+G216+G219</f>
        <v>5</v>
      </c>
      <c r="I209" s="2127" t="n">
        <f aca="false">MIN(6,H209)</f>
        <v>5</v>
      </c>
      <c r="J209" s="972"/>
      <c r="K209" s="2293"/>
      <c r="O209" s="1857" t="n">
        <v>2</v>
      </c>
      <c r="P209" s="1857" t="s">
        <v>2869</v>
      </c>
    </row>
    <row r="210" customFormat="false" ht="12.75" hidden="false" customHeight="true" outlineLevel="0" collapsed="false">
      <c r="A210" s="2291"/>
      <c r="B210" s="972"/>
      <c r="C210" s="2295"/>
      <c r="D210" s="2132" t="s">
        <v>2870</v>
      </c>
      <c r="E210" s="2132"/>
      <c r="F210" s="2132"/>
      <c r="G210" s="2294"/>
      <c r="H210" s="2239"/>
      <c r="I210" s="2127"/>
      <c r="J210" s="972"/>
      <c r="K210" s="2293"/>
      <c r="N210" s="1861" t="s">
        <v>2871</v>
      </c>
      <c r="O210" s="1857" t="s">
        <v>2872</v>
      </c>
      <c r="P210" s="1857" t="n">
        <v>0</v>
      </c>
    </row>
    <row r="211" customFormat="false" ht="12" hidden="false" customHeight="true" outlineLevel="0" collapsed="false">
      <c r="A211" s="2291"/>
      <c r="B211" s="972"/>
      <c r="C211" s="2295"/>
      <c r="D211" s="2296" t="n">
        <f aca="false">'Saisie et Calculateur'!D720</f>
        <v>3.36540471389433</v>
      </c>
      <c r="E211" s="972"/>
      <c r="F211" s="2132" t="n">
        <f aca="false">IF(D211&lt;O206,O207,IF(D211&lt;P206,P207,Q207))</f>
        <v>2</v>
      </c>
      <c r="G211" s="2294"/>
      <c r="H211" s="2239"/>
      <c r="I211" s="2127"/>
      <c r="J211" s="972"/>
      <c r="K211" s="2293"/>
    </row>
    <row r="212" customFormat="false" ht="12" hidden="false" customHeight="true" outlineLevel="0" collapsed="false">
      <c r="A212" s="2291"/>
      <c r="B212" s="972"/>
      <c r="C212" s="2297"/>
      <c r="D212" s="2161" t="s">
        <v>2873</v>
      </c>
      <c r="E212" s="2132"/>
      <c r="F212" s="2298" t="n">
        <f aca="false">MAX(E213+E215,-2)</f>
        <v>0</v>
      </c>
      <c r="G212" s="2294"/>
      <c r="H212" s="2239"/>
      <c r="I212" s="2127"/>
      <c r="J212" s="972"/>
      <c r="K212" s="2293"/>
      <c r="O212" s="1857" t="s">
        <v>242</v>
      </c>
      <c r="P212" s="1857" t="s">
        <v>243</v>
      </c>
    </row>
    <row r="213" customFormat="false" ht="12" hidden="false" customHeight="true" outlineLevel="0" collapsed="false">
      <c r="A213" s="2291"/>
      <c r="B213" s="972"/>
      <c r="C213" s="2299"/>
      <c r="D213" s="2132" t="n">
        <f aca="false">'Saisie et Calculateur'!D722</f>
        <v>0.901122019635344</v>
      </c>
      <c r="E213" s="2132" t="n">
        <f aca="false">IF(D213&gt;=O209,O210,P210)</f>
        <v>0</v>
      </c>
      <c r="F213" s="2298"/>
      <c r="G213" s="2294"/>
      <c r="H213" s="2239"/>
      <c r="I213" s="2127"/>
      <c r="J213" s="972"/>
      <c r="K213" s="2293"/>
      <c r="N213" s="1861" t="s">
        <v>2874</v>
      </c>
      <c r="O213" s="1857" t="s">
        <v>2872</v>
      </c>
      <c r="P213" s="1857" t="n">
        <v>0</v>
      </c>
    </row>
    <row r="214" customFormat="false" ht="15" hidden="false" customHeight="true" outlineLevel="0" collapsed="false">
      <c r="A214" s="2291"/>
      <c r="B214" s="972"/>
      <c r="C214" s="2299"/>
      <c r="D214" s="2300" t="s">
        <v>2875</v>
      </c>
      <c r="E214" s="2199"/>
      <c r="F214" s="2298"/>
      <c r="G214" s="2294"/>
      <c r="H214" s="2239"/>
      <c r="I214" s="2127"/>
      <c r="J214" s="972"/>
      <c r="K214" s="2293"/>
    </row>
    <row r="215" customFormat="false" ht="12" hidden="false" customHeight="true" outlineLevel="0" collapsed="false">
      <c r="A215" s="2291"/>
      <c r="B215" s="972"/>
      <c r="C215" s="2129"/>
      <c r="D215" s="2132" t="str">
        <f aca="false">'Saisie et Calculateur'!D723</f>
        <v>non</v>
      </c>
      <c r="E215" s="2132" t="n">
        <f aca="false">IF(D215="oui",-2,0)</f>
        <v>0</v>
      </c>
      <c r="F215" s="2298"/>
      <c r="G215" s="2294"/>
      <c r="H215" s="2239"/>
      <c r="I215" s="2127"/>
      <c r="J215" s="972"/>
      <c r="K215" s="2293"/>
      <c r="N215" s="1874" t="s">
        <v>2876</v>
      </c>
      <c r="O215" s="1874" t="n">
        <v>0</v>
      </c>
      <c r="P215" s="1874" t="n">
        <v>1</v>
      </c>
      <c r="Q215" s="2128" t="n">
        <v>2</v>
      </c>
      <c r="R215" s="1874"/>
    </row>
    <row r="216" customFormat="false" ht="17.25" hidden="false" customHeight="true" outlineLevel="0" collapsed="false">
      <c r="A216" s="2291"/>
      <c r="B216" s="972"/>
      <c r="C216" s="2143" t="s">
        <v>2877</v>
      </c>
      <c r="D216" s="2143"/>
      <c r="E216" s="2143"/>
      <c r="F216" s="2143"/>
      <c r="G216" s="2301" t="n">
        <f aca="false">F218</f>
        <v>2</v>
      </c>
      <c r="H216" s="2239"/>
      <c r="I216" s="2127"/>
      <c r="J216" s="972"/>
      <c r="K216" s="2293"/>
      <c r="N216" s="1874" t="s">
        <v>2732</v>
      </c>
      <c r="O216" s="1874" t="n">
        <v>3</v>
      </c>
      <c r="P216" s="1874" t="n">
        <v>2</v>
      </c>
      <c r="Q216" s="2128" t="n">
        <v>1</v>
      </c>
      <c r="R216" s="1874" t="n">
        <v>0</v>
      </c>
    </row>
    <row r="217" customFormat="false" ht="12" hidden="false" customHeight="true" outlineLevel="0" collapsed="false">
      <c r="A217" s="2291"/>
      <c r="B217" s="972"/>
      <c r="C217" s="2129"/>
      <c r="D217" s="1826" t="s">
        <v>2878</v>
      </c>
      <c r="E217" s="972"/>
      <c r="F217" s="2302"/>
      <c r="G217" s="2301"/>
      <c r="H217" s="2239"/>
      <c r="I217" s="2127"/>
      <c r="J217" s="972"/>
      <c r="K217" s="2293"/>
    </row>
    <row r="218" customFormat="false" ht="12" hidden="false" customHeight="true" outlineLevel="0" collapsed="false">
      <c r="A218" s="2291"/>
      <c r="B218" s="972"/>
      <c r="C218" s="2129"/>
      <c r="D218" s="2302" t="n">
        <f aca="false">'Saisie et Calculateur'!D726</f>
        <v>0.182478962131837</v>
      </c>
      <c r="E218" s="2303"/>
      <c r="F218" s="1022" t="n">
        <f aca="false">IF(D218=O215,O216,IF(D218&lt;=P215,P216,IF(D218&lt;=Q215,Q216,R216)))</f>
        <v>2</v>
      </c>
      <c r="G218" s="2301"/>
      <c r="H218" s="2239"/>
      <c r="I218" s="2127"/>
      <c r="J218" s="972"/>
      <c r="K218" s="2293"/>
      <c r="N218" s="1874" t="s">
        <v>2879</v>
      </c>
      <c r="O218" s="2142" t="n">
        <v>0.6</v>
      </c>
      <c r="P218" s="2142" t="n">
        <v>0.3</v>
      </c>
      <c r="Q218" s="1874"/>
    </row>
    <row r="219" customFormat="false" ht="12" hidden="false" customHeight="true" outlineLevel="0" collapsed="false">
      <c r="A219" s="2291"/>
      <c r="B219" s="972"/>
      <c r="C219" s="2143" t="s">
        <v>2880</v>
      </c>
      <c r="D219" s="2143"/>
      <c r="E219" s="2143"/>
      <c r="F219" s="2143"/>
      <c r="G219" s="2304" t="n">
        <f aca="false">MIN(2,F221+F223)</f>
        <v>1</v>
      </c>
      <c r="H219" s="2239"/>
      <c r="I219" s="2127"/>
      <c r="J219" s="972"/>
      <c r="K219" s="2293"/>
      <c r="N219" s="1874" t="s">
        <v>2732</v>
      </c>
      <c r="O219" s="1874" t="n">
        <v>2</v>
      </c>
      <c r="P219" s="1874" t="n">
        <v>1</v>
      </c>
      <c r="Q219" s="1874" t="n">
        <v>0</v>
      </c>
    </row>
    <row r="220" customFormat="false" ht="12" hidden="false" customHeight="true" outlineLevel="0" collapsed="false">
      <c r="A220" s="2291"/>
      <c r="B220" s="972"/>
      <c r="C220" s="2129"/>
      <c r="D220" s="972" t="s">
        <v>2881</v>
      </c>
      <c r="E220" s="972"/>
      <c r="F220" s="972"/>
      <c r="G220" s="2304"/>
      <c r="H220" s="2239"/>
      <c r="I220" s="2127"/>
      <c r="J220" s="972"/>
      <c r="K220" s="2293"/>
    </row>
    <row r="221" customFormat="false" ht="12" hidden="false" customHeight="true" outlineLevel="0" collapsed="false">
      <c r="A221" s="2291"/>
      <c r="B221" s="972"/>
      <c r="C221" s="2276"/>
      <c r="D221" s="2132" t="str">
        <f aca="false">'Saisie et Calculateur'!D728</f>
        <v>oui</v>
      </c>
      <c r="E221" s="2132"/>
      <c r="F221" s="2132" t="n">
        <f aca="false">IF(D221="oui",1,0)</f>
        <v>1</v>
      </c>
      <c r="G221" s="2304"/>
      <c r="H221" s="2239"/>
      <c r="I221" s="2127"/>
      <c r="J221" s="972"/>
      <c r="K221" s="2293"/>
    </row>
    <row r="222" customFormat="false" ht="12" hidden="false" customHeight="true" outlineLevel="0" collapsed="false">
      <c r="A222" s="2291"/>
      <c r="B222" s="972"/>
      <c r="C222" s="2131"/>
      <c r="D222" s="2161" t="s">
        <v>2882</v>
      </c>
      <c r="E222" s="2132"/>
      <c r="F222" s="2132"/>
      <c r="G222" s="2304"/>
      <c r="H222" s="2239"/>
      <c r="I222" s="2127"/>
      <c r="J222" s="972"/>
      <c r="K222" s="2293"/>
    </row>
    <row r="223" customFormat="false" ht="12" hidden="false" customHeight="true" outlineLevel="0" collapsed="false">
      <c r="A223" s="2291"/>
      <c r="B223" s="972"/>
      <c r="C223" s="2145"/>
      <c r="D223" s="2305" t="n">
        <f aca="false">'Saisie et Calculateur'!J732</f>
        <v>0</v>
      </c>
      <c r="E223" s="2148"/>
      <c r="F223" s="2306" t="n">
        <f aca="false">IF(D223&gt;O218,O219,IF(D223&gt;P218,P219,Q219))</f>
        <v>0</v>
      </c>
      <c r="G223" s="2304"/>
      <c r="H223" s="2239"/>
      <c r="I223" s="2127"/>
      <c r="J223" s="972"/>
      <c r="K223" s="2293"/>
    </row>
    <row r="224" customFormat="false" ht="12" hidden="false" customHeight="true" outlineLevel="0" collapsed="false">
      <c r="A224" s="2291"/>
      <c r="B224" s="972"/>
      <c r="C224" s="972"/>
      <c r="D224" s="972"/>
      <c r="E224" s="972"/>
      <c r="F224" s="972"/>
      <c r="G224" s="972"/>
      <c r="H224" s="972"/>
      <c r="I224" s="972"/>
      <c r="J224" s="972"/>
      <c r="K224" s="2293"/>
    </row>
    <row r="225" customFormat="false" ht="12.75" hidden="false" customHeight="true" outlineLevel="0" collapsed="false">
      <c r="A225" s="2291"/>
      <c r="B225" s="972"/>
      <c r="C225" s="972"/>
      <c r="D225" s="972"/>
      <c r="E225" s="972"/>
      <c r="F225" s="972"/>
      <c r="G225" s="972"/>
      <c r="H225" s="972"/>
      <c r="I225" s="972"/>
      <c r="J225" s="972"/>
      <c r="K225" s="2293"/>
    </row>
    <row r="226" customFormat="false" ht="15" hidden="false" customHeight="true" outlineLevel="0" collapsed="false">
      <c r="A226" s="2291"/>
      <c r="B226" s="1754" t="s">
        <v>482</v>
      </c>
      <c r="C226" s="2235" t="s">
        <v>2883</v>
      </c>
      <c r="D226" s="2235"/>
      <c r="E226" s="2235"/>
      <c r="F226" s="2235"/>
      <c r="G226" s="2235"/>
      <c r="H226" s="2235"/>
      <c r="I226" s="2236" t="s">
        <v>2866</v>
      </c>
      <c r="J226" s="972"/>
      <c r="K226" s="2293"/>
    </row>
    <row r="227" customFormat="false" ht="15" hidden="false" customHeight="true" outlineLevel="0" collapsed="false">
      <c r="A227" s="2291"/>
      <c r="B227" s="972"/>
      <c r="C227" s="972"/>
      <c r="D227" s="972"/>
      <c r="E227" s="972"/>
      <c r="F227" s="972"/>
      <c r="G227" s="972"/>
      <c r="H227" s="972"/>
      <c r="I227" s="972"/>
      <c r="J227" s="972"/>
      <c r="K227" s="2293"/>
    </row>
    <row r="228" customFormat="false" ht="25.5" hidden="false" customHeight="true" outlineLevel="0" collapsed="false">
      <c r="A228" s="2291"/>
      <c r="B228" s="972"/>
      <c r="C228" s="2119" t="s">
        <v>2698</v>
      </c>
      <c r="D228" s="2119"/>
      <c r="E228" s="2119"/>
      <c r="F228" s="2119"/>
      <c r="G228" s="2119"/>
      <c r="H228" s="2120" t="s">
        <v>2699</v>
      </c>
      <c r="I228" s="2120" t="s">
        <v>2700</v>
      </c>
      <c r="J228" s="972"/>
      <c r="K228" s="2293"/>
    </row>
    <row r="229" customFormat="false" ht="13" hidden="false" customHeight="true" outlineLevel="0" collapsed="false">
      <c r="A229" s="2291"/>
      <c r="B229" s="972"/>
      <c r="C229" s="2307" t="s">
        <v>2884</v>
      </c>
      <c r="D229" s="2307"/>
      <c r="E229" s="2307"/>
      <c r="F229" s="2307"/>
      <c r="G229" s="2153" t="n">
        <f aca="false">MIN(3,F231+F233)</f>
        <v>2</v>
      </c>
      <c r="H229" s="2308" t="n">
        <f aca="false">G229+G234</f>
        <v>4</v>
      </c>
      <c r="I229" s="2309" t="n">
        <f aca="false">MIN(6,H229)</f>
        <v>4</v>
      </c>
      <c r="J229" s="972"/>
      <c r="K229" s="2293"/>
      <c r="N229" s="1861" t="s">
        <v>2885</v>
      </c>
      <c r="O229" s="1857" t="n">
        <v>4</v>
      </c>
      <c r="P229" s="1857" t="n">
        <v>2</v>
      </c>
      <c r="Q229" s="1857" t="s">
        <v>2886</v>
      </c>
    </row>
    <row r="230" customFormat="false" ht="13" hidden="false" customHeight="true" outlineLevel="0" collapsed="false">
      <c r="A230" s="2291"/>
      <c r="B230" s="972"/>
      <c r="C230" s="2131"/>
      <c r="D230" s="2300" t="s">
        <v>2887</v>
      </c>
      <c r="E230" s="2132"/>
      <c r="F230" s="2132"/>
      <c r="G230" s="2153"/>
      <c r="H230" s="2308"/>
      <c r="I230" s="2309"/>
      <c r="J230" s="972"/>
      <c r="K230" s="2293"/>
      <c r="N230" s="1700" t="s">
        <v>2782</v>
      </c>
      <c r="O230" s="1857" t="n">
        <v>0</v>
      </c>
      <c r="P230" s="1857" t="n">
        <v>1</v>
      </c>
      <c r="Q230" s="1857" t="n">
        <v>2</v>
      </c>
      <c r="R230" s="1607" t="s">
        <v>2888</v>
      </c>
      <c r="W230" s="2310"/>
    </row>
    <row r="231" customFormat="false" ht="13" hidden="false" customHeight="true" outlineLevel="0" collapsed="false">
      <c r="A231" s="2291"/>
      <c r="B231" s="972"/>
      <c r="C231" s="2311"/>
      <c r="D231" s="2312" t="n">
        <f aca="false">'Saisie et Calculateur'!E744</f>
        <v>5</v>
      </c>
      <c r="E231" s="2313" t="s">
        <v>2889</v>
      </c>
      <c r="F231" s="2161" t="n">
        <f aca="false">IF(D231=",",R230,IF(D231&gt;=O229,O230,IF(D231&gt;=P229,P230,Q230)))</f>
        <v>0</v>
      </c>
      <c r="G231" s="2153"/>
      <c r="H231" s="2308"/>
      <c r="I231" s="2309"/>
      <c r="J231" s="972"/>
      <c r="K231" s="2293"/>
    </row>
    <row r="232" customFormat="false" ht="13" hidden="false" customHeight="true" outlineLevel="0" collapsed="false">
      <c r="A232" s="2291"/>
      <c r="B232" s="972"/>
      <c r="C232" s="2311"/>
      <c r="D232" s="2300" t="s">
        <v>2890</v>
      </c>
      <c r="E232" s="972"/>
      <c r="F232" s="2314"/>
      <c r="G232" s="2153"/>
      <c r="H232" s="2308"/>
      <c r="I232" s="2309"/>
      <c r="J232" s="972"/>
      <c r="K232" s="2293"/>
    </row>
    <row r="233" customFormat="false" ht="13" hidden="false" customHeight="true" outlineLevel="0" collapsed="false">
      <c r="A233" s="2291"/>
      <c r="B233" s="972"/>
      <c r="C233" s="2131"/>
      <c r="D233" s="2315" t="n">
        <f aca="false">'Saisie et Calculateur'!E748</f>
        <v>3</v>
      </c>
      <c r="E233" s="2269" t="s">
        <v>2891</v>
      </c>
      <c r="F233" s="2161" t="n">
        <f aca="false">IF(D233&gt;1,2,IF(D233=0,0,1))</f>
        <v>2</v>
      </c>
      <c r="G233" s="2153"/>
      <c r="H233" s="2308"/>
      <c r="I233" s="2309"/>
      <c r="J233" s="972"/>
      <c r="K233" s="2293"/>
    </row>
    <row r="234" customFormat="false" ht="12" hidden="false" customHeight="true" outlineLevel="0" collapsed="false">
      <c r="A234" s="2291"/>
      <c r="B234" s="972"/>
      <c r="C234" s="2186" t="s">
        <v>2892</v>
      </c>
      <c r="D234" s="2146"/>
      <c r="E234" s="2146"/>
      <c r="F234" s="2146"/>
      <c r="G234" s="2316" t="n">
        <f aca="false">'Saisie et Calculateur'!J755</f>
        <v>2</v>
      </c>
      <c r="H234" s="2308"/>
      <c r="I234" s="2309"/>
      <c r="J234" s="972"/>
      <c r="K234" s="2293"/>
    </row>
    <row r="235" customFormat="false" ht="12" hidden="false" customHeight="true" outlineLevel="0" collapsed="false">
      <c r="A235" s="2291"/>
      <c r="B235" s="972"/>
      <c r="C235" s="972"/>
      <c r="D235" s="972"/>
      <c r="E235" s="972"/>
      <c r="F235" s="972"/>
      <c r="G235" s="972"/>
      <c r="H235" s="972"/>
      <c r="I235" s="972"/>
      <c r="J235" s="972"/>
      <c r="K235" s="2293"/>
    </row>
    <row r="236" customFormat="false" ht="12.75" hidden="false" customHeight="true" outlineLevel="0" collapsed="false">
      <c r="A236" s="2291"/>
      <c r="B236" s="972"/>
      <c r="C236" s="972"/>
      <c r="D236" s="972"/>
      <c r="E236" s="972"/>
      <c r="F236" s="972"/>
      <c r="G236" s="972"/>
      <c r="H236" s="972"/>
      <c r="I236" s="972"/>
      <c r="J236" s="972"/>
      <c r="K236" s="2293"/>
    </row>
    <row r="237" customFormat="false" ht="12" hidden="false" customHeight="true" outlineLevel="0" collapsed="false">
      <c r="A237" s="2291"/>
      <c r="B237" s="1754" t="s">
        <v>548</v>
      </c>
      <c r="C237" s="2235" t="s">
        <v>2893</v>
      </c>
      <c r="D237" s="2235"/>
      <c r="E237" s="2235"/>
      <c r="F237" s="2235"/>
      <c r="G237" s="2235"/>
      <c r="H237" s="2235"/>
      <c r="I237" s="2236" t="s">
        <v>2866</v>
      </c>
      <c r="J237" s="972"/>
      <c r="K237" s="2293"/>
    </row>
    <row r="238" customFormat="false" ht="12.75" hidden="false" customHeight="true" outlineLevel="0" collapsed="false">
      <c r="A238" s="2291"/>
      <c r="B238" s="1754"/>
      <c r="C238" s="972"/>
      <c r="D238" s="972"/>
      <c r="E238" s="972"/>
      <c r="F238" s="972"/>
      <c r="G238" s="972"/>
      <c r="H238" s="972"/>
      <c r="I238" s="972"/>
      <c r="J238" s="972"/>
      <c r="K238" s="2293"/>
    </row>
    <row r="239" customFormat="false" ht="43" hidden="false" customHeight="false" outlineLevel="0" collapsed="false">
      <c r="A239" s="2291"/>
      <c r="B239" s="972"/>
      <c r="C239" s="2119" t="s">
        <v>2698</v>
      </c>
      <c r="D239" s="2119"/>
      <c r="E239" s="2119"/>
      <c r="F239" s="2119"/>
      <c r="G239" s="2119"/>
      <c r="H239" s="2120" t="s">
        <v>2699</v>
      </c>
      <c r="I239" s="2120" t="s">
        <v>2700</v>
      </c>
      <c r="J239" s="972"/>
      <c r="K239" s="2293"/>
      <c r="T239" s="972"/>
      <c r="U239" s="972"/>
    </row>
    <row r="240" customFormat="false" ht="12" hidden="false" customHeight="true" outlineLevel="0" collapsed="false">
      <c r="A240" s="2291"/>
      <c r="B240" s="972"/>
      <c r="C240" s="2174" t="s">
        <v>2894</v>
      </c>
      <c r="D240" s="2174"/>
      <c r="E240" s="2174"/>
      <c r="F240" s="1983"/>
      <c r="G240" s="2317" t="n">
        <f aca="false">IF(E241&lt;O240,O241,IF(E241&lt;P240,P241,IF(E241&lt;Q240,Q241,IF(E241&lt;R240,R241,IF(E241&lt;S240,S241,IF(E241&lt;T240,T241,U241))))))</f>
        <v>4</v>
      </c>
      <c r="H240" s="2318" t="n">
        <f aca="false">G240</f>
        <v>4</v>
      </c>
      <c r="I240" s="2309" t="n">
        <f aca="false">MIN(6,H240)</f>
        <v>4</v>
      </c>
      <c r="J240" s="972"/>
      <c r="K240" s="2293"/>
      <c r="N240" s="1874" t="s">
        <v>2895</v>
      </c>
      <c r="O240" s="1874" t="n">
        <v>200</v>
      </c>
      <c r="P240" s="1874" t="n">
        <v>400</v>
      </c>
      <c r="Q240" s="1874" t="n">
        <v>600</v>
      </c>
      <c r="R240" s="1874" t="n">
        <v>800</v>
      </c>
      <c r="S240" s="2128" t="n">
        <v>1000</v>
      </c>
      <c r="T240" s="1874" t="n">
        <v>1200</v>
      </c>
      <c r="U240" s="1874"/>
    </row>
    <row r="241" customFormat="false" ht="12" hidden="false" customHeight="true" outlineLevel="0" collapsed="false">
      <c r="A241" s="2291"/>
      <c r="B241" s="972"/>
      <c r="C241" s="2319"/>
      <c r="D241" s="2320" t="s">
        <v>2896</v>
      </c>
      <c r="E241" s="2321" t="n">
        <f aca="false">'Saisie et Calculateur'!H781</f>
        <v>548.98838</v>
      </c>
      <c r="F241" s="2146"/>
      <c r="G241" s="2253"/>
      <c r="H241" s="2318"/>
      <c r="I241" s="2309"/>
      <c r="J241" s="972"/>
      <c r="K241" s="2293"/>
      <c r="N241" s="1874" t="s">
        <v>2732</v>
      </c>
      <c r="O241" s="1874" t="n">
        <v>6</v>
      </c>
      <c r="P241" s="1874" t="n">
        <v>5</v>
      </c>
      <c r="Q241" s="1874" t="n">
        <v>4</v>
      </c>
      <c r="R241" s="1874" t="n">
        <v>3</v>
      </c>
      <c r="S241" s="2128" t="n">
        <v>2</v>
      </c>
      <c r="T241" s="1874" t="n">
        <v>1</v>
      </c>
      <c r="U241" s="1874" t="n">
        <v>0</v>
      </c>
    </row>
    <row r="242" customFormat="false" ht="12" hidden="false" customHeight="true" outlineLevel="0" collapsed="false">
      <c r="A242" s="2291"/>
      <c r="B242" s="972"/>
      <c r="C242" s="972"/>
      <c r="D242" s="972"/>
      <c r="E242" s="972"/>
      <c r="F242" s="972"/>
      <c r="G242" s="972"/>
      <c r="H242" s="972"/>
      <c r="I242" s="972"/>
      <c r="J242" s="972"/>
      <c r="K242" s="2293"/>
    </row>
    <row r="243" customFormat="false" ht="12" hidden="false" customHeight="true" outlineLevel="0" collapsed="false">
      <c r="A243" s="2291"/>
      <c r="B243" s="972"/>
      <c r="C243" s="972"/>
      <c r="D243" s="972"/>
      <c r="E243" s="972"/>
      <c r="F243" s="972"/>
      <c r="G243" s="972"/>
      <c r="H243" s="972"/>
      <c r="I243" s="972"/>
      <c r="J243" s="972"/>
      <c r="K243" s="2293"/>
    </row>
    <row r="244" customFormat="false" ht="28.5" hidden="false" customHeight="true" outlineLevel="0" collapsed="false">
      <c r="A244" s="2291"/>
      <c r="B244" s="1754" t="s">
        <v>249</v>
      </c>
      <c r="C244" s="2322" t="s">
        <v>2897</v>
      </c>
      <c r="D244" s="2322"/>
      <c r="E244" s="2322"/>
      <c r="F244" s="2322"/>
      <c r="G244" s="2322"/>
      <c r="H244" s="2322"/>
      <c r="I244" s="2323" t="s">
        <v>2866</v>
      </c>
      <c r="J244" s="972"/>
      <c r="K244" s="2293"/>
      <c r="T244" s="972"/>
      <c r="U244" s="2324"/>
      <c r="V244" s="972"/>
    </row>
    <row r="245" customFormat="false" ht="12.75" hidden="false" customHeight="true" outlineLevel="0" collapsed="false">
      <c r="A245" s="2291"/>
      <c r="B245" s="972"/>
      <c r="C245" s="972"/>
      <c r="D245" s="972"/>
      <c r="E245" s="972"/>
      <c r="F245" s="972"/>
      <c r="G245" s="972"/>
      <c r="H245" s="972"/>
      <c r="I245" s="972"/>
      <c r="J245" s="972"/>
      <c r="K245" s="2293"/>
    </row>
    <row r="246" customFormat="false" ht="25.5" hidden="false" customHeight="true" outlineLevel="0" collapsed="false">
      <c r="A246" s="2291"/>
      <c r="B246" s="972"/>
      <c r="C246" s="2119" t="s">
        <v>2698</v>
      </c>
      <c r="D246" s="2119"/>
      <c r="E246" s="2119"/>
      <c r="F246" s="2119"/>
      <c r="G246" s="2119"/>
      <c r="H246" s="2120" t="s">
        <v>2699</v>
      </c>
      <c r="I246" s="2120" t="s">
        <v>2700</v>
      </c>
      <c r="J246" s="972"/>
      <c r="K246" s="2293"/>
      <c r="Q246" s="972"/>
      <c r="R246" s="1007"/>
      <c r="S246" s="1007"/>
      <c r="T246" s="1007"/>
    </row>
    <row r="247" customFormat="false" ht="13.5" hidden="false" customHeight="true" outlineLevel="0" collapsed="false">
      <c r="A247" s="2291"/>
      <c r="B247" s="972"/>
      <c r="C247" s="2325" t="s">
        <v>2898</v>
      </c>
      <c r="D247" s="2326"/>
      <c r="E247" s="2326"/>
      <c r="F247" s="2326"/>
      <c r="G247" s="2176" t="n">
        <f aca="false">MIN(6,SUM(F249,F251,F252))</f>
        <v>5</v>
      </c>
      <c r="H247" s="2239" t="n">
        <f aca="false">IF(E260="Pas d'UGB",G247,MIN(G247,G258))</f>
        <v>4</v>
      </c>
      <c r="I247" s="2327" t="n">
        <f aca="false">IF(H247&lt;0,0,MIN(6,H247))</f>
        <v>4</v>
      </c>
      <c r="J247" s="972"/>
      <c r="K247" s="2293"/>
      <c r="Q247" s="972"/>
      <c r="R247" s="1007"/>
      <c r="S247" s="1007"/>
      <c r="T247" s="1007"/>
    </row>
    <row r="248" customFormat="false" ht="13" hidden="false" customHeight="true" outlineLevel="0" collapsed="false">
      <c r="A248" s="2291"/>
      <c r="B248" s="972"/>
      <c r="C248" s="2228" t="s">
        <v>2899</v>
      </c>
      <c r="D248" s="2228"/>
      <c r="E248" s="2228"/>
      <c r="F248" s="2228"/>
      <c r="G248" s="2176"/>
      <c r="H248" s="2239"/>
      <c r="I248" s="2327"/>
      <c r="J248" s="972"/>
      <c r="K248" s="2293"/>
      <c r="N248" s="1874" t="s">
        <v>2900</v>
      </c>
      <c r="O248" s="1874" t="n">
        <v>1</v>
      </c>
      <c r="P248" s="1874" t="n">
        <v>2</v>
      </c>
      <c r="Q248" s="1874" t="n">
        <v>4</v>
      </c>
      <c r="R248" s="1699" t="n">
        <v>6</v>
      </c>
      <c r="S248" s="1699" t="n">
        <v>10</v>
      </c>
      <c r="T248" s="2173" t="n">
        <v>15</v>
      </c>
      <c r="U248" s="2189"/>
    </row>
    <row r="249" customFormat="false" ht="13" hidden="false" customHeight="true" outlineLevel="0" collapsed="false">
      <c r="A249" s="2291"/>
      <c r="B249" s="972"/>
      <c r="C249" s="2143"/>
      <c r="D249" s="2132"/>
      <c r="E249" s="2132" t="n">
        <f aca="false">'Saisie et Calculateur'!D802</f>
        <v>0.492158134642356</v>
      </c>
      <c r="F249" s="2132" t="n">
        <f aca="false">IF(E249&lt;O248,O249,IF(E249&lt;=P248,P249,IF(E249&lt;=Q248,Q249,IF(E249&lt;=R248,R249,IF(E249&lt;=S248,S249,IF(E249&lt;=T248,T249,U249))))))</f>
        <v>6</v>
      </c>
      <c r="G249" s="2176"/>
      <c r="H249" s="2239"/>
      <c r="I249" s="2327"/>
      <c r="J249" s="972"/>
      <c r="K249" s="2293"/>
      <c r="N249" s="1874" t="s">
        <v>2732</v>
      </c>
      <c r="O249" s="1874" t="n">
        <v>6</v>
      </c>
      <c r="P249" s="1874" t="n">
        <v>5</v>
      </c>
      <c r="Q249" s="1699" t="n">
        <v>4</v>
      </c>
      <c r="R249" s="1699" t="n">
        <v>3</v>
      </c>
      <c r="S249" s="1699" t="n">
        <v>2</v>
      </c>
      <c r="T249" s="2173" t="n">
        <v>1</v>
      </c>
      <c r="U249" s="1699" t="n">
        <v>0</v>
      </c>
    </row>
    <row r="250" customFormat="false" ht="13" hidden="false" customHeight="true" outlineLevel="0" collapsed="false">
      <c r="A250" s="2291"/>
      <c r="B250" s="972"/>
      <c r="C250" s="2143" t="s">
        <v>2901</v>
      </c>
      <c r="D250" s="2143"/>
      <c r="E250" s="2143"/>
      <c r="F250" s="2143"/>
      <c r="G250" s="2176"/>
      <c r="H250" s="2239"/>
      <c r="I250" s="2327"/>
      <c r="J250" s="972"/>
      <c r="K250" s="2293"/>
      <c r="U250" s="972"/>
    </row>
    <row r="251" customFormat="false" ht="13" hidden="false" customHeight="true" outlineLevel="0" collapsed="false">
      <c r="A251" s="2291"/>
      <c r="B251" s="972"/>
      <c r="C251" s="2328"/>
      <c r="D251" s="1826"/>
      <c r="E251" s="1826"/>
      <c r="F251" s="2208" t="n">
        <f aca="false">IF('Saisie et Calculateur'!F804="oui",-1,0)</f>
        <v>-1</v>
      </c>
      <c r="G251" s="2176"/>
      <c r="H251" s="2239"/>
      <c r="I251" s="2327"/>
      <c r="J251" s="972"/>
      <c r="K251" s="2293"/>
    </row>
    <row r="252" customFormat="false" ht="13" hidden="false" customHeight="true" outlineLevel="0" collapsed="false">
      <c r="A252" s="2291"/>
      <c r="B252" s="972"/>
      <c r="C252" s="2328" t="s">
        <v>2902</v>
      </c>
      <c r="D252" s="1826"/>
      <c r="E252" s="1826"/>
      <c r="F252" s="2208" t="n">
        <f aca="false">IF(SUM(F253:F256)&gt;2,1,0)</f>
        <v>0</v>
      </c>
      <c r="G252" s="2176"/>
      <c r="H252" s="2239"/>
      <c r="I252" s="2327"/>
      <c r="J252" s="972"/>
      <c r="K252" s="2293"/>
    </row>
    <row r="253" customFormat="false" ht="13" hidden="false" customHeight="true" outlineLevel="0" collapsed="false">
      <c r="A253" s="2291"/>
      <c r="B253" s="972"/>
      <c r="C253" s="2329" t="s">
        <v>2903</v>
      </c>
      <c r="D253" s="2329"/>
      <c r="E253" s="2330" t="str">
        <f aca="false">'Saisie et Calculateur'!E808</f>
        <v>non</v>
      </c>
      <c r="F253" s="2331" t="n">
        <f aca="false">IF(E253="oui",1,0)</f>
        <v>0</v>
      </c>
      <c r="G253" s="2176"/>
      <c r="H253" s="2239"/>
      <c r="I253" s="2327"/>
      <c r="J253" s="972"/>
      <c r="K253" s="2293"/>
    </row>
    <row r="254" customFormat="false" ht="13" hidden="false" customHeight="true" outlineLevel="0" collapsed="false">
      <c r="A254" s="2291"/>
      <c r="B254" s="972"/>
      <c r="C254" s="2329" t="s">
        <v>2904</v>
      </c>
      <c r="D254" s="2329"/>
      <c r="E254" s="2330" t="str">
        <f aca="false">'Saisie et Calculateur'!E809</f>
        <v>oui</v>
      </c>
      <c r="F254" s="2331" t="n">
        <f aca="false">IF(E254="oui",1,0)</f>
        <v>1</v>
      </c>
      <c r="G254" s="2176"/>
      <c r="H254" s="2239"/>
      <c r="I254" s="2327"/>
      <c r="J254" s="972"/>
      <c r="K254" s="2293"/>
    </row>
    <row r="255" customFormat="false" ht="13" hidden="false" customHeight="true" outlineLevel="0" collapsed="false">
      <c r="A255" s="2291"/>
      <c r="B255" s="972"/>
      <c r="C255" s="2329" t="s">
        <v>2905</v>
      </c>
      <c r="D255" s="2329"/>
      <c r="E255" s="2330" t="str">
        <f aca="false">'Saisie et Calculateur'!E810</f>
        <v>non</v>
      </c>
      <c r="F255" s="2331" t="n">
        <f aca="false">IF(E255="oui",1,0)</f>
        <v>0</v>
      </c>
      <c r="G255" s="2176"/>
      <c r="H255" s="2239"/>
      <c r="I255" s="2327"/>
      <c r="J255" s="972"/>
      <c r="K255" s="2293"/>
    </row>
    <row r="256" customFormat="false" ht="13" hidden="false" customHeight="true" outlineLevel="0" collapsed="false">
      <c r="A256" s="2291"/>
      <c r="B256" s="972"/>
      <c r="C256" s="2329" t="s">
        <v>2906</v>
      </c>
      <c r="D256" s="2329"/>
      <c r="E256" s="2330" t="str">
        <f aca="false">'Saisie et Calculateur'!E811</f>
        <v>oui</v>
      </c>
      <c r="F256" s="2331" t="n">
        <f aca="false">IF(E256="oui",1,0)</f>
        <v>1</v>
      </c>
      <c r="G256" s="2176"/>
      <c r="H256" s="2239"/>
      <c r="I256" s="2327"/>
      <c r="J256" s="972"/>
      <c r="K256" s="2293"/>
    </row>
    <row r="257" customFormat="false" ht="13" hidden="false" customHeight="true" outlineLevel="0" collapsed="false">
      <c r="A257" s="2291"/>
      <c r="B257" s="972"/>
      <c r="C257" s="2328"/>
      <c r="D257" s="1826"/>
      <c r="E257" s="1826"/>
      <c r="F257" s="2208"/>
      <c r="G257" s="2332"/>
      <c r="H257" s="2239"/>
      <c r="I257" s="2327"/>
      <c r="J257" s="972"/>
      <c r="K257" s="2293"/>
    </row>
    <row r="258" customFormat="false" ht="13" hidden="false" customHeight="true" outlineLevel="0" collapsed="false">
      <c r="A258" s="2291"/>
      <c r="B258" s="972"/>
      <c r="C258" s="2333" t="s">
        <v>2907</v>
      </c>
      <c r="D258" s="1826"/>
      <c r="E258" s="1826"/>
      <c r="F258" s="1826"/>
      <c r="G258" s="2334" t="n">
        <f aca="false">IF(SUM(F260,F261,F264)&lt;0,0,MIN(6,SUM(F260,F261,F264)))</f>
        <v>4</v>
      </c>
      <c r="H258" s="2239"/>
      <c r="I258" s="2327"/>
      <c r="J258" s="972"/>
      <c r="K258" s="2293"/>
    </row>
    <row r="259" customFormat="false" ht="12.75" hidden="false" customHeight="true" outlineLevel="0" collapsed="false">
      <c r="A259" s="2291"/>
      <c r="B259" s="972"/>
      <c r="C259" s="2131" t="s">
        <v>2908</v>
      </c>
      <c r="D259" s="2131"/>
      <c r="E259" s="2131"/>
      <c r="F259" s="2131"/>
      <c r="G259" s="2334"/>
      <c r="H259" s="2239"/>
      <c r="I259" s="2327"/>
      <c r="J259" s="972"/>
      <c r="K259" s="2293"/>
      <c r="N259" s="1874" t="s">
        <v>2909</v>
      </c>
      <c r="O259" s="1861" t="n">
        <v>0.4</v>
      </c>
      <c r="P259" s="1861" t="n">
        <v>0.8</v>
      </c>
      <c r="Q259" s="1861" t="n">
        <v>1.2</v>
      </c>
      <c r="R259" s="1861" t="n">
        <v>1.6</v>
      </c>
      <c r="S259" s="1700" t="n">
        <v>2</v>
      </c>
      <c r="T259" s="2189"/>
    </row>
    <row r="260" customFormat="false" ht="13.5" hidden="false" customHeight="true" outlineLevel="0" collapsed="false">
      <c r="A260" s="2291"/>
      <c r="B260" s="972"/>
      <c r="C260" s="2143"/>
      <c r="D260" s="972" t="s">
        <v>2910</v>
      </c>
      <c r="E260" s="2335" t="n">
        <f aca="false">'Saisie et Calculateur'!G816</f>
        <v>0.867052023121387</v>
      </c>
      <c r="F260" s="2162" t="n">
        <f aca="false">IF(E260="Pas d'UGB","XXXX",IF(E260&lt;=O259,O260,IF(E260&lt;=P259,P260,IF(E260&lt;=Q259,Q260,IF(E260&lt;=R259,R260,IF(E260&lt;=S259,S260,T260))))))</f>
        <v>3</v>
      </c>
      <c r="G260" s="2334"/>
      <c r="H260" s="2239"/>
      <c r="I260" s="2327"/>
      <c r="J260" s="972"/>
      <c r="K260" s="2293"/>
      <c r="N260" s="1874" t="s">
        <v>2732</v>
      </c>
      <c r="O260" s="1861" t="n">
        <v>5</v>
      </c>
      <c r="P260" s="1861" t="n">
        <v>4</v>
      </c>
      <c r="Q260" s="1861" t="n">
        <v>3</v>
      </c>
      <c r="R260" s="1700" t="n">
        <v>2</v>
      </c>
      <c r="S260" s="1700" t="n">
        <v>1</v>
      </c>
      <c r="T260" s="1700" t="n">
        <v>0</v>
      </c>
    </row>
    <row r="261" customFormat="false" ht="14" hidden="false" customHeight="true" outlineLevel="0" collapsed="false">
      <c r="A261" s="2291"/>
      <c r="B261" s="972"/>
      <c r="C261" s="2131" t="s">
        <v>2911</v>
      </c>
      <c r="D261" s="2131"/>
      <c r="E261" s="2131"/>
      <c r="F261" s="2199" t="n">
        <f aca="false">MIN(1,SUM(E262:E263))</f>
        <v>1</v>
      </c>
      <c r="G261" s="2334"/>
      <c r="H261" s="2239"/>
      <c r="I261" s="2327"/>
      <c r="J261" s="972"/>
      <c r="K261" s="2293"/>
    </row>
    <row r="262" customFormat="false" ht="14" hidden="false" customHeight="true" outlineLevel="0" collapsed="false">
      <c r="A262" s="2291"/>
      <c r="B262" s="972"/>
      <c r="C262" s="2143"/>
      <c r="D262" s="2160" t="s">
        <v>2912</v>
      </c>
      <c r="E262" s="2262" t="n">
        <f aca="false">IF('Saisie et Calculateur'!F818="oui",1,0)</f>
        <v>0</v>
      </c>
      <c r="F262" s="972"/>
      <c r="G262" s="2334"/>
      <c r="H262" s="2239"/>
      <c r="I262" s="2327"/>
      <c r="J262" s="972"/>
      <c r="K262" s="2293"/>
    </row>
    <row r="263" customFormat="false" ht="14" hidden="false" customHeight="true" outlineLevel="0" collapsed="false">
      <c r="A263" s="2291"/>
      <c r="B263" s="972"/>
      <c r="C263" s="2143"/>
      <c r="D263" s="2160" t="s">
        <v>2913</v>
      </c>
      <c r="E263" s="2262" t="n">
        <f aca="false">IF('Saisie et Calculateur'!F819="oui",1,0)</f>
        <v>1</v>
      </c>
      <c r="F263" s="972"/>
      <c r="G263" s="2334"/>
      <c r="H263" s="2239"/>
      <c r="I263" s="2327"/>
      <c r="J263" s="972"/>
      <c r="K263" s="2293"/>
    </row>
    <row r="264" customFormat="false" ht="13" hidden="false" customHeight="true" outlineLevel="0" collapsed="false">
      <c r="A264" s="2291"/>
      <c r="B264" s="972"/>
      <c r="C264" s="2131" t="s">
        <v>2914</v>
      </c>
      <c r="D264" s="2131"/>
      <c r="E264" s="2131"/>
      <c r="F264" s="972" t="n">
        <f aca="false">SUM(F266:F267)</f>
        <v>0</v>
      </c>
      <c r="G264" s="2334"/>
      <c r="H264" s="2239"/>
      <c r="I264" s="2327"/>
      <c r="J264" s="972"/>
      <c r="K264" s="2293"/>
    </row>
    <row r="265" customFormat="false" ht="13" hidden="false" customHeight="true" outlineLevel="0" collapsed="false">
      <c r="A265" s="2291"/>
      <c r="B265" s="972"/>
      <c r="C265" s="2143"/>
      <c r="D265" s="2132" t="s">
        <v>2915</v>
      </c>
      <c r="E265" s="2132"/>
      <c r="F265" s="2160"/>
      <c r="G265" s="2334"/>
      <c r="H265" s="2239"/>
      <c r="I265" s="2327"/>
      <c r="J265" s="972"/>
      <c r="K265" s="2293"/>
    </row>
    <row r="266" customFormat="false" ht="13" hidden="false" customHeight="true" outlineLevel="0" collapsed="false">
      <c r="A266" s="2291"/>
      <c r="B266" s="972"/>
      <c r="C266" s="2143"/>
      <c r="D266" s="2132"/>
      <c r="E266" s="2132"/>
      <c r="F266" s="675" t="n">
        <f aca="false">IF('Saisie et Calculateur'!F821="oui",-1,0)</f>
        <v>0</v>
      </c>
      <c r="G266" s="2334"/>
      <c r="H266" s="2239"/>
      <c r="I266" s="2327"/>
      <c r="J266" s="972"/>
      <c r="K266" s="2293"/>
    </row>
    <row r="267" customFormat="false" ht="13" hidden="false" customHeight="true" outlineLevel="0" collapsed="false">
      <c r="A267" s="2291"/>
      <c r="B267" s="972"/>
      <c r="C267" s="2186"/>
      <c r="D267" s="2266" t="s">
        <v>2916</v>
      </c>
      <c r="E267" s="2266"/>
      <c r="F267" s="2336" t="n">
        <f aca="false">IF('Saisie et Calculateur'!F822="oui",-1,0)</f>
        <v>0</v>
      </c>
      <c r="G267" s="2334"/>
      <c r="H267" s="2239"/>
      <c r="I267" s="2327"/>
      <c r="J267" s="972"/>
      <c r="K267" s="2293"/>
    </row>
    <row r="268" customFormat="false" ht="13" hidden="false" customHeight="true" outlineLevel="0" collapsed="false">
      <c r="A268" s="2291"/>
      <c r="B268" s="2248"/>
      <c r="C268" s="2247"/>
      <c r="D268" s="2247"/>
      <c r="E268" s="2247"/>
      <c r="F268" s="2247"/>
      <c r="G268" s="2248"/>
      <c r="H268" s="2248"/>
      <c r="I268" s="2248"/>
      <c r="J268" s="2248"/>
      <c r="K268" s="2293"/>
    </row>
    <row r="269" customFormat="false" ht="13.5" hidden="false" customHeight="true" outlineLevel="0" collapsed="false"/>
    <row r="270" customFormat="false" ht="34.5" hidden="false" customHeight="true" outlineLevel="0" collapsed="false">
      <c r="A270" s="2337" t="s">
        <v>2917</v>
      </c>
      <c r="B270" s="2337"/>
      <c r="C270" s="2337"/>
      <c r="D270" s="2337"/>
      <c r="E270" s="2337"/>
      <c r="F270" s="2337"/>
      <c r="G270" s="2337"/>
      <c r="H270" s="2337"/>
      <c r="I270" s="2337"/>
      <c r="J270" s="2337"/>
      <c r="K270" s="2338" t="n">
        <f aca="false">SUM(K3,K97,K151,K129,K206)</f>
        <v>81</v>
      </c>
    </row>
  </sheetData>
  <mergeCells count="278">
    <mergeCell ref="A1:K1"/>
    <mergeCell ref="A3:A95"/>
    <mergeCell ref="C3:H3"/>
    <mergeCell ref="K3:K95"/>
    <mergeCell ref="C5:G5"/>
    <mergeCell ref="C6:F6"/>
    <mergeCell ref="G6:G14"/>
    <mergeCell ref="H6:H16"/>
    <mergeCell ref="I6:I16"/>
    <mergeCell ref="D7:F7"/>
    <mergeCell ref="D9:E9"/>
    <mergeCell ref="O9:P10"/>
    <mergeCell ref="Q9:Q10"/>
    <mergeCell ref="F11:F13"/>
    <mergeCell ref="O11:P11"/>
    <mergeCell ref="C12:D12"/>
    <mergeCell ref="O12:P12"/>
    <mergeCell ref="D14:E14"/>
    <mergeCell ref="C15:F15"/>
    <mergeCell ref="G15:G16"/>
    <mergeCell ref="C19:H19"/>
    <mergeCell ref="C21:G21"/>
    <mergeCell ref="C22:F22"/>
    <mergeCell ref="G22:G23"/>
    <mergeCell ref="H22:H39"/>
    <mergeCell ref="I22:I39"/>
    <mergeCell ref="C24:F24"/>
    <mergeCell ref="G24:G34"/>
    <mergeCell ref="O24:P24"/>
    <mergeCell ref="O25:P25"/>
    <mergeCell ref="O26:P26"/>
    <mergeCell ref="O27:P27"/>
    <mergeCell ref="C35:F35"/>
    <mergeCell ref="G35:G39"/>
    <mergeCell ref="O38:Q38"/>
    <mergeCell ref="R38:S38"/>
    <mergeCell ref="D39:E39"/>
    <mergeCell ref="O39:Q39"/>
    <mergeCell ref="R39:S39"/>
    <mergeCell ref="C42:H42"/>
    <mergeCell ref="C44:G44"/>
    <mergeCell ref="G45:G49"/>
    <mergeCell ref="H45:H63"/>
    <mergeCell ref="I45:I63"/>
    <mergeCell ref="N49:O49"/>
    <mergeCell ref="Q49:S49"/>
    <mergeCell ref="U49:V49"/>
    <mergeCell ref="C50:F50"/>
    <mergeCell ref="G50:G56"/>
    <mergeCell ref="N50:O50"/>
    <mergeCell ref="Q50:S50"/>
    <mergeCell ref="U50:V50"/>
    <mergeCell ref="D51:F51"/>
    <mergeCell ref="N51:O51"/>
    <mergeCell ref="Q51:S51"/>
    <mergeCell ref="U51:V51"/>
    <mergeCell ref="N52:O52"/>
    <mergeCell ref="Q52:S52"/>
    <mergeCell ref="U52:V52"/>
    <mergeCell ref="D53:F53"/>
    <mergeCell ref="N53:O53"/>
    <mergeCell ref="Q53:S53"/>
    <mergeCell ref="D55:F55"/>
    <mergeCell ref="N55:O55"/>
    <mergeCell ref="R55:S55"/>
    <mergeCell ref="U55:V55"/>
    <mergeCell ref="D56:E56"/>
    <mergeCell ref="N56:O56"/>
    <mergeCell ref="C57:F57"/>
    <mergeCell ref="G57:G63"/>
    <mergeCell ref="N57:O57"/>
    <mergeCell ref="D58:F58"/>
    <mergeCell ref="N58:O58"/>
    <mergeCell ref="D59:E59"/>
    <mergeCell ref="N59:O59"/>
    <mergeCell ref="D60:F60"/>
    <mergeCell ref="D61:E61"/>
    <mergeCell ref="O61:P61"/>
    <mergeCell ref="Q61:R61"/>
    <mergeCell ref="D62:F62"/>
    <mergeCell ref="O62:P62"/>
    <mergeCell ref="Q62:R62"/>
    <mergeCell ref="D63:E63"/>
    <mergeCell ref="O63:P63"/>
    <mergeCell ref="Q63:R63"/>
    <mergeCell ref="C66:H66"/>
    <mergeCell ref="C68:G68"/>
    <mergeCell ref="C69:F69"/>
    <mergeCell ref="G69:G77"/>
    <mergeCell ref="H69:H79"/>
    <mergeCell ref="I69:I79"/>
    <mergeCell ref="D70:F70"/>
    <mergeCell ref="O71:P71"/>
    <mergeCell ref="S71:T71"/>
    <mergeCell ref="O72:P72"/>
    <mergeCell ref="O73:P73"/>
    <mergeCell ref="S73:T73"/>
    <mergeCell ref="O74:P74"/>
    <mergeCell ref="S74:T74"/>
    <mergeCell ref="C78:F78"/>
    <mergeCell ref="G78:G79"/>
    <mergeCell ref="C82:H82"/>
    <mergeCell ref="C84:G84"/>
    <mergeCell ref="H85:H94"/>
    <mergeCell ref="I85:I94"/>
    <mergeCell ref="O85:P85"/>
    <mergeCell ref="Q85:R85"/>
    <mergeCell ref="S85:T85"/>
    <mergeCell ref="U85:V85"/>
    <mergeCell ref="C86:E86"/>
    <mergeCell ref="G86:G87"/>
    <mergeCell ref="O86:P86"/>
    <mergeCell ref="Q86:R86"/>
    <mergeCell ref="S86:T86"/>
    <mergeCell ref="U86:V86"/>
    <mergeCell ref="C87:D87"/>
    <mergeCell ref="E87:F87"/>
    <mergeCell ref="C88:F88"/>
    <mergeCell ref="G88:G92"/>
    <mergeCell ref="D89:F89"/>
    <mergeCell ref="D91:F91"/>
    <mergeCell ref="C93:F93"/>
    <mergeCell ref="G93:G94"/>
    <mergeCell ref="A97:A127"/>
    <mergeCell ref="C97:H97"/>
    <mergeCell ref="K97:K127"/>
    <mergeCell ref="C99:G99"/>
    <mergeCell ref="O99:P99"/>
    <mergeCell ref="Q99:S99"/>
    <mergeCell ref="C100:F100"/>
    <mergeCell ref="G100:G101"/>
    <mergeCell ref="H100:H105"/>
    <mergeCell ref="I100:I105"/>
    <mergeCell ref="O100:P100"/>
    <mergeCell ref="Q100:S100"/>
    <mergeCell ref="G102:G103"/>
    <mergeCell ref="N102:N103"/>
    <mergeCell ref="O102:O103"/>
    <mergeCell ref="G104:G105"/>
    <mergeCell ref="C108:H108"/>
    <mergeCell ref="C110:G110"/>
    <mergeCell ref="C111:D111"/>
    <mergeCell ref="E111:G111"/>
    <mergeCell ref="H111:H115"/>
    <mergeCell ref="I111:I115"/>
    <mergeCell ref="G112:G113"/>
    <mergeCell ref="C114:F114"/>
    <mergeCell ref="G114:G115"/>
    <mergeCell ref="C118:H118"/>
    <mergeCell ref="C120:G120"/>
    <mergeCell ref="C121:F121"/>
    <mergeCell ref="G121:G122"/>
    <mergeCell ref="H121:H124"/>
    <mergeCell ref="I121:I124"/>
    <mergeCell ref="C123:F123"/>
    <mergeCell ref="G123:G124"/>
    <mergeCell ref="A129:A149"/>
    <mergeCell ref="C129:H129"/>
    <mergeCell ref="K129:K149"/>
    <mergeCell ref="C131:G131"/>
    <mergeCell ref="C132:E132"/>
    <mergeCell ref="H132:H134"/>
    <mergeCell ref="I132:I134"/>
    <mergeCell ref="C133:F134"/>
    <mergeCell ref="G133:G134"/>
    <mergeCell ref="C137:H137"/>
    <mergeCell ref="C139:G139"/>
    <mergeCell ref="C140:F140"/>
    <mergeCell ref="G140:G141"/>
    <mergeCell ref="H140:H141"/>
    <mergeCell ref="I140:I141"/>
    <mergeCell ref="C144:H144"/>
    <mergeCell ref="C146:G146"/>
    <mergeCell ref="C147:F147"/>
    <mergeCell ref="G147:G148"/>
    <mergeCell ref="H147:H148"/>
    <mergeCell ref="I147:I148"/>
    <mergeCell ref="A151:A204"/>
    <mergeCell ref="C151:H151"/>
    <mergeCell ref="K151:K204"/>
    <mergeCell ref="C153:G153"/>
    <mergeCell ref="C154:F154"/>
    <mergeCell ref="G154:G158"/>
    <mergeCell ref="H154:H163"/>
    <mergeCell ref="I154:I163"/>
    <mergeCell ref="O154:X154"/>
    <mergeCell ref="O155:X155"/>
    <mergeCell ref="O156:X156"/>
    <mergeCell ref="O157:X157"/>
    <mergeCell ref="O158:X158"/>
    <mergeCell ref="G159:G161"/>
    <mergeCell ref="G162:G163"/>
    <mergeCell ref="C166:H166"/>
    <mergeCell ref="C168:G168"/>
    <mergeCell ref="C169:F169"/>
    <mergeCell ref="G169:G172"/>
    <mergeCell ref="H169:H183"/>
    <mergeCell ref="I169:I183"/>
    <mergeCell ref="C173:F173"/>
    <mergeCell ref="G173:G181"/>
    <mergeCell ref="D174:E174"/>
    <mergeCell ref="D176:E176"/>
    <mergeCell ref="D178:E178"/>
    <mergeCell ref="D180:E180"/>
    <mergeCell ref="C182:F182"/>
    <mergeCell ref="G182:G183"/>
    <mergeCell ref="C186:H186"/>
    <mergeCell ref="C188:G188"/>
    <mergeCell ref="H189:H193"/>
    <mergeCell ref="I189:I193"/>
    <mergeCell ref="O189:P189"/>
    <mergeCell ref="Q189:R189"/>
    <mergeCell ref="S189:T189"/>
    <mergeCell ref="O190:P190"/>
    <mergeCell ref="Q190:R190"/>
    <mergeCell ref="S190:T190"/>
    <mergeCell ref="C191:F191"/>
    <mergeCell ref="G191:G192"/>
    <mergeCell ref="D192:F192"/>
    <mergeCell ref="O192:Q192"/>
    <mergeCell ref="R192:T192"/>
    <mergeCell ref="C193:F193"/>
    <mergeCell ref="C195:H195"/>
    <mergeCell ref="C197:G197"/>
    <mergeCell ref="C198:F198"/>
    <mergeCell ref="G198:G199"/>
    <mergeCell ref="H198:H203"/>
    <mergeCell ref="I198:I203"/>
    <mergeCell ref="N199:N201"/>
    <mergeCell ref="O199:O201"/>
    <mergeCell ref="P199:P201"/>
    <mergeCell ref="Q199:Q201"/>
    <mergeCell ref="C200:F200"/>
    <mergeCell ref="G200:G201"/>
    <mergeCell ref="C202:F202"/>
    <mergeCell ref="G202:G203"/>
    <mergeCell ref="A206:A268"/>
    <mergeCell ref="C206:H206"/>
    <mergeCell ref="K206:K268"/>
    <mergeCell ref="C208:G208"/>
    <mergeCell ref="C209:F209"/>
    <mergeCell ref="G209:G215"/>
    <mergeCell ref="H209:H223"/>
    <mergeCell ref="I209:I223"/>
    <mergeCell ref="F212:F215"/>
    <mergeCell ref="C216:F216"/>
    <mergeCell ref="G216:G218"/>
    <mergeCell ref="C219:F219"/>
    <mergeCell ref="G219:G223"/>
    <mergeCell ref="C226:H226"/>
    <mergeCell ref="C228:G228"/>
    <mergeCell ref="C229:F229"/>
    <mergeCell ref="G229:G233"/>
    <mergeCell ref="H229:H234"/>
    <mergeCell ref="I229:I234"/>
    <mergeCell ref="C237:H237"/>
    <mergeCell ref="C239:G239"/>
    <mergeCell ref="C240:E240"/>
    <mergeCell ref="H240:H241"/>
    <mergeCell ref="I240:I241"/>
    <mergeCell ref="C244:H244"/>
    <mergeCell ref="C246:G246"/>
    <mergeCell ref="G247:G256"/>
    <mergeCell ref="H247:H267"/>
    <mergeCell ref="I247:I267"/>
    <mergeCell ref="C248:F248"/>
    <mergeCell ref="C250:F250"/>
    <mergeCell ref="C253:D253"/>
    <mergeCell ref="C254:D254"/>
    <mergeCell ref="C255:D255"/>
    <mergeCell ref="C256:D256"/>
    <mergeCell ref="G258:G267"/>
    <mergeCell ref="C259:F259"/>
    <mergeCell ref="C261:E261"/>
    <mergeCell ref="C264:E264"/>
    <mergeCell ref="D265:E266"/>
    <mergeCell ref="D267:E267"/>
    <mergeCell ref="A270:J27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558ED5"/>
    <pageSetUpPr fitToPage="false"/>
  </sheetPr>
  <dimension ref="A1:X308"/>
  <sheetViews>
    <sheetView showFormulas="false" showGridLines="true" showRowColHeaders="true" showZeros="true" rightToLeft="false" tabSelected="false" showOutlineSymbols="true" defaultGridColor="true" view="normal" topLeftCell="A54" colorId="64" zoomScale="100" zoomScaleNormal="100" zoomScalePageLayoutView="100" workbookViewId="0">
      <selection pane="topLeft" activeCell="E90" activeCellId="0" sqref="E90"/>
    </sheetView>
  </sheetViews>
  <sheetFormatPr defaultRowHeight="12.75" zeroHeight="false" outlineLevelRow="0" outlineLevelCol="0"/>
  <cols>
    <col collapsed="false" customWidth="true" hidden="false" outlineLevel="0" max="1" min="1" style="0" width="10.66"/>
    <col collapsed="false" customWidth="true" hidden="false" outlineLevel="0" max="2" min="2" style="0" width="5.33"/>
    <col collapsed="false" customWidth="true" hidden="false" outlineLevel="0" max="3" min="3" style="0" width="20.5"/>
    <col collapsed="false" customWidth="true" hidden="false" outlineLevel="0" max="4" min="4" style="0" width="16.49"/>
    <col collapsed="false" customWidth="true" hidden="false" outlineLevel="0" max="5" min="5" style="0" width="13.33"/>
    <col collapsed="false" customWidth="true" hidden="false" outlineLevel="0" max="6" min="6" style="0" width="8"/>
    <col collapsed="false" customWidth="true" hidden="false" outlineLevel="0" max="7" min="7" style="2339" width="9"/>
    <col collapsed="false" customWidth="true" hidden="false" outlineLevel="0" max="9" min="8" style="0" width="10.66"/>
    <col collapsed="false" customWidth="true" hidden="false" outlineLevel="0" max="10" min="10" style="0" width="5.16"/>
    <col collapsed="false" customWidth="true" hidden="false" outlineLevel="0" max="11" min="11" style="0" width="17"/>
    <col collapsed="false" customWidth="true" hidden="false" outlineLevel="0" max="12" min="12" style="0" width="10.66"/>
    <col collapsed="false" customWidth="true" hidden="false" outlineLevel="0" max="13" min="13" style="0" width="17.83"/>
    <col collapsed="false" customWidth="true" hidden="false" outlineLevel="0" max="14" min="14" style="0" width="11.16"/>
    <col collapsed="false" customWidth="true" hidden="false" outlineLevel="0" max="15" min="15" style="0" width="10.66"/>
    <col collapsed="false" customWidth="true" hidden="false" outlineLevel="0" max="16" min="16" style="0" width="12.66"/>
    <col collapsed="false" customWidth="true" hidden="false" outlineLevel="0" max="1025" min="17" style="0" width="10.66"/>
  </cols>
  <sheetData>
    <row r="1" customFormat="false" ht="60" hidden="false" customHeight="true" outlineLevel="0" collapsed="false">
      <c r="A1" s="2340" t="s">
        <v>2918</v>
      </c>
      <c r="B1" s="2340"/>
      <c r="C1" s="2340"/>
      <c r="D1" s="2340"/>
      <c r="E1" s="2340"/>
      <c r="F1" s="2340"/>
      <c r="G1" s="2340"/>
      <c r="H1" s="2340"/>
      <c r="I1" s="2340"/>
      <c r="J1" s="2340"/>
      <c r="K1" s="2340"/>
    </row>
    <row r="2" customFormat="false" ht="15.75" hidden="false" customHeight="true" outlineLevel="0" collapsed="false">
      <c r="A2" s="2109"/>
      <c r="B2" s="2109"/>
      <c r="C2" s="2109"/>
    </row>
    <row r="3" customFormat="false" ht="13.5" hidden="false" customHeight="true" outlineLevel="0" collapsed="false">
      <c r="N3" s="146"/>
    </row>
    <row r="4" customFormat="false" ht="15" hidden="false" customHeight="true" outlineLevel="0" collapsed="false">
      <c r="A4" s="2341" t="s">
        <v>2919</v>
      </c>
      <c r="B4" s="2111" t="s">
        <v>2920</v>
      </c>
      <c r="C4" s="2342" t="s">
        <v>2921</v>
      </c>
      <c r="D4" s="2342"/>
      <c r="E4" s="2342"/>
      <c r="F4" s="2342"/>
      <c r="G4" s="2342"/>
      <c r="H4" s="2342"/>
      <c r="I4" s="2343" t="s">
        <v>2866</v>
      </c>
      <c r="J4" s="2221"/>
      <c r="K4" s="2344" t="s">
        <v>2922</v>
      </c>
    </row>
    <row r="5" customFormat="false" ht="13.5" hidden="false" customHeight="true" outlineLevel="0" collapsed="false">
      <c r="A5" s="2341"/>
      <c r="B5" s="2116"/>
      <c r="C5" s="972"/>
      <c r="D5" s="972"/>
      <c r="E5" s="972"/>
      <c r="F5" s="972"/>
      <c r="G5" s="2330"/>
      <c r="H5" s="972"/>
      <c r="I5" s="972"/>
      <c r="J5" s="972"/>
      <c r="K5" s="2344"/>
    </row>
    <row r="6" customFormat="false" ht="25.5" hidden="false" customHeight="true" outlineLevel="0" collapsed="false">
      <c r="A6" s="2341"/>
      <c r="B6" s="2116"/>
      <c r="C6" s="2158" t="s">
        <v>2698</v>
      </c>
      <c r="D6" s="2158"/>
      <c r="E6" s="2158"/>
      <c r="F6" s="2158"/>
      <c r="G6" s="2158"/>
      <c r="H6" s="2120" t="s">
        <v>2699</v>
      </c>
      <c r="I6" s="2120" t="s">
        <v>2700</v>
      </c>
      <c r="J6" s="972"/>
      <c r="K6" s="2345" t="n">
        <f aca="false">MIN(25,SUM(I7,I19,I30,I45,I52))</f>
        <v>17</v>
      </c>
      <c r="M6" s="2346" t="s">
        <v>2923</v>
      </c>
      <c r="N6" s="2346"/>
      <c r="O6" s="2346" t="s">
        <v>2772</v>
      </c>
    </row>
    <row r="7" customFormat="false" ht="15.75" hidden="false" customHeight="true" outlineLevel="0" collapsed="false">
      <c r="A7" s="2341"/>
      <c r="B7" s="2116"/>
      <c r="C7" s="2307" t="s">
        <v>2924</v>
      </c>
      <c r="D7" s="2307"/>
      <c r="E7" s="2307"/>
      <c r="F7" s="2307"/>
      <c r="G7" s="2153" t="n">
        <f aca="false">IF(E8&gt;=M10,O10,IF(E8&gt;=M9,O9,IF(E8&gt;M8,O8,O7)))</f>
        <v>6</v>
      </c>
      <c r="H7" s="2347" t="n">
        <f aca="false">G7+G10+G12</f>
        <v>6</v>
      </c>
      <c r="I7" s="2348" t="n">
        <f aca="false">MIN(6,H7)</f>
        <v>6</v>
      </c>
      <c r="J7" s="972"/>
      <c r="K7" s="2345"/>
      <c r="M7" s="1675"/>
      <c r="N7" s="1675"/>
      <c r="O7" s="2346" t="n">
        <v>0</v>
      </c>
    </row>
    <row r="8" customFormat="false" ht="15" hidden="false" customHeight="true" outlineLevel="0" collapsed="false">
      <c r="A8" s="2341"/>
      <c r="B8" s="2116"/>
      <c r="C8" s="2129" t="s">
        <v>2925</v>
      </c>
      <c r="D8" s="972" t="s">
        <v>1110</v>
      </c>
      <c r="E8" s="2349" t="n">
        <f aca="false">'Saisie et Calculateur'!J830</f>
        <v>1.00163627863488</v>
      </c>
      <c r="F8" s="972"/>
      <c r="G8" s="2153"/>
      <c r="H8" s="2347"/>
      <c r="I8" s="2348"/>
      <c r="J8" s="972"/>
      <c r="K8" s="2345"/>
      <c r="M8" s="2350" t="n">
        <v>0</v>
      </c>
      <c r="N8" s="2350"/>
      <c r="O8" s="2346" t="n">
        <v>2</v>
      </c>
    </row>
    <row r="9" customFormat="false" ht="15" hidden="false" customHeight="true" outlineLevel="0" collapsed="false">
      <c r="A9" s="2341"/>
      <c r="B9" s="2116"/>
      <c r="C9" s="2129"/>
      <c r="D9" s="972"/>
      <c r="E9" s="2196"/>
      <c r="F9" s="972"/>
      <c r="G9" s="2153"/>
      <c r="H9" s="2347"/>
      <c r="I9" s="2348"/>
      <c r="J9" s="972"/>
      <c r="K9" s="2345"/>
      <c r="M9" s="2350" t="n">
        <v>0.45</v>
      </c>
      <c r="N9" s="2350"/>
      <c r="O9" s="2346" t="n">
        <v>4</v>
      </c>
    </row>
    <row r="10" customFormat="false" ht="12.75" hidden="false" customHeight="true" outlineLevel="0" collapsed="false">
      <c r="A10" s="2341"/>
      <c r="B10" s="2116"/>
      <c r="C10" s="2192" t="s">
        <v>2926</v>
      </c>
      <c r="D10" s="2192"/>
      <c r="E10" s="2192"/>
      <c r="F10" s="2192"/>
      <c r="G10" s="2183" t="n">
        <f aca="false">IF(E11=M13,N13,N14)</f>
        <v>0</v>
      </c>
      <c r="H10" s="2347"/>
      <c r="I10" s="2348"/>
      <c r="J10" s="972"/>
      <c r="K10" s="2345"/>
      <c r="M10" s="2350" t="n">
        <v>0.85</v>
      </c>
      <c r="N10" s="2350"/>
      <c r="O10" s="2346" t="n">
        <v>6</v>
      </c>
      <c r="P10" s="2351"/>
    </row>
    <row r="11" customFormat="false" ht="15" hidden="false" customHeight="true" outlineLevel="0" collapsed="false">
      <c r="A11" s="2341"/>
      <c r="B11" s="2116"/>
      <c r="C11" s="2131"/>
      <c r="D11" s="2132" t="s">
        <v>2720</v>
      </c>
      <c r="E11" s="2162" t="str">
        <f aca="false">'Saisie et Calculateur'!J832</f>
        <v>non</v>
      </c>
      <c r="F11" s="972"/>
      <c r="G11" s="2183"/>
      <c r="H11" s="2347"/>
      <c r="I11" s="2348"/>
      <c r="J11" s="972"/>
      <c r="K11" s="2345"/>
    </row>
    <row r="12" customFormat="false" ht="15" hidden="false" customHeight="true" outlineLevel="0" collapsed="false">
      <c r="A12" s="2341"/>
      <c r="B12" s="2116"/>
      <c r="C12" s="2131" t="s">
        <v>2927</v>
      </c>
      <c r="D12" s="2131"/>
      <c r="E12" s="2131"/>
      <c r="F12" s="2131"/>
      <c r="G12" s="2144" t="n">
        <f aca="false">IF(E13=M13,O13,O14)</f>
        <v>0</v>
      </c>
      <c r="H12" s="2347"/>
      <c r="I12" s="2348"/>
      <c r="J12" s="972"/>
      <c r="K12" s="2345"/>
      <c r="N12" s="1857" t="s">
        <v>2928</v>
      </c>
      <c r="O12" s="1857" t="s">
        <v>2929</v>
      </c>
    </row>
    <row r="13" customFormat="false" ht="15" hidden="false" customHeight="true" outlineLevel="0" collapsed="false">
      <c r="A13" s="2341"/>
      <c r="B13" s="2116"/>
      <c r="C13" s="2194"/>
      <c r="D13" s="2241" t="s">
        <v>2720</v>
      </c>
      <c r="E13" s="2352" t="str">
        <f aca="false">'Saisie et Calculateur'!J834</f>
        <v>non</v>
      </c>
      <c r="F13" s="2148"/>
      <c r="G13" s="2144"/>
      <c r="H13" s="2347"/>
      <c r="I13" s="2348"/>
      <c r="J13" s="972"/>
      <c r="K13" s="2345"/>
      <c r="M13" s="2353" t="s">
        <v>242</v>
      </c>
      <c r="N13" s="1874" t="n">
        <v>3</v>
      </c>
      <c r="O13" s="1874" t="n">
        <v>3</v>
      </c>
    </row>
    <row r="14" customFormat="false" ht="12.75" hidden="false" customHeight="true" outlineLevel="0" collapsed="false">
      <c r="A14" s="2341"/>
      <c r="B14" s="2116"/>
      <c r="C14" s="972"/>
      <c r="D14" s="972"/>
      <c r="E14" s="972"/>
      <c r="F14" s="972"/>
      <c r="G14" s="2330"/>
      <c r="H14" s="972"/>
      <c r="I14" s="972"/>
      <c r="J14" s="972"/>
      <c r="K14" s="2345"/>
      <c r="M14" s="1874" t="s">
        <v>243</v>
      </c>
      <c r="N14" s="1874" t="n">
        <v>0</v>
      </c>
      <c r="O14" s="1874" t="n">
        <v>0</v>
      </c>
    </row>
    <row r="15" customFormat="false" ht="12.75" hidden="false" customHeight="true" outlineLevel="0" collapsed="false">
      <c r="A15" s="2341"/>
      <c r="B15" s="2116"/>
      <c r="C15" s="972"/>
      <c r="D15" s="972"/>
      <c r="E15" s="972"/>
      <c r="F15" s="972"/>
      <c r="G15" s="2330"/>
      <c r="H15" s="972"/>
      <c r="I15" s="972"/>
      <c r="J15" s="972"/>
      <c r="K15" s="2345"/>
    </row>
    <row r="16" customFormat="false" ht="15" hidden="false" customHeight="true" outlineLevel="0" collapsed="false">
      <c r="A16" s="2341"/>
      <c r="B16" s="2116" t="s">
        <v>219</v>
      </c>
      <c r="C16" s="2354" t="s">
        <v>2930</v>
      </c>
      <c r="D16" s="2354"/>
      <c r="E16" s="2354"/>
      <c r="F16" s="2354"/>
      <c r="G16" s="2354"/>
      <c r="H16" s="2354"/>
      <c r="I16" s="2355" t="s">
        <v>2866</v>
      </c>
      <c r="J16" s="972"/>
      <c r="K16" s="2345"/>
      <c r="M16" s="2356"/>
    </row>
    <row r="17" customFormat="false" ht="12.75" hidden="false" customHeight="true" outlineLevel="0" collapsed="false">
      <c r="A17" s="2341"/>
      <c r="B17" s="2116"/>
      <c r="C17" s="972"/>
      <c r="D17" s="972"/>
      <c r="E17" s="972"/>
      <c r="F17" s="972"/>
      <c r="G17" s="2330"/>
      <c r="H17" s="972"/>
      <c r="I17" s="972"/>
      <c r="J17" s="972"/>
      <c r="K17" s="2345"/>
      <c r="M17" s="1926" t="s">
        <v>2931</v>
      </c>
      <c r="N17" s="1926" t="s">
        <v>2772</v>
      </c>
      <c r="P17" s="2119" t="s">
        <v>2932</v>
      </c>
      <c r="Q17" s="2119" t="s">
        <v>2732</v>
      </c>
    </row>
    <row r="18" customFormat="false" ht="25.5" hidden="false" customHeight="true" outlineLevel="0" collapsed="false">
      <c r="A18" s="2341"/>
      <c r="B18" s="2116"/>
      <c r="C18" s="2158" t="s">
        <v>2698</v>
      </c>
      <c r="D18" s="2158"/>
      <c r="E18" s="2158"/>
      <c r="F18" s="2158"/>
      <c r="G18" s="2158"/>
      <c r="H18" s="2120" t="s">
        <v>2699</v>
      </c>
      <c r="I18" s="2120" t="s">
        <v>2700</v>
      </c>
      <c r="J18" s="972"/>
      <c r="K18" s="2345"/>
      <c r="M18" s="2121" t="n">
        <v>0.1</v>
      </c>
      <c r="N18" s="1926" t="n">
        <v>6</v>
      </c>
      <c r="O18" s="2351"/>
      <c r="P18" s="2121" t="n">
        <v>0.3</v>
      </c>
      <c r="Q18" s="2357" t="n">
        <v>6</v>
      </c>
    </row>
    <row r="19" customFormat="false" ht="12.75" hidden="false" customHeight="true" outlineLevel="0" collapsed="false">
      <c r="A19" s="2341"/>
      <c r="B19" s="2116"/>
      <c r="C19" s="2307" t="s">
        <v>2933</v>
      </c>
      <c r="D19" s="2307"/>
      <c r="E19" s="2307"/>
      <c r="F19" s="2307"/>
      <c r="G19" s="2153" t="n">
        <f aca="false">IF(E20&lt;=M18,N18,IF(E20&lt;=M19,N19,IF(E20&lt;=M20,N20,N21)))</f>
        <v>6</v>
      </c>
      <c r="H19" s="2347" t="n">
        <f aca="false">IF('Saisie et Calculateur'!B839="oui",G19,G22)</f>
        <v>6</v>
      </c>
      <c r="I19" s="2348" t="n">
        <f aca="false">MIN(6,H19)</f>
        <v>6</v>
      </c>
      <c r="J19" s="972"/>
      <c r="K19" s="2345"/>
      <c r="M19" s="2121" t="n">
        <v>0.3</v>
      </c>
      <c r="N19" s="1926" t="n">
        <v>4</v>
      </c>
      <c r="O19" s="2351"/>
      <c r="P19" s="2207" t="n">
        <v>0.15</v>
      </c>
      <c r="Q19" s="1857" t="n">
        <v>4</v>
      </c>
    </row>
    <row r="20" customFormat="false" ht="12.75" hidden="false" customHeight="true" outlineLevel="0" collapsed="false">
      <c r="A20" s="2341"/>
      <c r="B20" s="2116"/>
      <c r="C20" s="2129" t="s">
        <v>2934</v>
      </c>
      <c r="D20" s="972" t="s">
        <v>1110</v>
      </c>
      <c r="E20" s="2196" t="n">
        <f aca="false">'Saisie et Calculateur'!J841</f>
        <v>0</v>
      </c>
      <c r="F20" s="972"/>
      <c r="G20" s="2153"/>
      <c r="H20" s="2347"/>
      <c r="I20" s="2348"/>
      <c r="J20" s="972"/>
      <c r="K20" s="2345"/>
      <c r="M20" s="2121" t="n">
        <v>0.6</v>
      </c>
      <c r="N20" s="1926" t="n">
        <v>2</v>
      </c>
      <c r="O20" s="2351"/>
      <c r="P20" s="2207" t="n">
        <v>0.05</v>
      </c>
      <c r="Q20" s="1857" t="n">
        <v>2</v>
      </c>
    </row>
    <row r="21" customFormat="false" ht="12.75" hidden="false" customHeight="true" outlineLevel="0" collapsed="false">
      <c r="A21" s="2341"/>
      <c r="B21" s="2116"/>
      <c r="C21" s="2129"/>
      <c r="F21" s="972"/>
      <c r="G21" s="2153"/>
      <c r="H21" s="2347"/>
      <c r="I21" s="2348"/>
      <c r="J21" s="972"/>
      <c r="K21" s="2345"/>
      <c r="M21" s="2358"/>
      <c r="N21" s="2120" t="n">
        <v>0</v>
      </c>
      <c r="O21" s="2359"/>
      <c r="P21" s="2207"/>
      <c r="Q21" s="1857" t="n">
        <v>0</v>
      </c>
    </row>
    <row r="22" customFormat="false" ht="12.75" hidden="false" customHeight="true" outlineLevel="0" collapsed="false">
      <c r="A22" s="2341"/>
      <c r="B22" s="2116"/>
      <c r="C22" s="2192" t="s">
        <v>2935</v>
      </c>
      <c r="D22" s="2192"/>
      <c r="E22" s="2192"/>
      <c r="F22" s="2192"/>
      <c r="G22" s="2144" t="n">
        <f aca="false">IF(E24&gt;=P18,Q18,IF(E24&gt;=P19,Q19,IF(E24&gt;=P20,Q20,Q21)))</f>
        <v>0</v>
      </c>
      <c r="H22" s="2347"/>
      <c r="I22" s="2348"/>
      <c r="J22" s="972"/>
      <c r="K22" s="2345"/>
      <c r="M22" s="2360"/>
      <c r="N22" s="2360"/>
      <c r="O22" s="2359"/>
    </row>
    <row r="23" customFormat="false" ht="15" hidden="false" customHeight="true" outlineLevel="0" collapsed="false">
      <c r="A23" s="2341"/>
      <c r="B23" s="2116"/>
      <c r="C23" s="2143" t="s">
        <v>2936</v>
      </c>
      <c r="D23" s="2132"/>
      <c r="E23" s="2162"/>
      <c r="F23" s="972"/>
      <c r="G23" s="2144"/>
      <c r="H23" s="2347"/>
      <c r="I23" s="2348"/>
      <c r="J23" s="972"/>
      <c r="K23" s="2345"/>
      <c r="M23" s="2361"/>
      <c r="N23" s="2361"/>
    </row>
    <row r="24" customFormat="false" ht="12.75" hidden="false" customHeight="true" outlineLevel="0" collapsed="false">
      <c r="A24" s="2341"/>
      <c r="B24" s="2116"/>
      <c r="C24" s="2194"/>
      <c r="D24" s="2241" t="s">
        <v>1110</v>
      </c>
      <c r="E24" s="2362" t="n">
        <f aca="false">'Saisie et Calculateur'!J845</f>
        <v>0</v>
      </c>
      <c r="F24" s="2148"/>
      <c r="G24" s="2144"/>
      <c r="H24" s="2347"/>
      <c r="I24" s="2348"/>
      <c r="J24" s="972"/>
      <c r="K24" s="2345"/>
    </row>
    <row r="25" customFormat="false" ht="12.75" hidden="false" customHeight="true" outlineLevel="0" collapsed="false">
      <c r="A25" s="2341"/>
      <c r="B25" s="2116"/>
      <c r="C25" s="972"/>
      <c r="D25" s="972"/>
      <c r="E25" s="972"/>
      <c r="F25" s="972"/>
      <c r="G25" s="2330"/>
      <c r="H25" s="972"/>
      <c r="I25" s="972"/>
      <c r="J25" s="972"/>
      <c r="K25" s="2345"/>
    </row>
    <row r="26" customFormat="false" ht="12.75" hidden="false" customHeight="true" outlineLevel="0" collapsed="false">
      <c r="A26" s="2341"/>
      <c r="B26" s="2116"/>
      <c r="C26" s="972"/>
      <c r="D26" s="972"/>
      <c r="E26" s="972"/>
      <c r="F26" s="972"/>
      <c r="G26" s="2330"/>
      <c r="H26" s="972"/>
      <c r="I26" s="972"/>
      <c r="J26" s="972"/>
      <c r="K26" s="2345"/>
    </row>
    <row r="27" customFormat="false" ht="15" hidden="false" customHeight="true" outlineLevel="0" collapsed="false">
      <c r="A27" s="2341"/>
      <c r="B27" s="2116" t="s">
        <v>662</v>
      </c>
      <c r="C27" s="2354" t="s">
        <v>2937</v>
      </c>
      <c r="D27" s="2354"/>
      <c r="E27" s="2354"/>
      <c r="F27" s="2354"/>
      <c r="G27" s="2354"/>
      <c r="H27" s="2354"/>
      <c r="I27" s="2355" t="s">
        <v>2866</v>
      </c>
      <c r="J27" s="972"/>
      <c r="K27" s="2345"/>
    </row>
    <row r="28" customFormat="false" ht="12.75" hidden="false" customHeight="true" outlineLevel="0" collapsed="false">
      <c r="A28" s="2341"/>
      <c r="B28" s="2116"/>
      <c r="C28" s="972"/>
      <c r="D28" s="972"/>
      <c r="E28" s="972"/>
      <c r="F28" s="972"/>
      <c r="G28" s="2330"/>
      <c r="H28" s="972"/>
      <c r="I28" s="972"/>
      <c r="J28" s="972"/>
      <c r="K28" s="2345"/>
    </row>
    <row r="29" customFormat="false" ht="25.5" hidden="false" customHeight="true" outlineLevel="0" collapsed="false">
      <c r="A29" s="2341"/>
      <c r="B29" s="2116"/>
      <c r="C29" s="2158" t="s">
        <v>2698</v>
      </c>
      <c r="D29" s="2158"/>
      <c r="E29" s="2158"/>
      <c r="F29" s="2158"/>
      <c r="G29" s="2158"/>
      <c r="H29" s="2120" t="s">
        <v>2699</v>
      </c>
      <c r="I29" s="2120" t="s">
        <v>2700</v>
      </c>
      <c r="J29" s="972"/>
      <c r="K29" s="2345"/>
      <c r="M29" s="2356"/>
    </row>
    <row r="30" customFormat="false" ht="15" hidden="false" customHeight="true" outlineLevel="0" collapsed="false">
      <c r="A30" s="2341"/>
      <c r="B30" s="2116"/>
      <c r="C30" s="2307" t="s">
        <v>2938</v>
      </c>
      <c r="D30" s="2307"/>
      <c r="E30" s="2307"/>
      <c r="F30" s="2307"/>
      <c r="G30" s="2153" t="n">
        <f aca="false">MIN(4,SUM(F31:F33))</f>
        <v>0</v>
      </c>
      <c r="H30" s="2347" t="n">
        <f aca="false">G30+G35+G38</f>
        <v>0</v>
      </c>
      <c r="I30" s="2348" t="n">
        <f aca="false">MIN(6,H30)</f>
        <v>0</v>
      </c>
      <c r="J30" s="972"/>
      <c r="K30" s="2345"/>
      <c r="M30" s="1926" t="s">
        <v>2939</v>
      </c>
      <c r="N30" s="1926" t="s">
        <v>242</v>
      </c>
      <c r="O30" s="1857" t="s">
        <v>243</v>
      </c>
    </row>
    <row r="31" customFormat="false" ht="12.75" hidden="false" customHeight="true" outlineLevel="0" collapsed="false">
      <c r="A31" s="2341"/>
      <c r="B31" s="2116"/>
      <c r="C31" s="2129" t="s">
        <v>2940</v>
      </c>
      <c r="D31" s="972" t="s">
        <v>2720</v>
      </c>
      <c r="E31" s="1397" t="str">
        <f aca="false">'Saisie et Calculateur'!D852</f>
        <v>non</v>
      </c>
      <c r="F31" s="972" t="n">
        <f aca="false">IF(E31=N$30,N31,O31)</f>
        <v>0</v>
      </c>
      <c r="G31" s="2153"/>
      <c r="H31" s="2347"/>
      <c r="I31" s="2348"/>
      <c r="J31" s="972"/>
      <c r="K31" s="2345"/>
      <c r="M31" s="1926" t="s">
        <v>2940</v>
      </c>
      <c r="N31" s="1926" t="n">
        <v>2</v>
      </c>
      <c r="O31" s="1857" t="n">
        <v>0</v>
      </c>
    </row>
    <row r="32" customFormat="false" ht="12.75" hidden="false" customHeight="true" outlineLevel="0" collapsed="false">
      <c r="A32" s="2341"/>
      <c r="B32" s="2116"/>
      <c r="C32" s="2129" t="s">
        <v>2941</v>
      </c>
      <c r="D32" s="972" t="s">
        <v>2720</v>
      </c>
      <c r="E32" s="1397" t="str">
        <f aca="false">'Saisie et Calculateur'!D853</f>
        <v>non</v>
      </c>
      <c r="F32" s="972" t="n">
        <f aca="false">IF(E32=N$30,N32,O32)</f>
        <v>0</v>
      </c>
      <c r="G32" s="2153"/>
      <c r="H32" s="2347"/>
      <c r="I32" s="2348"/>
      <c r="J32" s="972"/>
      <c r="K32" s="2345"/>
      <c r="M32" s="1857" t="s">
        <v>2941</v>
      </c>
      <c r="N32" s="1857" t="n">
        <v>4</v>
      </c>
      <c r="O32" s="1857" t="n">
        <v>0</v>
      </c>
    </row>
    <row r="33" customFormat="false" ht="12.75" hidden="false" customHeight="true" outlineLevel="0" collapsed="false">
      <c r="A33" s="2341"/>
      <c r="B33" s="2116"/>
      <c r="C33" s="2129" t="s">
        <v>2942</v>
      </c>
      <c r="D33" s="972" t="s">
        <v>2720</v>
      </c>
      <c r="E33" s="675" t="str">
        <f aca="false">'Saisie et Calculateur'!D854</f>
        <v>non</v>
      </c>
      <c r="F33" s="972" t="n">
        <f aca="false">IF(E33=N$30,N33,O33)</f>
        <v>0</v>
      </c>
      <c r="G33" s="2153"/>
      <c r="H33" s="2347"/>
      <c r="I33" s="2348"/>
      <c r="J33" s="972"/>
      <c r="K33" s="2345"/>
      <c r="M33" s="2179" t="s">
        <v>2942</v>
      </c>
      <c r="N33" s="2120" t="n">
        <v>2</v>
      </c>
      <c r="O33" s="2179" t="n">
        <v>0</v>
      </c>
    </row>
    <row r="34" customFormat="false" ht="12.75" hidden="false" customHeight="true" outlineLevel="0" collapsed="false">
      <c r="A34" s="2341"/>
      <c r="B34" s="2116"/>
      <c r="C34" s="2129"/>
      <c r="D34" s="972"/>
      <c r="E34" s="972"/>
      <c r="F34" s="972"/>
      <c r="G34" s="2153"/>
      <c r="H34" s="2347"/>
      <c r="I34" s="2348"/>
      <c r="J34" s="972"/>
      <c r="K34" s="2345"/>
      <c r="M34" s="2189" t="s">
        <v>2943</v>
      </c>
      <c r="N34" s="1857" t="n">
        <v>2</v>
      </c>
      <c r="O34" s="1857" t="n">
        <v>0</v>
      </c>
    </row>
    <row r="35" customFormat="false" ht="12.75" hidden="false" customHeight="true" outlineLevel="0" collapsed="false">
      <c r="A35" s="2341"/>
      <c r="B35" s="2116"/>
      <c r="C35" s="2192" t="s">
        <v>2944</v>
      </c>
      <c r="D35" s="2192"/>
      <c r="E35" s="2192"/>
      <c r="F35" s="2192"/>
      <c r="G35" s="2363" t="n">
        <f aca="false">IF(E36=N30,N34,O34)</f>
        <v>0</v>
      </c>
      <c r="H35" s="2347"/>
      <c r="I35" s="2348"/>
      <c r="J35" s="972"/>
      <c r="K35" s="2345"/>
      <c r="M35" s="2364" t="s">
        <v>2945</v>
      </c>
      <c r="N35" s="2364" t="n">
        <v>6</v>
      </c>
      <c r="O35" s="2364" t="n">
        <v>0</v>
      </c>
    </row>
    <row r="36" customFormat="false" ht="12.75" hidden="false" customHeight="true" outlineLevel="0" collapsed="false">
      <c r="A36" s="2341"/>
      <c r="B36" s="2116"/>
      <c r="C36" s="2143"/>
      <c r="D36" s="2132" t="s">
        <v>2720</v>
      </c>
      <c r="E36" s="2162" t="str">
        <f aca="false">'Saisie et Calculateur'!D855</f>
        <v>non</v>
      </c>
      <c r="F36" s="972"/>
      <c r="G36" s="2363"/>
      <c r="H36" s="2347"/>
      <c r="I36" s="2348"/>
      <c r="J36" s="972"/>
      <c r="K36" s="2345"/>
    </row>
    <row r="37" customFormat="false" ht="12.75" hidden="false" customHeight="true" outlineLevel="0" collapsed="false">
      <c r="A37" s="2341"/>
      <c r="B37" s="2116"/>
      <c r="C37" s="2143"/>
      <c r="D37" s="2132"/>
      <c r="E37" s="2162"/>
      <c r="F37" s="972"/>
      <c r="G37" s="2363"/>
      <c r="H37" s="2347"/>
      <c r="I37" s="2348"/>
      <c r="J37" s="972"/>
      <c r="K37" s="2345"/>
    </row>
    <row r="38" customFormat="false" ht="12.75" hidden="false" customHeight="true" outlineLevel="0" collapsed="false">
      <c r="A38" s="2341"/>
      <c r="B38" s="2116"/>
      <c r="C38" s="2143" t="s">
        <v>2946</v>
      </c>
      <c r="D38" s="2132"/>
      <c r="E38" s="2162"/>
      <c r="F38" s="972"/>
      <c r="G38" s="2365" t="n">
        <f aca="false">IF(E39=N30,N35,O35)</f>
        <v>0</v>
      </c>
      <c r="H38" s="2347"/>
      <c r="I38" s="2348"/>
      <c r="J38" s="972"/>
      <c r="K38" s="2345"/>
    </row>
    <row r="39" customFormat="false" ht="12.75" hidden="false" customHeight="true" outlineLevel="0" collapsed="false">
      <c r="A39" s="2341"/>
      <c r="B39" s="2116"/>
      <c r="C39" s="2186" t="s">
        <v>2947</v>
      </c>
      <c r="D39" s="2146" t="s">
        <v>2720</v>
      </c>
      <c r="E39" s="2172" t="str">
        <f aca="false">'Saisie et Calculateur'!D856</f>
        <v>non</v>
      </c>
      <c r="F39" s="2148"/>
      <c r="G39" s="2365"/>
      <c r="H39" s="2347"/>
      <c r="I39" s="2348"/>
      <c r="J39" s="972"/>
      <c r="K39" s="2345"/>
    </row>
    <row r="40" customFormat="false" ht="12.75" hidden="false" customHeight="true" outlineLevel="0" collapsed="false">
      <c r="A40" s="2341"/>
      <c r="B40" s="2116"/>
      <c r="C40" s="972"/>
      <c r="D40" s="972"/>
      <c r="E40" s="972"/>
      <c r="F40" s="972"/>
      <c r="G40" s="2330"/>
      <c r="H40" s="972"/>
      <c r="I40" s="972"/>
      <c r="J40" s="972"/>
      <c r="K40" s="2345"/>
      <c r="M40" s="146"/>
      <c r="N40" s="146"/>
    </row>
    <row r="41" customFormat="false" ht="12.75" hidden="false" customHeight="true" outlineLevel="0" collapsed="false">
      <c r="A41" s="2341"/>
      <c r="B41" s="2116"/>
      <c r="C41" s="972"/>
      <c r="D41" s="972"/>
      <c r="E41" s="972"/>
      <c r="F41" s="972"/>
      <c r="G41" s="2330"/>
      <c r="H41" s="972"/>
      <c r="I41" s="972"/>
      <c r="J41" s="972"/>
      <c r="K41" s="2345"/>
      <c r="M41" s="146"/>
      <c r="N41" s="146"/>
    </row>
    <row r="42" customFormat="false" ht="15" hidden="false" customHeight="true" outlineLevel="0" collapsed="false">
      <c r="A42" s="2341"/>
      <c r="B42" s="2149" t="s">
        <v>677</v>
      </c>
      <c r="C42" s="2354" t="s">
        <v>2948</v>
      </c>
      <c r="D42" s="2354"/>
      <c r="E42" s="2354"/>
      <c r="F42" s="2354"/>
      <c r="G42" s="2354"/>
      <c r="H42" s="2354"/>
      <c r="I42" s="2355" t="s">
        <v>2866</v>
      </c>
      <c r="J42" s="972"/>
      <c r="K42" s="2345"/>
      <c r="M42" s="146"/>
      <c r="N42" s="146"/>
    </row>
    <row r="43" customFormat="false" ht="12.75" hidden="false" customHeight="true" outlineLevel="0" collapsed="false">
      <c r="A43" s="2341"/>
      <c r="B43" s="2116"/>
      <c r="C43" s="972"/>
      <c r="D43" s="972"/>
      <c r="E43" s="972"/>
      <c r="F43" s="972"/>
      <c r="G43" s="2330"/>
      <c r="H43" s="972"/>
      <c r="I43" s="972"/>
      <c r="J43" s="972"/>
      <c r="K43" s="2345"/>
      <c r="M43" s="146"/>
      <c r="N43" s="146"/>
      <c r="R43" s="2331"/>
    </row>
    <row r="44" customFormat="false" ht="25.5" hidden="false" customHeight="true" outlineLevel="0" collapsed="false">
      <c r="A44" s="2341"/>
      <c r="B44" s="2116"/>
      <c r="C44" s="1699" t="s">
        <v>2698</v>
      </c>
      <c r="D44" s="1699"/>
      <c r="E44" s="1699"/>
      <c r="F44" s="1699"/>
      <c r="G44" s="1699"/>
      <c r="H44" s="2120" t="s">
        <v>2699</v>
      </c>
      <c r="I44" s="2224" t="s">
        <v>2700</v>
      </c>
      <c r="J44" s="972"/>
      <c r="K44" s="2345"/>
      <c r="M44" s="146"/>
      <c r="N44" s="146"/>
    </row>
    <row r="45" customFormat="false" ht="12.75" hidden="false" customHeight="true" outlineLevel="0" collapsed="false">
      <c r="A45" s="2341"/>
      <c r="B45" s="2116"/>
      <c r="C45" s="2366" t="s">
        <v>2949</v>
      </c>
      <c r="D45" s="2366"/>
      <c r="E45" s="2366"/>
      <c r="F45" s="2366"/>
      <c r="G45" s="2366"/>
      <c r="H45" s="1699" t="n">
        <f aca="false">D46</f>
        <v>2</v>
      </c>
      <c r="I45" s="2348" t="n">
        <f aca="false">MIN(6,H45)</f>
        <v>2</v>
      </c>
      <c r="J45" s="972"/>
      <c r="K45" s="2345"/>
      <c r="L45" s="146"/>
      <c r="M45" s="146"/>
      <c r="N45" s="146"/>
    </row>
    <row r="46" customFormat="false" ht="12.75" hidden="false" customHeight="true" outlineLevel="0" collapsed="false">
      <c r="A46" s="2341"/>
      <c r="B46" s="2116"/>
      <c r="C46" s="2186"/>
      <c r="D46" s="2146" t="n">
        <f aca="false">'Saisie et Calculateur'!F870</f>
        <v>2</v>
      </c>
      <c r="E46" s="2172"/>
      <c r="F46" s="2148"/>
      <c r="G46" s="2367"/>
      <c r="H46" s="1699"/>
      <c r="I46" s="2348"/>
      <c r="J46" s="972"/>
      <c r="K46" s="2345"/>
      <c r="L46" s="146"/>
      <c r="M46" s="146"/>
    </row>
    <row r="47" customFormat="false" ht="12.75" hidden="false" customHeight="true" outlineLevel="0" collapsed="false">
      <c r="A47" s="2341"/>
      <c r="B47" s="2116"/>
      <c r="C47" s="972"/>
      <c r="D47" s="972"/>
      <c r="E47" s="972"/>
      <c r="F47" s="972"/>
      <c r="G47" s="2330"/>
      <c r="H47" s="972"/>
      <c r="I47" s="972"/>
      <c r="J47" s="972"/>
      <c r="K47" s="2345"/>
      <c r="L47" s="146"/>
      <c r="M47" s="146"/>
    </row>
    <row r="48" customFormat="false" ht="12.75" hidden="false" customHeight="true" outlineLevel="0" collapsed="false">
      <c r="A48" s="2341"/>
      <c r="B48" s="2116"/>
      <c r="C48" s="972"/>
      <c r="D48" s="972"/>
      <c r="E48" s="972"/>
      <c r="F48" s="972"/>
      <c r="G48" s="2330"/>
      <c r="H48" s="972"/>
      <c r="I48" s="972"/>
      <c r="J48" s="972"/>
      <c r="K48" s="2345"/>
      <c r="L48" s="146"/>
      <c r="M48" s="146"/>
    </row>
    <row r="49" customFormat="false" ht="15.75" hidden="false" customHeight="true" outlineLevel="0" collapsed="false">
      <c r="A49" s="2341"/>
      <c r="B49" s="2149" t="s">
        <v>729</v>
      </c>
      <c r="C49" s="2354" t="s">
        <v>2950</v>
      </c>
      <c r="D49" s="2354"/>
      <c r="E49" s="2354"/>
      <c r="F49" s="2354"/>
      <c r="G49" s="2354"/>
      <c r="H49" s="2354"/>
      <c r="I49" s="2355" t="s">
        <v>2866</v>
      </c>
      <c r="J49" s="972"/>
      <c r="K49" s="2345"/>
    </row>
    <row r="50" customFormat="false" ht="12.75" hidden="false" customHeight="true" outlineLevel="0" collapsed="false">
      <c r="A50" s="2341"/>
      <c r="B50" s="2116"/>
      <c r="C50" s="972"/>
      <c r="D50" s="972"/>
      <c r="E50" s="972"/>
      <c r="F50" s="972"/>
      <c r="G50" s="2330"/>
      <c r="H50" s="972"/>
      <c r="I50" s="972"/>
      <c r="J50" s="972"/>
      <c r="K50" s="2345"/>
    </row>
    <row r="51" customFormat="false" ht="25.5" hidden="false" customHeight="true" outlineLevel="0" collapsed="false">
      <c r="A51" s="2341"/>
      <c r="B51" s="2116"/>
      <c r="C51" s="2119" t="s">
        <v>2698</v>
      </c>
      <c r="D51" s="2119"/>
      <c r="E51" s="2119"/>
      <c r="F51" s="2119"/>
      <c r="G51" s="2119"/>
      <c r="H51" s="2120" t="s">
        <v>2699</v>
      </c>
      <c r="I51" s="2120" t="s">
        <v>2700</v>
      </c>
      <c r="J51" s="972"/>
      <c r="K51" s="2345"/>
    </row>
    <row r="52" customFormat="false" ht="15" hidden="false" customHeight="true" outlineLevel="0" collapsed="false">
      <c r="A52" s="2341"/>
      <c r="B52" s="2116"/>
      <c r="C52" s="2368" t="s">
        <v>2951</v>
      </c>
      <c r="D52" s="2368"/>
      <c r="E52" s="2368"/>
      <c r="F52" s="2368"/>
      <c r="G52" s="2153" t="n">
        <f aca="false">IF(E54=N52,N53,O53)</f>
        <v>3</v>
      </c>
      <c r="H52" s="2239" t="n">
        <f aca="false">G52+G56+G60</f>
        <v>3</v>
      </c>
      <c r="I52" s="2348" t="n">
        <f aca="false">MIN(6,H52)</f>
        <v>3</v>
      </c>
      <c r="J52" s="972"/>
      <c r="K52" s="2345"/>
      <c r="M52" s="1926" t="s">
        <v>2939</v>
      </c>
      <c r="N52" s="1926" t="s">
        <v>1609</v>
      </c>
      <c r="O52" s="1857" t="s">
        <v>243</v>
      </c>
    </row>
    <row r="53" customFormat="false" ht="12.75" hidden="false" customHeight="true" outlineLevel="0" collapsed="false">
      <c r="A53" s="2341"/>
      <c r="B53" s="2116"/>
      <c r="C53" s="2368"/>
      <c r="D53" s="2368"/>
      <c r="E53" s="2368"/>
      <c r="F53" s="2368"/>
      <c r="G53" s="2153"/>
      <c r="H53" s="2239"/>
      <c r="I53" s="2348"/>
      <c r="J53" s="972"/>
      <c r="K53" s="2345"/>
      <c r="M53" s="1926" t="s">
        <v>2952</v>
      </c>
      <c r="N53" s="1926" t="n">
        <v>3</v>
      </c>
      <c r="O53" s="1857" t="n">
        <v>0</v>
      </c>
    </row>
    <row r="54" customFormat="false" ht="12.75" hidden="false" customHeight="true" outlineLevel="0" collapsed="false">
      <c r="A54" s="2341"/>
      <c r="B54" s="2116"/>
      <c r="C54" s="2129"/>
      <c r="D54" s="972" t="s">
        <v>2720</v>
      </c>
      <c r="E54" s="2369" t="str">
        <f aca="false">'Saisie et Calculateur'!E875</f>
        <v>oui </v>
      </c>
      <c r="F54" s="972"/>
      <c r="G54" s="2153"/>
      <c r="H54" s="2239"/>
      <c r="I54" s="2348"/>
      <c r="J54" s="972"/>
      <c r="K54" s="2345"/>
      <c r="M54" s="1857" t="s">
        <v>2738</v>
      </c>
      <c r="N54" s="1857" t="n">
        <v>3</v>
      </c>
      <c r="O54" s="1857" t="n">
        <v>0</v>
      </c>
    </row>
    <row r="55" customFormat="false" ht="12.75" hidden="false" customHeight="true" outlineLevel="0" collapsed="false">
      <c r="A55" s="2341"/>
      <c r="B55" s="2116"/>
      <c r="C55" s="2129"/>
      <c r="D55" s="972"/>
      <c r="E55" s="2369"/>
      <c r="F55" s="972"/>
      <c r="G55" s="2153"/>
      <c r="H55" s="2239"/>
      <c r="I55" s="2348"/>
      <c r="J55" s="972"/>
      <c r="K55" s="2345"/>
      <c r="M55" s="1857" t="s">
        <v>2953</v>
      </c>
      <c r="N55" s="1857" t="n">
        <v>3</v>
      </c>
      <c r="O55" s="1857" t="n">
        <v>0</v>
      </c>
    </row>
    <row r="56" customFormat="false" ht="15" hidden="false" customHeight="true" outlineLevel="0" collapsed="false">
      <c r="A56" s="2341"/>
      <c r="B56" s="2116"/>
      <c r="C56" s="2131" t="s">
        <v>2954</v>
      </c>
      <c r="D56" s="2131"/>
      <c r="E56" s="2131"/>
      <c r="F56" s="2131"/>
      <c r="G56" s="2183" t="n">
        <f aca="false">IF(E58=N52,N54,O54)</f>
        <v>0</v>
      </c>
      <c r="H56" s="2239"/>
      <c r="I56" s="2348"/>
      <c r="J56" s="972"/>
      <c r="K56" s="2345"/>
    </row>
    <row r="57" customFormat="false" ht="12.75" hidden="false" customHeight="true" outlineLevel="0" collapsed="false">
      <c r="A57" s="2341"/>
      <c r="B57" s="2116"/>
      <c r="C57" s="2131"/>
      <c r="D57" s="2131"/>
      <c r="E57" s="2131"/>
      <c r="F57" s="2131"/>
      <c r="G57" s="2183"/>
      <c r="H57" s="2239"/>
      <c r="I57" s="2348"/>
      <c r="J57" s="972"/>
      <c r="K57" s="2345"/>
    </row>
    <row r="58" customFormat="false" ht="12.75" hidden="false" customHeight="true" outlineLevel="0" collapsed="false">
      <c r="A58" s="2341"/>
      <c r="B58" s="2116"/>
      <c r="C58" s="2131"/>
      <c r="D58" s="2132" t="s">
        <v>2720</v>
      </c>
      <c r="E58" s="2132" t="str">
        <f aca="false">'Saisie et Calculateur'!E878</f>
        <v>non</v>
      </c>
      <c r="F58" s="2132"/>
      <c r="G58" s="2183"/>
      <c r="H58" s="2239"/>
      <c r="I58" s="2348"/>
      <c r="J58" s="972"/>
      <c r="K58" s="2345"/>
    </row>
    <row r="59" customFormat="false" ht="12.75" hidden="false" customHeight="true" outlineLevel="0" collapsed="false">
      <c r="A59" s="2341"/>
      <c r="B59" s="2116"/>
      <c r="C59" s="2131"/>
      <c r="D59" s="2132"/>
      <c r="E59" s="2132"/>
      <c r="F59" s="2132"/>
      <c r="G59" s="2183"/>
      <c r="H59" s="2239"/>
      <c r="I59" s="2348"/>
      <c r="J59" s="972"/>
      <c r="K59" s="2345"/>
    </row>
    <row r="60" customFormat="false" ht="15" hidden="false" customHeight="true" outlineLevel="0" collapsed="false">
      <c r="A60" s="2341"/>
      <c r="B60" s="2116"/>
      <c r="C60" s="2131" t="s">
        <v>2955</v>
      </c>
      <c r="D60" s="2131"/>
      <c r="E60" s="2131"/>
      <c r="F60" s="2131"/>
      <c r="G60" s="2370" t="n">
        <f aca="false">IF(E62=N52,N55,O55)</f>
        <v>0</v>
      </c>
      <c r="H60" s="2239"/>
      <c r="I60" s="2348"/>
      <c r="J60" s="972"/>
      <c r="K60" s="2345"/>
    </row>
    <row r="61" customFormat="false" ht="29.25" hidden="false" customHeight="true" outlineLevel="0" collapsed="false">
      <c r="A61" s="2341"/>
      <c r="B61" s="2116"/>
      <c r="C61" s="2131"/>
      <c r="D61" s="2131"/>
      <c r="E61" s="2131"/>
      <c r="F61" s="2131"/>
      <c r="G61" s="2370"/>
      <c r="H61" s="2239"/>
      <c r="I61" s="2348"/>
      <c r="J61" s="972"/>
      <c r="K61" s="2345"/>
    </row>
    <row r="62" customFormat="false" ht="12.75" hidden="false" customHeight="true" outlineLevel="0" collapsed="false">
      <c r="A62" s="2341"/>
      <c r="B62" s="2116"/>
      <c r="C62" s="2371"/>
      <c r="D62" s="2146" t="s">
        <v>2720</v>
      </c>
      <c r="E62" s="2146" t="str">
        <f aca="false">'Saisie et Calculateur'!E882</f>
        <v>non</v>
      </c>
      <c r="F62" s="2146"/>
      <c r="G62" s="2370"/>
      <c r="H62" s="2239"/>
      <c r="I62" s="2348"/>
      <c r="J62" s="972"/>
      <c r="K62" s="2345"/>
    </row>
    <row r="63" customFormat="false" ht="13.5" hidden="false" customHeight="true" outlineLevel="0" collapsed="false">
      <c r="A63" s="2341"/>
      <c r="B63" s="2246"/>
      <c r="C63" s="2247"/>
      <c r="D63" s="2247"/>
      <c r="E63" s="2247"/>
      <c r="F63" s="2247"/>
      <c r="G63" s="2372"/>
      <c r="H63" s="2248"/>
      <c r="I63" s="2248"/>
      <c r="J63" s="2248"/>
      <c r="K63" s="2345"/>
    </row>
    <row r="65" customFormat="false" ht="29.25" hidden="false" customHeight="true" outlineLevel="0" collapsed="false">
      <c r="A65" s="2373" t="s">
        <v>2956</v>
      </c>
      <c r="B65" s="2292" t="s">
        <v>669</v>
      </c>
      <c r="C65" s="2374" t="s">
        <v>2957</v>
      </c>
      <c r="D65" s="2374"/>
      <c r="E65" s="2374"/>
      <c r="F65" s="2374"/>
      <c r="G65" s="2374"/>
      <c r="H65" s="2374"/>
      <c r="I65" s="2375" t="s">
        <v>2697</v>
      </c>
      <c r="J65" s="2221"/>
      <c r="K65" s="2376" t="n">
        <f aca="false">MIN(25,SUM(I68,I78,I89,I102,I125,I141,I154,I162))</f>
        <v>23</v>
      </c>
      <c r="M65" s="972"/>
      <c r="N65" s="972"/>
      <c r="O65" s="972"/>
      <c r="P65" s="972"/>
      <c r="Q65" s="972"/>
      <c r="R65" s="972"/>
    </row>
    <row r="66" customFormat="false" ht="12.75" hidden="false" customHeight="true" outlineLevel="0" collapsed="false">
      <c r="A66" s="2373"/>
      <c r="B66" s="972"/>
      <c r="C66" s="972"/>
      <c r="D66" s="972"/>
      <c r="E66" s="972"/>
      <c r="F66" s="972"/>
      <c r="G66" s="2330"/>
      <c r="H66" s="972"/>
      <c r="I66" s="972"/>
      <c r="J66" s="972"/>
      <c r="K66" s="2376"/>
      <c r="M66" s="972"/>
      <c r="N66" s="2118"/>
      <c r="O66" s="2118"/>
      <c r="P66" s="2118"/>
      <c r="Q66" s="1632"/>
      <c r="R66" s="972"/>
    </row>
    <row r="67" customFormat="false" ht="25.5" hidden="false" customHeight="true" outlineLevel="0" collapsed="false">
      <c r="A67" s="2373"/>
      <c r="B67" s="972"/>
      <c r="C67" s="2158" t="s">
        <v>2698</v>
      </c>
      <c r="D67" s="2158"/>
      <c r="E67" s="2158"/>
      <c r="F67" s="2158"/>
      <c r="G67" s="2158"/>
      <c r="H67" s="2120" t="s">
        <v>2699</v>
      </c>
      <c r="I67" s="2120" t="s">
        <v>2700</v>
      </c>
      <c r="J67" s="972"/>
      <c r="K67" s="2376"/>
      <c r="M67" s="2324"/>
      <c r="N67" s="2324"/>
      <c r="O67" s="2324"/>
      <c r="P67" s="2324"/>
      <c r="Q67" s="2182" t="s">
        <v>2958</v>
      </c>
      <c r="R67" s="2182"/>
    </row>
    <row r="68" customFormat="false" ht="12.75" hidden="false" customHeight="true" outlineLevel="0" collapsed="false">
      <c r="A68" s="2373"/>
      <c r="B68" s="972"/>
      <c r="C68" s="2192" t="s">
        <v>2959</v>
      </c>
      <c r="D68" s="2192"/>
      <c r="E68" s="2192"/>
      <c r="F68" s="2192"/>
      <c r="G68" s="2183" t="n">
        <f aca="false">IF(E69=M68,O68,IF(E69=M69,O69,O70))</f>
        <v>5</v>
      </c>
      <c r="H68" s="2239" t="n">
        <f aca="false">G68+G71</f>
        <v>5</v>
      </c>
      <c r="I68" s="2348" t="n">
        <f aca="false">MIN(5,H68)</f>
        <v>5</v>
      </c>
      <c r="J68" s="972"/>
      <c r="K68" s="2376"/>
      <c r="M68" s="2158" t="s">
        <v>1614</v>
      </c>
      <c r="N68" s="2158"/>
      <c r="O68" s="2377" t="n">
        <v>5</v>
      </c>
      <c r="Q68" s="2182"/>
      <c r="R68" s="2182"/>
    </row>
    <row r="69" customFormat="false" ht="12.75" hidden="false" customHeight="true" outlineLevel="0" collapsed="false">
      <c r="A69" s="2373"/>
      <c r="B69" s="972"/>
      <c r="C69" s="2143"/>
      <c r="D69" s="2156" t="s">
        <v>2720</v>
      </c>
      <c r="E69" s="2132" t="str">
        <f aca="false">'Saisie et Calculateur'!E886</f>
        <v>Oui sur plus de 50% de la SAU</v>
      </c>
      <c r="F69" s="2161"/>
      <c r="G69" s="2183"/>
      <c r="H69" s="2239"/>
      <c r="I69" s="2348"/>
      <c r="J69" s="972"/>
      <c r="K69" s="2376"/>
      <c r="M69" s="2158" t="s">
        <v>2960</v>
      </c>
      <c r="N69" s="2158"/>
      <c r="O69" s="2377" t="n">
        <v>3</v>
      </c>
      <c r="Q69" s="1699" t="s">
        <v>242</v>
      </c>
      <c r="R69" s="1874" t="n">
        <v>3</v>
      </c>
    </row>
    <row r="70" customFormat="false" ht="12.75" hidden="false" customHeight="true" outlineLevel="0" collapsed="false">
      <c r="A70" s="2373"/>
      <c r="B70" s="972"/>
      <c r="C70" s="2143"/>
      <c r="D70" s="2156"/>
      <c r="E70" s="2162"/>
      <c r="F70" s="972"/>
      <c r="G70" s="2183"/>
      <c r="H70" s="2239"/>
      <c r="I70" s="2348"/>
      <c r="J70" s="972"/>
      <c r="K70" s="2376"/>
      <c r="M70" s="2378" t="s">
        <v>1323</v>
      </c>
      <c r="N70" s="2378"/>
      <c r="O70" s="2377" t="n">
        <v>0</v>
      </c>
      <c r="Q70" s="1699" t="s">
        <v>243</v>
      </c>
      <c r="R70" s="1699" t="n">
        <v>0</v>
      </c>
    </row>
    <row r="71" customFormat="false" ht="12.75" hidden="false" customHeight="true" outlineLevel="0" collapsed="false">
      <c r="A71" s="2373"/>
      <c r="B71" s="972"/>
      <c r="C71" s="2143" t="s">
        <v>2961</v>
      </c>
      <c r="D71" s="2143"/>
      <c r="E71" s="2143"/>
      <c r="F71" s="2143"/>
      <c r="G71" s="2209" t="n">
        <f aca="false">IF(E72=Q69,R69,R70)</f>
        <v>0</v>
      </c>
      <c r="H71" s="2239"/>
      <c r="I71" s="2348"/>
      <c r="J71" s="972"/>
      <c r="K71" s="2376"/>
    </row>
    <row r="72" customFormat="false" ht="12.75" hidden="false" customHeight="true" outlineLevel="0" collapsed="false">
      <c r="A72" s="2373"/>
      <c r="B72" s="972"/>
      <c r="C72" s="2379"/>
      <c r="D72" s="2241" t="s">
        <v>2720</v>
      </c>
      <c r="E72" s="2266" t="str">
        <f aca="false">'Saisie et Calculateur'!E890</f>
        <v>non</v>
      </c>
      <c r="F72" s="2148"/>
      <c r="G72" s="2209"/>
      <c r="H72" s="2239"/>
      <c r="I72" s="2348"/>
      <c r="J72" s="972"/>
      <c r="K72" s="2376"/>
    </row>
    <row r="73" customFormat="false" ht="12.75" hidden="false" customHeight="true" outlineLevel="0" collapsed="false">
      <c r="A73" s="2373"/>
      <c r="B73" s="972"/>
      <c r="C73" s="972"/>
      <c r="D73" s="972"/>
      <c r="E73" s="972"/>
      <c r="F73" s="972"/>
      <c r="G73" s="2330"/>
      <c r="H73" s="972"/>
      <c r="I73" s="972"/>
      <c r="J73" s="972"/>
      <c r="K73" s="2376"/>
    </row>
    <row r="74" customFormat="false" ht="12.75" hidden="false" customHeight="true" outlineLevel="0" collapsed="false">
      <c r="A74" s="2373"/>
      <c r="B74" s="972"/>
      <c r="C74" s="972"/>
      <c r="D74" s="972"/>
      <c r="E74" s="972"/>
      <c r="F74" s="972"/>
      <c r="G74" s="2330"/>
      <c r="H74" s="972"/>
      <c r="I74" s="972"/>
      <c r="J74" s="972"/>
      <c r="K74" s="2376"/>
    </row>
    <row r="75" customFormat="false" ht="12.75" hidden="false" customHeight="true" outlineLevel="0" collapsed="false">
      <c r="A75" s="2373"/>
      <c r="B75" s="1007" t="s">
        <v>705</v>
      </c>
      <c r="C75" s="2354" t="s">
        <v>2962</v>
      </c>
      <c r="D75" s="2354"/>
      <c r="E75" s="2354"/>
      <c r="F75" s="2354"/>
      <c r="G75" s="2354"/>
      <c r="H75" s="2354"/>
      <c r="I75" s="2355" t="s">
        <v>2963</v>
      </c>
      <c r="J75" s="972"/>
      <c r="K75" s="2376"/>
    </row>
    <row r="76" customFormat="false" ht="12.75" hidden="false" customHeight="true" outlineLevel="0" collapsed="false">
      <c r="A76" s="2373"/>
      <c r="B76" s="972"/>
      <c r="C76" s="972"/>
      <c r="D76" s="972"/>
      <c r="E76" s="972"/>
      <c r="F76" s="972"/>
      <c r="G76" s="2330"/>
      <c r="H76" s="972"/>
      <c r="I76" s="972"/>
      <c r="J76" s="972"/>
      <c r="K76" s="2376"/>
    </row>
    <row r="77" customFormat="false" ht="25.5" hidden="false" customHeight="true" outlineLevel="0" collapsed="false">
      <c r="A77" s="2373"/>
      <c r="B77" s="972"/>
      <c r="C77" s="2158" t="s">
        <v>2698</v>
      </c>
      <c r="D77" s="2158"/>
      <c r="E77" s="2158"/>
      <c r="F77" s="2158"/>
      <c r="G77" s="2158"/>
      <c r="H77" s="2120" t="s">
        <v>2699</v>
      </c>
      <c r="I77" s="2120" t="s">
        <v>2700</v>
      </c>
      <c r="J77" s="972"/>
      <c r="K77" s="2376"/>
    </row>
    <row r="78" customFormat="false" ht="12.75" hidden="false" customHeight="true" outlineLevel="0" collapsed="false">
      <c r="A78" s="2373"/>
      <c r="B78" s="972"/>
      <c r="C78" s="2124" t="s">
        <v>2964</v>
      </c>
      <c r="D78" s="2124"/>
      <c r="E78" s="2124"/>
      <c r="F78" s="2124"/>
      <c r="G78" s="2153" t="n">
        <f aca="false">IF(E79=M79,N79,N80)</f>
        <v>0</v>
      </c>
      <c r="H78" s="2126" t="n">
        <f aca="false">G78+G80+G82</f>
        <v>0</v>
      </c>
      <c r="I78" s="2348" t="n">
        <f aca="false">MIN(3,H78)</f>
        <v>0</v>
      </c>
      <c r="J78" s="972"/>
      <c r="K78" s="2376"/>
      <c r="M78" s="1857" t="s">
        <v>2939</v>
      </c>
      <c r="N78" s="1857" t="s">
        <v>2952</v>
      </c>
      <c r="O78" s="1857" t="s">
        <v>2738</v>
      </c>
      <c r="P78" s="1874" t="s">
        <v>2965</v>
      </c>
    </row>
    <row r="79" customFormat="false" ht="12.75" hidden="false" customHeight="true" outlineLevel="0" collapsed="false">
      <c r="A79" s="2373"/>
      <c r="B79" s="972"/>
      <c r="C79" s="2129"/>
      <c r="D79" s="972" t="s">
        <v>2720</v>
      </c>
      <c r="E79" s="972" t="str">
        <f aca="false">'Saisie et Calculateur'!C897</f>
        <v>non</v>
      </c>
      <c r="F79" s="972"/>
      <c r="G79" s="2153"/>
      <c r="H79" s="2126"/>
      <c r="I79" s="2348"/>
      <c r="J79" s="972"/>
      <c r="K79" s="2376"/>
      <c r="M79" s="2380" t="s">
        <v>242</v>
      </c>
      <c r="N79" s="2380" t="n">
        <v>2</v>
      </c>
      <c r="O79" s="2380" t="n">
        <v>2</v>
      </c>
      <c r="P79" s="1874" t="n">
        <v>2</v>
      </c>
    </row>
    <row r="80" customFormat="false" ht="12.75" hidden="false" customHeight="true" outlineLevel="0" collapsed="false">
      <c r="A80" s="2373"/>
      <c r="B80" s="972"/>
      <c r="C80" s="2192" t="s">
        <v>2966</v>
      </c>
      <c r="D80" s="2192"/>
      <c r="E80" s="2192"/>
      <c r="F80" s="2192"/>
      <c r="G80" s="2230" t="n">
        <f aca="false">IF(E81=M79,O79,O80)</f>
        <v>0</v>
      </c>
      <c r="H80" s="2126"/>
      <c r="I80" s="2348"/>
      <c r="J80" s="972"/>
      <c r="K80" s="2376"/>
      <c r="M80" s="1874" t="s">
        <v>243</v>
      </c>
      <c r="N80" s="1874" t="n">
        <v>0</v>
      </c>
      <c r="O80" s="1874" t="n">
        <v>0</v>
      </c>
      <c r="P80" s="1874" t="n">
        <v>0</v>
      </c>
    </row>
    <row r="81" customFormat="false" ht="12.75" hidden="false" customHeight="true" outlineLevel="0" collapsed="false">
      <c r="A81" s="2373"/>
      <c r="B81" s="972"/>
      <c r="C81" s="2143"/>
      <c r="D81" s="972" t="s">
        <v>2720</v>
      </c>
      <c r="E81" s="2162" t="str">
        <f aca="false">'Saisie et Calculateur'!C899</f>
        <v>non</v>
      </c>
      <c r="F81" s="972"/>
      <c r="G81" s="2230"/>
      <c r="H81" s="2126"/>
      <c r="I81" s="2348"/>
      <c r="J81" s="972"/>
      <c r="K81" s="2376"/>
    </row>
    <row r="82" customFormat="false" ht="12.75" hidden="false" customHeight="true" outlineLevel="0" collapsed="false">
      <c r="A82" s="2373"/>
      <c r="B82" s="972"/>
      <c r="C82" s="2143" t="s">
        <v>2967</v>
      </c>
      <c r="D82" s="2143"/>
      <c r="E82" s="2143"/>
      <c r="F82" s="2143"/>
      <c r="G82" s="2370" t="n">
        <f aca="false">IF(E83=M79,P79,P80)</f>
        <v>0</v>
      </c>
      <c r="H82" s="2126"/>
      <c r="I82" s="2348"/>
      <c r="J82" s="972"/>
      <c r="K82" s="2376"/>
    </row>
    <row r="83" customFormat="false" ht="12.75" hidden="false" customHeight="true" outlineLevel="0" collapsed="false">
      <c r="A83" s="2373"/>
      <c r="B83" s="972"/>
      <c r="C83" s="2194"/>
      <c r="D83" s="2148" t="s">
        <v>2720</v>
      </c>
      <c r="E83" s="2148" t="str">
        <f aca="false">'Saisie et Calculateur'!C900</f>
        <v>non</v>
      </c>
      <c r="F83" s="2148"/>
      <c r="G83" s="2370"/>
      <c r="H83" s="2126"/>
      <c r="I83" s="2348"/>
      <c r="J83" s="972"/>
      <c r="K83" s="2376"/>
    </row>
    <row r="84" customFormat="false" ht="12.75" hidden="false" customHeight="true" outlineLevel="0" collapsed="false">
      <c r="A84" s="2373"/>
      <c r="B84" s="972"/>
      <c r="C84" s="972"/>
      <c r="D84" s="972"/>
      <c r="E84" s="972"/>
      <c r="F84" s="972"/>
      <c r="G84" s="2330"/>
      <c r="H84" s="972"/>
      <c r="I84" s="972"/>
      <c r="J84" s="972"/>
      <c r="K84" s="2376"/>
    </row>
    <row r="85" customFormat="false" ht="12.75" hidden="false" customHeight="true" outlineLevel="0" collapsed="false">
      <c r="A85" s="2373"/>
      <c r="B85" s="972"/>
      <c r="C85" s="972"/>
      <c r="D85" s="972"/>
      <c r="E85" s="972"/>
      <c r="F85" s="972"/>
      <c r="G85" s="2330"/>
      <c r="H85" s="972"/>
      <c r="I85" s="972"/>
      <c r="J85" s="972"/>
      <c r="K85" s="2376"/>
    </row>
    <row r="86" customFormat="false" ht="12.75" hidden="false" customHeight="true" outlineLevel="0" collapsed="false">
      <c r="A86" s="2373"/>
      <c r="B86" s="1007" t="s">
        <v>943</v>
      </c>
      <c r="C86" s="2354" t="s">
        <v>2968</v>
      </c>
      <c r="D86" s="2354"/>
      <c r="E86" s="2354"/>
      <c r="F86" s="2354"/>
      <c r="G86" s="2354"/>
      <c r="H86" s="2354"/>
      <c r="I86" s="2355" t="s">
        <v>2697</v>
      </c>
      <c r="J86" s="972"/>
      <c r="K86" s="2376"/>
      <c r="Q86" s="972"/>
      <c r="R86" s="972"/>
    </row>
    <row r="87" customFormat="false" ht="12.75" hidden="false" customHeight="true" outlineLevel="0" collapsed="false">
      <c r="A87" s="2373"/>
      <c r="B87" s="972"/>
      <c r="C87" s="972"/>
      <c r="D87" s="972"/>
      <c r="E87" s="972"/>
      <c r="F87" s="972"/>
      <c r="G87" s="2330"/>
      <c r="H87" s="972"/>
      <c r="I87" s="972"/>
      <c r="J87" s="972"/>
      <c r="K87" s="2376"/>
      <c r="M87" s="1857" t="s">
        <v>2969</v>
      </c>
      <c r="N87" s="2240"/>
      <c r="O87" s="2240" t="n">
        <v>0.05</v>
      </c>
      <c r="P87" s="2240" t="n">
        <v>0.5</v>
      </c>
      <c r="Q87" s="2381"/>
      <c r="R87" s="2381"/>
    </row>
    <row r="88" customFormat="false" ht="25.5" hidden="false" customHeight="true" outlineLevel="0" collapsed="false">
      <c r="A88" s="2373"/>
      <c r="B88" s="972"/>
      <c r="C88" s="2158" t="s">
        <v>2698</v>
      </c>
      <c r="D88" s="2158"/>
      <c r="E88" s="2158"/>
      <c r="F88" s="2158"/>
      <c r="G88" s="2158"/>
      <c r="H88" s="2120" t="s">
        <v>2699</v>
      </c>
      <c r="I88" s="2120" t="s">
        <v>2700</v>
      </c>
      <c r="J88" s="972"/>
      <c r="K88" s="2376"/>
      <c r="M88" s="1874" t="s">
        <v>2952</v>
      </c>
      <c r="N88" s="1874" t="n">
        <v>0</v>
      </c>
      <c r="O88" s="1874" t="n">
        <v>1</v>
      </c>
      <c r="P88" s="1874" t="n">
        <v>2</v>
      </c>
      <c r="Q88" s="1632"/>
      <c r="R88" s="1632"/>
    </row>
    <row r="89" customFormat="false" ht="12.75" hidden="false" customHeight="true" outlineLevel="0" collapsed="false">
      <c r="A89" s="2373"/>
      <c r="B89" s="972"/>
      <c r="C89" s="2307" t="s">
        <v>2970</v>
      </c>
      <c r="D89" s="2307"/>
      <c r="E89" s="2307"/>
      <c r="F89" s="2307"/>
      <c r="G89" s="2153" t="n">
        <f aca="false">IF(E90&gt;=P87,P88,IF(E90&gt;=O87,O88,N88))</f>
        <v>2</v>
      </c>
      <c r="H89" s="2239" t="n">
        <f aca="false">G89+G92+G95</f>
        <v>4</v>
      </c>
      <c r="I89" s="2348" t="n">
        <f aca="false">MIN(5,H89)</f>
        <v>4</v>
      </c>
      <c r="J89" s="972"/>
      <c r="K89" s="2376"/>
    </row>
    <row r="90" customFormat="false" ht="12.75" hidden="false" customHeight="true" outlineLevel="0" collapsed="false">
      <c r="A90" s="2373"/>
      <c r="B90" s="972"/>
      <c r="C90" s="2131"/>
      <c r="D90" s="972" t="s">
        <v>1110</v>
      </c>
      <c r="E90" s="2349" t="n">
        <f aca="false">'Saisie et Calculateur'!J904</f>
        <v>6.96498571523487</v>
      </c>
      <c r="F90" s="2162"/>
      <c r="G90" s="2153"/>
      <c r="H90" s="2239"/>
      <c r="I90" s="2348"/>
      <c r="J90" s="972"/>
      <c r="K90" s="2376"/>
      <c r="M90" s="972"/>
      <c r="N90" s="972"/>
      <c r="O90" s="972"/>
      <c r="P90" s="972"/>
    </row>
    <row r="91" customFormat="false" ht="12.75" hidden="false" customHeight="true" outlineLevel="0" collapsed="false">
      <c r="A91" s="2373"/>
      <c r="B91" s="972"/>
      <c r="C91" s="2129"/>
      <c r="D91" s="972"/>
      <c r="E91" s="972"/>
      <c r="F91" s="972"/>
      <c r="G91" s="2153"/>
      <c r="H91" s="2239"/>
      <c r="I91" s="2348"/>
      <c r="J91" s="972"/>
      <c r="K91" s="2376"/>
      <c r="M91" s="2382"/>
      <c r="N91" s="2382"/>
      <c r="O91" s="1865"/>
      <c r="P91" s="972"/>
    </row>
    <row r="92" customFormat="false" ht="12.75" hidden="false" customHeight="true" outlineLevel="0" collapsed="false">
      <c r="A92" s="2373"/>
      <c r="B92" s="972"/>
      <c r="C92" s="2192" t="s">
        <v>2971</v>
      </c>
      <c r="D92" s="2192"/>
      <c r="E92" s="2192"/>
      <c r="F92" s="2192"/>
      <c r="G92" s="2230" t="n">
        <f aca="false">MAX(F93:F94)</f>
        <v>2</v>
      </c>
      <c r="H92" s="2239"/>
      <c r="I92" s="2348"/>
      <c r="J92" s="972"/>
      <c r="K92" s="2376"/>
      <c r="L92" s="972"/>
      <c r="M92" s="2118"/>
      <c r="N92" s="2118"/>
      <c r="O92" s="2118"/>
      <c r="P92" s="972"/>
      <c r="Q92" s="2118"/>
    </row>
    <row r="93" customFormat="false" ht="12.75" hidden="false" customHeight="true" outlineLevel="0" collapsed="false">
      <c r="A93" s="2373"/>
      <c r="B93" s="972"/>
      <c r="C93" s="2129"/>
      <c r="D93" s="972" t="s">
        <v>2972</v>
      </c>
      <c r="E93" s="2162" t="str">
        <f aca="false">'Saisie et Calculateur'!D907</f>
        <v>non</v>
      </c>
      <c r="F93" s="972" t="n">
        <f aca="false">IF(E93="oui",3,0)</f>
        <v>0</v>
      </c>
      <c r="G93" s="2230"/>
      <c r="H93" s="2239"/>
      <c r="I93" s="2348"/>
      <c r="J93" s="2383"/>
      <c r="K93" s="2376"/>
      <c r="M93" s="2118"/>
      <c r="N93" s="2118"/>
      <c r="O93" s="2118"/>
      <c r="P93" s="972"/>
      <c r="Q93" s="2118"/>
    </row>
    <row r="94" customFormat="false" ht="12.75" hidden="false" customHeight="true" outlineLevel="0" collapsed="false">
      <c r="A94" s="2373"/>
      <c r="B94" s="972"/>
      <c r="C94" s="2143"/>
      <c r="D94" s="972" t="s">
        <v>2973</v>
      </c>
      <c r="E94" s="675" t="str">
        <f aca="false">'Saisie et Calculateur'!D908</f>
        <v>oui</v>
      </c>
      <c r="F94" s="972" t="n">
        <f aca="false">IF(E94="oui",2,0)</f>
        <v>2</v>
      </c>
      <c r="G94" s="2230"/>
      <c r="H94" s="2239"/>
      <c r="I94" s="2348"/>
      <c r="J94" s="972"/>
      <c r="K94" s="2376"/>
      <c r="M94" s="972"/>
      <c r="N94" s="972"/>
      <c r="O94" s="972"/>
      <c r="P94" s="972"/>
      <c r="Q94" s="2118"/>
    </row>
    <row r="95" customFormat="false" ht="12.75" hidden="false" customHeight="true" outlineLevel="0" collapsed="false">
      <c r="A95" s="2373"/>
      <c r="B95" s="972"/>
      <c r="C95" s="2143" t="s">
        <v>2974</v>
      </c>
      <c r="D95" s="2143"/>
      <c r="E95" s="2143"/>
      <c r="F95" s="2143"/>
      <c r="G95" s="2144" t="n">
        <f aca="false">IF(E96="oui",3,0)</f>
        <v>0</v>
      </c>
      <c r="H95" s="2239"/>
      <c r="I95" s="2348"/>
      <c r="J95" s="972"/>
      <c r="K95" s="2376"/>
    </row>
    <row r="96" customFormat="false" ht="12.75" hidden="false" customHeight="true" outlineLevel="0" collapsed="false">
      <c r="A96" s="2373"/>
      <c r="B96" s="972"/>
      <c r="C96" s="2194"/>
      <c r="D96" s="2241" t="s">
        <v>2720</v>
      </c>
      <c r="E96" s="2384" t="str">
        <f aca="false">'Saisie et Calculateur'!E910</f>
        <v>non</v>
      </c>
      <c r="F96" s="2148"/>
      <c r="G96" s="2144"/>
      <c r="H96" s="2239"/>
      <c r="I96" s="2348"/>
      <c r="J96" s="972"/>
      <c r="K96" s="2376"/>
    </row>
    <row r="97" customFormat="false" ht="12.75" hidden="false" customHeight="true" outlineLevel="0" collapsed="false">
      <c r="A97" s="2373"/>
      <c r="B97" s="972"/>
      <c r="C97" s="972"/>
      <c r="D97" s="972"/>
      <c r="E97" s="972"/>
      <c r="F97" s="972"/>
      <c r="G97" s="2330"/>
      <c r="H97" s="972"/>
      <c r="I97" s="972"/>
      <c r="J97" s="972"/>
      <c r="K97" s="2376"/>
    </row>
    <row r="98" customFormat="false" ht="12.75" hidden="false" customHeight="true" outlineLevel="0" collapsed="false">
      <c r="A98" s="2373"/>
      <c r="B98" s="972"/>
      <c r="C98" s="972"/>
      <c r="D98" s="972"/>
      <c r="E98" s="972"/>
      <c r="F98" s="972"/>
      <c r="G98" s="2330"/>
      <c r="H98" s="972"/>
      <c r="I98" s="972"/>
      <c r="J98" s="972"/>
      <c r="K98" s="2376"/>
    </row>
    <row r="99" customFormat="false" ht="12.75" hidden="false" customHeight="true" outlineLevel="0" collapsed="false">
      <c r="A99" s="2373"/>
      <c r="B99" s="1007" t="s">
        <v>216</v>
      </c>
      <c r="C99" s="2354" t="s">
        <v>2975</v>
      </c>
      <c r="D99" s="2354"/>
      <c r="E99" s="2354"/>
      <c r="F99" s="2354"/>
      <c r="G99" s="2354"/>
      <c r="H99" s="2354"/>
      <c r="I99" s="2355" t="s">
        <v>2697</v>
      </c>
      <c r="J99" s="972"/>
      <c r="K99" s="2376"/>
      <c r="M99" s="2021"/>
      <c r="N99" s="2118"/>
    </row>
    <row r="100" customFormat="false" ht="12.75" hidden="false" customHeight="true" outlineLevel="0" collapsed="false">
      <c r="A100" s="2373"/>
      <c r="B100" s="972"/>
      <c r="C100" s="972"/>
      <c r="D100" s="972"/>
      <c r="E100" s="972"/>
      <c r="F100" s="972"/>
      <c r="G100" s="2330"/>
      <c r="H100" s="972"/>
      <c r="I100" s="972"/>
      <c r="J100" s="972"/>
      <c r="K100" s="2376"/>
      <c r="M100" s="1874" t="s">
        <v>2976</v>
      </c>
      <c r="N100" s="2267" t="n">
        <v>0.7</v>
      </c>
      <c r="O100" s="2385"/>
      <c r="Q100" s="1874" t="s">
        <v>2977</v>
      </c>
      <c r="R100" s="2267" t="n">
        <v>0.7</v>
      </c>
      <c r="S100" s="2385"/>
    </row>
    <row r="101" customFormat="false" ht="25.5" hidden="false" customHeight="true" outlineLevel="0" collapsed="false">
      <c r="A101" s="2373"/>
      <c r="B101" s="972"/>
      <c r="C101" s="2119" t="s">
        <v>2698</v>
      </c>
      <c r="D101" s="2119"/>
      <c r="E101" s="2119"/>
      <c r="F101" s="2119"/>
      <c r="G101" s="2119"/>
      <c r="H101" s="2120" t="s">
        <v>2699</v>
      </c>
      <c r="I101" s="2120" t="s">
        <v>2700</v>
      </c>
      <c r="J101" s="972"/>
      <c r="K101" s="2376"/>
      <c r="M101" s="2385" t="s">
        <v>2732</v>
      </c>
      <c r="N101" s="1874" t="n">
        <v>2</v>
      </c>
      <c r="O101" s="1874" t="n">
        <v>0</v>
      </c>
      <c r="Q101" s="2385" t="s">
        <v>2732</v>
      </c>
      <c r="R101" s="1874" t="n">
        <v>1</v>
      </c>
      <c r="S101" s="1874" t="n">
        <v>0</v>
      </c>
    </row>
    <row r="102" customFormat="false" ht="12.75" hidden="false" customHeight="true" outlineLevel="0" collapsed="false">
      <c r="A102" s="2373"/>
      <c r="B102" s="972"/>
      <c r="C102" s="2124" t="s">
        <v>2978</v>
      </c>
      <c r="D102" s="2124"/>
      <c r="E102" s="2124"/>
      <c r="F102" s="2124"/>
      <c r="G102" s="2294" t="n">
        <f aca="false">MIN(5,SUM(F103:F108))</f>
        <v>4</v>
      </c>
      <c r="H102" s="2126" t="n">
        <f aca="false">G102+G110+G116</f>
        <v>6</v>
      </c>
      <c r="I102" s="2348" t="n">
        <f aca="false">IF(H102&lt;0,0,MIN(5,H102))</f>
        <v>5</v>
      </c>
      <c r="J102" s="972"/>
      <c r="K102" s="2376"/>
    </row>
    <row r="103" customFormat="false" ht="12.75" hidden="false" customHeight="true" outlineLevel="0" collapsed="false">
      <c r="A103" s="2373"/>
      <c r="B103" s="972"/>
      <c r="C103" s="2129" t="s">
        <v>2979</v>
      </c>
      <c r="D103" s="972" t="s">
        <v>1110</v>
      </c>
      <c r="E103" s="2196" t="n">
        <f aca="false">'Saisie et Calculateur'!D916</f>
        <v>1.14603508892174</v>
      </c>
      <c r="F103" s="972" t="n">
        <f aca="false">IF(E103="NC",0,IF(E103&gt;=N100,N101,O101))</f>
        <v>2</v>
      </c>
      <c r="G103" s="2294"/>
      <c r="H103" s="2126"/>
      <c r="I103" s="2348"/>
      <c r="J103" s="972"/>
      <c r="K103" s="2376"/>
      <c r="M103" s="1675" t="s">
        <v>2980</v>
      </c>
      <c r="N103" s="1675"/>
      <c r="P103" s="1675" t="s">
        <v>2981</v>
      </c>
      <c r="Q103" s="1675"/>
      <c r="S103" s="1675" t="s">
        <v>2982</v>
      </c>
      <c r="T103" s="1675"/>
      <c r="V103" s="1675" t="s">
        <v>2983</v>
      </c>
      <c r="W103" s="1675"/>
    </row>
    <row r="104" customFormat="false" ht="12.75" hidden="false" customHeight="true" outlineLevel="0" collapsed="false">
      <c r="A104" s="2373"/>
      <c r="B104" s="972"/>
      <c r="C104" s="2129" t="s">
        <v>2984</v>
      </c>
      <c r="D104" s="972" t="s">
        <v>1110</v>
      </c>
      <c r="E104" s="2196" t="n">
        <f aca="false">'Saisie et Calculateur'!D918</f>
        <v>1</v>
      </c>
      <c r="F104" s="972" t="n">
        <f aca="false">IF(E104&gt;=R100,R101,S101)</f>
        <v>1</v>
      </c>
      <c r="G104" s="2294"/>
      <c r="H104" s="2126"/>
      <c r="I104" s="2348"/>
      <c r="J104" s="972"/>
      <c r="K104" s="2376"/>
      <c r="M104" s="1874" t="s">
        <v>242</v>
      </c>
      <c r="N104" s="1874" t="n">
        <v>1</v>
      </c>
      <c r="P104" s="1874" t="s">
        <v>242</v>
      </c>
      <c r="Q104" s="1874" t="n">
        <v>1</v>
      </c>
      <c r="S104" s="1874" t="s">
        <v>242</v>
      </c>
      <c r="T104" s="1874" t="n">
        <v>1</v>
      </c>
      <c r="V104" s="1874" t="s">
        <v>242</v>
      </c>
      <c r="W104" s="1874" t="n">
        <v>1</v>
      </c>
    </row>
    <row r="105" customFormat="false" ht="12.75" hidden="false" customHeight="true" outlineLevel="0" collapsed="false">
      <c r="A105" s="2373"/>
      <c r="B105" s="972"/>
      <c r="C105" s="2129" t="s">
        <v>2985</v>
      </c>
      <c r="D105" s="972" t="s">
        <v>2720</v>
      </c>
      <c r="E105" s="675" t="str">
        <f aca="false">'Saisie et Calculateur'!D919</f>
        <v>non</v>
      </c>
      <c r="F105" s="972" t="n">
        <f aca="false">IF(E105=P104,Q104,Q105)</f>
        <v>0</v>
      </c>
      <c r="G105" s="2294"/>
      <c r="H105" s="2126"/>
      <c r="I105" s="2348"/>
      <c r="J105" s="972"/>
      <c r="K105" s="2376"/>
      <c r="M105" s="1874" t="s">
        <v>243</v>
      </c>
      <c r="N105" s="1874" t="n">
        <v>0</v>
      </c>
      <c r="P105" s="1874" t="s">
        <v>243</v>
      </c>
      <c r="Q105" s="1874" t="n">
        <v>0</v>
      </c>
      <c r="S105" s="1874" t="s">
        <v>243</v>
      </c>
      <c r="T105" s="1874" t="n">
        <v>0</v>
      </c>
      <c r="V105" s="1874" t="s">
        <v>243</v>
      </c>
      <c r="W105" s="1874" t="n">
        <v>0</v>
      </c>
    </row>
    <row r="106" customFormat="false" ht="12.75" hidden="false" customHeight="true" outlineLevel="0" collapsed="false">
      <c r="A106" s="2373"/>
      <c r="B106" s="972"/>
      <c r="C106" s="2129" t="s">
        <v>1279</v>
      </c>
      <c r="D106" s="972" t="s">
        <v>2720</v>
      </c>
      <c r="E106" s="2386" t="str">
        <f aca="false">'Saisie et Calculateur'!D921</f>
        <v>oui</v>
      </c>
      <c r="F106" s="972" t="n">
        <f aca="false">IF(E106=M104,N104,N105)</f>
        <v>1</v>
      </c>
      <c r="G106" s="2294"/>
      <c r="H106" s="2126"/>
      <c r="I106" s="2348"/>
      <c r="J106" s="972"/>
      <c r="K106" s="2376"/>
      <c r="R106" s="2021"/>
    </row>
    <row r="107" customFormat="false" ht="15.75" hidden="false" customHeight="true" outlineLevel="0" collapsed="false">
      <c r="A107" s="2373"/>
      <c r="B107" s="972"/>
      <c r="C107" s="2387" t="s">
        <v>2982</v>
      </c>
      <c r="D107" s="2161" t="s">
        <v>2720</v>
      </c>
      <c r="E107" s="2162" t="str">
        <f aca="false">'Saisie et Calculateur'!D922</f>
        <v>non</v>
      </c>
      <c r="F107" s="2388" t="n">
        <f aca="false">IF(E107=S104,T104,T105)</f>
        <v>0</v>
      </c>
      <c r="G107" s="2294"/>
      <c r="H107" s="2126"/>
      <c r="I107" s="2348"/>
      <c r="J107" s="972"/>
      <c r="K107" s="2376"/>
      <c r="R107" s="2200"/>
    </row>
    <row r="108" customFormat="false" ht="12.75" hidden="false" customHeight="true" outlineLevel="0" collapsed="false">
      <c r="A108" s="2373"/>
      <c r="B108" s="972"/>
      <c r="C108" s="2129" t="s">
        <v>2986</v>
      </c>
      <c r="D108" s="972" t="s">
        <v>2720</v>
      </c>
      <c r="E108" s="2389" t="str">
        <f aca="false">'Saisie et Calculateur'!D925</f>
        <v>non</v>
      </c>
      <c r="F108" s="2390" t="n">
        <f aca="false">IF(E108=V104,W104,W105)</f>
        <v>0</v>
      </c>
      <c r="G108" s="2294"/>
      <c r="H108" s="2126"/>
      <c r="I108" s="2348"/>
      <c r="J108" s="972"/>
      <c r="K108" s="2376"/>
      <c r="M108" s="1675" t="s">
        <v>2987</v>
      </c>
      <c r="N108" s="1675"/>
      <c r="P108" s="1675" t="s">
        <v>2988</v>
      </c>
      <c r="Q108" s="1675"/>
      <c r="R108" s="1632"/>
      <c r="S108" s="1675" t="s">
        <v>2989</v>
      </c>
      <c r="T108" s="1675"/>
      <c r="V108" s="1675" t="s">
        <v>2990</v>
      </c>
      <c r="W108" s="1675"/>
    </row>
    <row r="109" customFormat="false" ht="12.75" hidden="false" customHeight="true" outlineLevel="0" collapsed="false">
      <c r="A109" s="2373"/>
      <c r="B109" s="972"/>
      <c r="C109" s="2129"/>
      <c r="D109" s="972"/>
      <c r="E109" s="972"/>
      <c r="F109" s="972"/>
      <c r="G109" s="2391"/>
      <c r="H109" s="2126"/>
      <c r="I109" s="2348"/>
      <c r="J109" s="972"/>
      <c r="K109" s="2376"/>
      <c r="M109" s="1874" t="s">
        <v>242</v>
      </c>
      <c r="N109" s="1874" t="n">
        <v>2</v>
      </c>
      <c r="P109" s="1874" t="s">
        <v>242</v>
      </c>
      <c r="Q109" s="1874" t="n">
        <v>2</v>
      </c>
      <c r="S109" s="1874" t="s">
        <v>242</v>
      </c>
      <c r="T109" s="1874" t="n">
        <v>2</v>
      </c>
      <c r="V109" s="1874" t="s">
        <v>242</v>
      </c>
      <c r="W109" s="1874" t="n">
        <v>2</v>
      </c>
    </row>
    <row r="110" customFormat="false" ht="12.75" hidden="false" customHeight="true" outlineLevel="0" collapsed="false">
      <c r="A110" s="2373"/>
      <c r="B110" s="972"/>
      <c r="C110" s="2131" t="s">
        <v>2991</v>
      </c>
      <c r="D110" s="2131"/>
      <c r="E110" s="2131"/>
      <c r="F110" s="2131"/>
      <c r="G110" s="2392" t="n">
        <f aca="false">MIN(3,SUM(F111:F114))</f>
        <v>2</v>
      </c>
      <c r="H110" s="2126"/>
      <c r="I110" s="2348"/>
      <c r="J110" s="972"/>
      <c r="K110" s="2376"/>
      <c r="M110" s="1874" t="s">
        <v>243</v>
      </c>
      <c r="N110" s="1874" t="n">
        <v>0</v>
      </c>
      <c r="P110" s="1874" t="s">
        <v>243</v>
      </c>
      <c r="Q110" s="1874" t="n">
        <v>0</v>
      </c>
      <c r="S110" s="1874" t="s">
        <v>243</v>
      </c>
      <c r="T110" s="1874" t="n">
        <v>0</v>
      </c>
      <c r="V110" s="1874" t="s">
        <v>243</v>
      </c>
      <c r="W110" s="1874" t="n">
        <v>0</v>
      </c>
    </row>
    <row r="111" customFormat="false" ht="12.75" hidden="false" customHeight="true" outlineLevel="0" collapsed="false">
      <c r="A111" s="2373"/>
      <c r="B111" s="972"/>
      <c r="C111" s="2393" t="s">
        <v>2987</v>
      </c>
      <c r="D111" s="972" t="s">
        <v>2720</v>
      </c>
      <c r="E111" s="972" t="str">
        <f aca="false">'Saisie et Calculateur'!E929</f>
        <v>non</v>
      </c>
      <c r="F111" s="2388" t="n">
        <f aca="false">IF(E111=M109,N109,N110)</f>
        <v>0</v>
      </c>
      <c r="G111" s="2392"/>
      <c r="H111" s="2126"/>
      <c r="I111" s="2348"/>
      <c r="J111" s="972"/>
      <c r="K111" s="2376"/>
    </row>
    <row r="112" customFormat="false" ht="12.75" hidden="false" customHeight="true" outlineLevel="0" collapsed="false">
      <c r="A112" s="2373"/>
      <c r="B112" s="972"/>
      <c r="C112" s="2393" t="s">
        <v>2988</v>
      </c>
      <c r="D112" s="972" t="s">
        <v>2720</v>
      </c>
      <c r="E112" s="972" t="str">
        <f aca="false">'Saisie et Calculateur'!E930</f>
        <v>non</v>
      </c>
      <c r="F112" s="2388" t="n">
        <f aca="false">IF(E112=P109,Q109,Q110)</f>
        <v>0</v>
      </c>
      <c r="G112" s="2392"/>
      <c r="H112" s="2126"/>
      <c r="I112" s="2348"/>
      <c r="J112" s="972"/>
      <c r="K112" s="2376"/>
    </row>
    <row r="113" customFormat="false" ht="13.5" hidden="false" customHeight="true" outlineLevel="0" collapsed="false">
      <c r="A113" s="2373"/>
      <c r="B113" s="972"/>
      <c r="C113" s="2393" t="s">
        <v>2989</v>
      </c>
      <c r="D113" s="972" t="s">
        <v>2720</v>
      </c>
      <c r="E113" s="972" t="str">
        <f aca="false">'Saisie et Calculateur'!E932</f>
        <v>non</v>
      </c>
      <c r="F113" s="2388" t="n">
        <f aca="false">IF(E113=S109,T109,T110)</f>
        <v>0</v>
      </c>
      <c r="G113" s="2392"/>
      <c r="H113" s="2126"/>
      <c r="I113" s="2348"/>
      <c r="J113" s="972"/>
      <c r="K113" s="2376"/>
      <c r="M113" s="2118"/>
      <c r="N113" s="2118"/>
    </row>
    <row r="114" customFormat="false" ht="13.5" hidden="false" customHeight="true" outlineLevel="0" collapsed="false">
      <c r="A114" s="2373"/>
      <c r="B114" s="972"/>
      <c r="C114" s="2393" t="s">
        <v>2990</v>
      </c>
      <c r="D114" s="972" t="s">
        <v>2720</v>
      </c>
      <c r="E114" s="972" t="str">
        <f aca="false">'Saisie et Calculateur'!E933</f>
        <v>oui</v>
      </c>
      <c r="F114" s="2388" t="n">
        <f aca="false">IF(E114=V109,W109,W110)</f>
        <v>2</v>
      </c>
      <c r="G114" s="2392"/>
      <c r="H114" s="2126"/>
      <c r="I114" s="2348"/>
      <c r="J114" s="972"/>
      <c r="K114" s="2376"/>
      <c r="M114" s="1675" t="s">
        <v>2992</v>
      </c>
      <c r="N114" s="1675"/>
      <c r="P114" s="1675" t="s">
        <v>2993</v>
      </c>
      <c r="Q114" s="1675"/>
      <c r="S114" s="1675" t="s">
        <v>2994</v>
      </c>
      <c r="T114" s="1675"/>
    </row>
    <row r="115" customFormat="false" ht="13.5" hidden="false" customHeight="true" outlineLevel="0" collapsed="false">
      <c r="A115" s="2373"/>
      <c r="B115" s="972"/>
      <c r="C115" s="2129"/>
      <c r="D115" s="972"/>
      <c r="E115" s="972"/>
      <c r="F115" s="972"/>
      <c r="G115" s="2394"/>
      <c r="H115" s="2126"/>
      <c r="I115" s="2348"/>
      <c r="J115" s="972"/>
      <c r="K115" s="2376"/>
      <c r="M115" s="1874" t="s">
        <v>242</v>
      </c>
      <c r="N115" s="1874" t="n">
        <v>2</v>
      </c>
      <c r="P115" s="1874" t="s">
        <v>242</v>
      </c>
      <c r="Q115" s="1874" t="n">
        <v>2</v>
      </c>
      <c r="S115" s="1874" t="s">
        <v>242</v>
      </c>
      <c r="T115" s="1874" t="n">
        <v>2</v>
      </c>
    </row>
    <row r="116" customFormat="false" ht="13.5" hidden="false" customHeight="true" outlineLevel="0" collapsed="false">
      <c r="A116" s="2373"/>
      <c r="B116" s="972"/>
      <c r="C116" s="2131" t="s">
        <v>2995</v>
      </c>
      <c r="D116" s="2131"/>
      <c r="E116" s="2131"/>
      <c r="F116" s="2131"/>
      <c r="G116" s="2395" t="n">
        <f aca="false">MIN(2,SUM(F117:F119))</f>
        <v>0</v>
      </c>
      <c r="H116" s="2126"/>
      <c r="I116" s="2348"/>
      <c r="J116" s="972"/>
      <c r="K116" s="2376"/>
      <c r="M116" s="1874" t="s">
        <v>243</v>
      </c>
      <c r="N116" s="1874" t="n">
        <v>0</v>
      </c>
      <c r="P116" s="1874" t="s">
        <v>243</v>
      </c>
      <c r="Q116" s="1874" t="n">
        <v>0</v>
      </c>
      <c r="S116" s="1874" t="s">
        <v>243</v>
      </c>
      <c r="T116" s="1874" t="n">
        <v>0</v>
      </c>
    </row>
    <row r="117" customFormat="false" ht="13.5" hidden="false" customHeight="true" outlineLevel="0" collapsed="false">
      <c r="A117" s="2373"/>
      <c r="B117" s="972"/>
      <c r="C117" s="2299" t="s">
        <v>2992</v>
      </c>
      <c r="D117" s="972" t="s">
        <v>2720</v>
      </c>
      <c r="E117" s="675" t="str">
        <f aca="false">'Saisie et Calculateur'!D936</f>
        <v>non</v>
      </c>
      <c r="F117" s="675" t="n">
        <f aca="false">IF(E117=M115,N115,N116)</f>
        <v>0</v>
      </c>
      <c r="G117" s="2395"/>
      <c r="H117" s="2126"/>
      <c r="I117" s="2348"/>
      <c r="J117" s="972"/>
      <c r="K117" s="2376"/>
      <c r="M117" s="2118"/>
      <c r="N117" s="2118"/>
      <c r="T117" s="2396"/>
    </row>
    <row r="118" customFormat="false" ht="13.5" hidden="false" customHeight="true" outlineLevel="0" collapsed="false">
      <c r="A118" s="2373"/>
      <c r="B118" s="972"/>
      <c r="C118" s="2299" t="s">
        <v>2993</v>
      </c>
      <c r="D118" s="972" t="s">
        <v>2720</v>
      </c>
      <c r="E118" s="675" t="str">
        <f aca="false">'Saisie et Calculateur'!D937</f>
        <v>non</v>
      </c>
      <c r="F118" s="675" t="n">
        <f aca="false">IF(E118=P115,Q115,Q116)</f>
        <v>0</v>
      </c>
      <c r="G118" s="2395"/>
      <c r="H118" s="2126"/>
      <c r="I118" s="2348"/>
      <c r="J118" s="972"/>
      <c r="K118" s="2376"/>
      <c r="M118" s="2118"/>
      <c r="N118" s="2118"/>
      <c r="T118" s="2118"/>
      <c r="U118" s="2118"/>
      <c r="V118" s="2118"/>
      <c r="W118" s="2118"/>
      <c r="X118" s="972"/>
    </row>
    <row r="119" customFormat="false" ht="13.5" hidden="false" customHeight="true" outlineLevel="0" collapsed="false">
      <c r="A119" s="2373"/>
      <c r="B119" s="972"/>
      <c r="C119" s="2186" t="s">
        <v>2994</v>
      </c>
      <c r="D119" s="2148" t="s">
        <v>2720</v>
      </c>
      <c r="E119" s="2384" t="str">
        <f aca="false">'Saisie et Calculateur'!D938</f>
        <v>non</v>
      </c>
      <c r="F119" s="2384" t="n">
        <f aca="false">IF(E119=S115,T115,T116)</f>
        <v>0</v>
      </c>
      <c r="G119" s="2395"/>
      <c r="H119" s="2126"/>
      <c r="I119" s="2348"/>
      <c r="J119" s="972"/>
      <c r="K119" s="2376"/>
      <c r="T119" s="2118"/>
      <c r="U119" s="2118"/>
      <c r="V119" s="2118"/>
      <c r="W119" s="2200"/>
      <c r="X119" s="972"/>
    </row>
    <row r="120" customFormat="false" ht="13.5" hidden="false" customHeight="true" outlineLevel="0" collapsed="false">
      <c r="A120" s="2373"/>
      <c r="B120" s="972"/>
      <c r="C120" s="972"/>
      <c r="D120" s="972"/>
      <c r="E120" s="972"/>
      <c r="F120" s="972"/>
      <c r="G120" s="2330"/>
      <c r="H120" s="972"/>
      <c r="I120" s="972"/>
      <c r="J120" s="972"/>
      <c r="K120" s="2376"/>
      <c r="M120" s="146"/>
      <c r="T120" s="2118"/>
      <c r="U120" s="2118"/>
      <c r="V120" s="2118"/>
      <c r="W120" s="2118"/>
      <c r="X120" s="972"/>
    </row>
    <row r="121" customFormat="false" ht="13.5" hidden="false" customHeight="true" outlineLevel="0" collapsed="false">
      <c r="A121" s="2373"/>
      <c r="B121" s="972"/>
      <c r="C121" s="972"/>
      <c r="D121" s="972"/>
      <c r="E121" s="972"/>
      <c r="F121" s="972"/>
      <c r="G121" s="2330"/>
      <c r="H121" s="972"/>
      <c r="I121" s="972"/>
      <c r="J121" s="972"/>
      <c r="K121" s="2376"/>
      <c r="M121" s="146"/>
      <c r="T121" s="2118"/>
      <c r="U121" s="2118"/>
      <c r="V121" s="2118"/>
      <c r="W121" s="2118"/>
      <c r="X121" s="972"/>
    </row>
    <row r="122" customFormat="false" ht="13.5" hidden="false" customHeight="true" outlineLevel="0" collapsed="false">
      <c r="A122" s="2373"/>
      <c r="B122" s="1007" t="s">
        <v>246</v>
      </c>
      <c r="C122" s="2354" t="s">
        <v>2996</v>
      </c>
      <c r="D122" s="2354"/>
      <c r="E122" s="2354"/>
      <c r="F122" s="2354"/>
      <c r="G122" s="2354"/>
      <c r="H122" s="2354"/>
      <c r="I122" s="2355" t="s">
        <v>2963</v>
      </c>
      <c r="J122" s="972"/>
      <c r="K122" s="2376"/>
      <c r="T122" s="2118"/>
      <c r="U122" s="2118"/>
      <c r="V122" s="2118"/>
      <c r="W122" s="2118"/>
    </row>
    <row r="123" customFormat="false" ht="13.5" hidden="false" customHeight="true" outlineLevel="0" collapsed="false">
      <c r="A123" s="2373"/>
      <c r="B123" s="972"/>
      <c r="C123" s="972"/>
      <c r="D123" s="972"/>
      <c r="E123" s="972"/>
      <c r="F123" s="972"/>
      <c r="G123" s="2330"/>
      <c r="H123" s="972"/>
      <c r="I123" s="972"/>
      <c r="J123" s="972"/>
      <c r="K123" s="2376"/>
    </row>
    <row r="124" customFormat="false" ht="25.5" hidden="false" customHeight="true" outlineLevel="0" collapsed="false">
      <c r="A124" s="2373"/>
      <c r="B124" s="972"/>
      <c r="C124" s="2119" t="s">
        <v>2698</v>
      </c>
      <c r="D124" s="2119"/>
      <c r="E124" s="2119"/>
      <c r="F124" s="2119"/>
      <c r="G124" s="2119"/>
      <c r="H124" s="2120" t="s">
        <v>2699</v>
      </c>
      <c r="I124" s="2120" t="s">
        <v>2700</v>
      </c>
      <c r="J124" s="972"/>
      <c r="K124" s="2376"/>
      <c r="M124" s="2331"/>
    </row>
    <row r="125" customFormat="false" ht="13.5" hidden="false" customHeight="true" outlineLevel="0" collapsed="false">
      <c r="A125" s="2373"/>
      <c r="B125" s="972"/>
      <c r="C125" s="2368" t="s">
        <v>2997</v>
      </c>
      <c r="D125" s="2368"/>
      <c r="E125" s="2368"/>
      <c r="F125" s="2368"/>
      <c r="G125" s="2153" t="n">
        <f aca="false">MIN(1,D126)</f>
        <v>1</v>
      </c>
      <c r="H125" s="2239" t="n">
        <f aca="false">ROUND(G125+G128+G131+G134,0)</f>
        <v>2</v>
      </c>
      <c r="I125" s="2348" t="n">
        <f aca="false">MIN(3,H125)</f>
        <v>2</v>
      </c>
      <c r="J125" s="972"/>
      <c r="K125" s="2376"/>
      <c r="M125" s="1926" t="s">
        <v>2939</v>
      </c>
      <c r="N125" s="1926" t="s">
        <v>242</v>
      </c>
      <c r="O125" s="1857" t="s">
        <v>243</v>
      </c>
    </row>
    <row r="126" customFormat="false" ht="12.75" hidden="false" customHeight="true" outlineLevel="0" collapsed="false">
      <c r="A126" s="2373"/>
      <c r="B126" s="972"/>
      <c r="C126" s="2129"/>
      <c r="D126" s="2397" t="n">
        <f aca="false">'Saisie et Calculateur'!D943</f>
        <v>1</v>
      </c>
      <c r="E126" s="972"/>
      <c r="F126" s="972"/>
      <c r="G126" s="2153"/>
      <c r="H126" s="2239"/>
      <c r="I126" s="2348"/>
      <c r="J126" s="972"/>
      <c r="K126" s="2376"/>
      <c r="M126" s="1857" t="s">
        <v>2953</v>
      </c>
      <c r="N126" s="1857" t="n">
        <v>1</v>
      </c>
      <c r="O126" s="1857" t="n">
        <v>0</v>
      </c>
    </row>
    <row r="127" customFormat="false" ht="15.75" hidden="false" customHeight="true" outlineLevel="0" collapsed="false">
      <c r="A127" s="2373"/>
      <c r="B127" s="972"/>
      <c r="C127" s="2129"/>
      <c r="D127" s="2397"/>
      <c r="E127" s="972"/>
      <c r="F127" s="972"/>
      <c r="G127" s="2153"/>
      <c r="H127" s="2239"/>
      <c r="I127" s="2348"/>
      <c r="J127" s="972"/>
      <c r="K127" s="2376"/>
    </row>
    <row r="128" customFormat="false" ht="12.75" hidden="false" customHeight="true" outlineLevel="0" collapsed="false">
      <c r="A128" s="2373"/>
      <c r="B128" s="972"/>
      <c r="C128" s="2131" t="s">
        <v>2998</v>
      </c>
      <c r="D128" s="2131"/>
      <c r="E128" s="2131"/>
      <c r="F128" s="2131"/>
      <c r="G128" s="2183" t="n">
        <f aca="false">MIN(1,D129)</f>
        <v>1</v>
      </c>
      <c r="H128" s="2239"/>
      <c r="I128" s="2348"/>
      <c r="J128" s="972"/>
      <c r="K128" s="2376"/>
    </row>
    <row r="129" customFormat="false" ht="12.75" hidden="false" customHeight="true" outlineLevel="0" collapsed="false">
      <c r="A129" s="2373"/>
      <c r="B129" s="972"/>
      <c r="C129" s="2159"/>
      <c r="D129" s="2199" t="n">
        <f aca="false">'Saisie et Calculateur'!J943</f>
        <v>1</v>
      </c>
      <c r="E129" s="972"/>
      <c r="F129" s="2199"/>
      <c r="G129" s="2183"/>
      <c r="H129" s="2239"/>
      <c r="I129" s="2348"/>
      <c r="J129" s="972"/>
      <c r="K129" s="2376"/>
    </row>
    <row r="130" customFormat="false" ht="15.75" hidden="false" customHeight="true" outlineLevel="0" collapsed="false">
      <c r="A130" s="2373"/>
      <c r="B130" s="972"/>
      <c r="C130" s="2159"/>
      <c r="D130" s="2199"/>
      <c r="E130" s="972"/>
      <c r="F130" s="2199"/>
      <c r="G130" s="2183"/>
      <c r="H130" s="2239"/>
      <c r="I130" s="2348"/>
      <c r="J130" s="972"/>
      <c r="K130" s="2376"/>
    </row>
    <row r="131" customFormat="false" ht="12.75" hidden="false" customHeight="true" outlineLevel="0" collapsed="false">
      <c r="A131" s="2373"/>
      <c r="B131" s="972"/>
      <c r="C131" s="2131" t="s">
        <v>2999</v>
      </c>
      <c r="D131" s="2131"/>
      <c r="E131" s="2131"/>
      <c r="F131" s="2131"/>
      <c r="G131" s="2183" t="n">
        <f aca="false">IF(D132=N125,N126,O126)</f>
        <v>0</v>
      </c>
      <c r="H131" s="2239"/>
      <c r="I131" s="2348"/>
      <c r="J131" s="972"/>
      <c r="K131" s="2376"/>
    </row>
    <row r="132" customFormat="false" ht="12.75" hidden="false" customHeight="true" outlineLevel="0" collapsed="false">
      <c r="A132" s="2373"/>
      <c r="B132" s="972"/>
      <c r="C132" s="2295" t="s">
        <v>2720</v>
      </c>
      <c r="D132" s="2398" t="str">
        <f aca="false">'Saisie et Calculateur'!D949</f>
        <v>non</v>
      </c>
      <c r="E132" s="972"/>
      <c r="F132" s="2132"/>
      <c r="G132" s="2183"/>
      <c r="H132" s="2239"/>
      <c r="I132" s="2348"/>
      <c r="J132" s="972"/>
      <c r="K132" s="2376"/>
      <c r="N132" s="1865"/>
      <c r="O132" s="1865"/>
      <c r="P132" s="1865"/>
    </row>
    <row r="133" customFormat="false" ht="12.75" hidden="false" customHeight="true" outlineLevel="0" collapsed="false">
      <c r="A133" s="2373"/>
      <c r="B133" s="972"/>
      <c r="C133" s="2295"/>
      <c r="D133" s="2132"/>
      <c r="E133" s="2132"/>
      <c r="F133" s="2132"/>
      <c r="G133" s="2183"/>
      <c r="H133" s="2239"/>
      <c r="I133" s="2348"/>
      <c r="J133" s="972"/>
      <c r="K133" s="2376"/>
      <c r="N133" s="972"/>
      <c r="O133" s="972"/>
      <c r="P133" s="972"/>
    </row>
    <row r="134" customFormat="false" ht="12.75" hidden="false" customHeight="true" outlineLevel="0" collapsed="false">
      <c r="A134" s="2373"/>
      <c r="B134" s="972"/>
      <c r="C134" s="2143" t="s">
        <v>3000</v>
      </c>
      <c r="D134" s="2143"/>
      <c r="E134" s="2143"/>
      <c r="F134" s="2143"/>
      <c r="G134" s="2370" t="n">
        <f aca="false">'Saisie et Calculateur'!D951</f>
        <v>0</v>
      </c>
      <c r="H134" s="2239"/>
      <c r="I134" s="2348"/>
      <c r="J134" s="972"/>
      <c r="K134" s="2376"/>
      <c r="P134" s="972"/>
    </row>
    <row r="135" customFormat="false" ht="12.75" hidden="false" customHeight="true" outlineLevel="0" collapsed="false">
      <c r="A135" s="2373"/>
      <c r="B135" s="972"/>
      <c r="C135" s="2371"/>
      <c r="D135" s="2146"/>
      <c r="E135" s="2146"/>
      <c r="F135" s="2146"/>
      <c r="G135" s="2370"/>
      <c r="H135" s="2239"/>
      <c r="I135" s="2348"/>
      <c r="J135" s="972"/>
      <c r="K135" s="2376"/>
      <c r="P135" s="972"/>
    </row>
    <row r="136" customFormat="false" ht="12.75" hidden="false" customHeight="true" outlineLevel="0" collapsed="false">
      <c r="A136" s="2373"/>
      <c r="B136" s="972"/>
      <c r="C136" s="972"/>
      <c r="D136" s="972"/>
      <c r="E136" s="972"/>
      <c r="F136" s="972"/>
      <c r="G136" s="2330"/>
      <c r="H136" s="972"/>
      <c r="I136" s="972"/>
      <c r="J136" s="972"/>
      <c r="K136" s="2376"/>
      <c r="P136" s="972"/>
    </row>
    <row r="137" customFormat="false" ht="12.75" hidden="false" customHeight="true" outlineLevel="0" collapsed="false">
      <c r="A137" s="2373"/>
      <c r="B137" s="972"/>
      <c r="C137" s="972"/>
      <c r="D137" s="972"/>
      <c r="E137" s="972"/>
      <c r="F137" s="972"/>
      <c r="G137" s="2330"/>
      <c r="H137" s="972"/>
      <c r="I137" s="972"/>
      <c r="J137" s="972"/>
      <c r="K137" s="2376"/>
    </row>
    <row r="138" customFormat="false" ht="15" hidden="false" customHeight="true" outlineLevel="0" collapsed="false">
      <c r="A138" s="2373"/>
      <c r="B138" s="1007" t="s">
        <v>710</v>
      </c>
      <c r="C138" s="2354" t="s">
        <v>3001</v>
      </c>
      <c r="D138" s="2354"/>
      <c r="E138" s="2354"/>
      <c r="F138" s="2354"/>
      <c r="G138" s="2354"/>
      <c r="H138" s="2354"/>
      <c r="I138" s="2355" t="s">
        <v>2963</v>
      </c>
      <c r="J138" s="972"/>
      <c r="K138" s="2376"/>
    </row>
    <row r="139" customFormat="false" ht="12.75" hidden="false" customHeight="true" outlineLevel="0" collapsed="false">
      <c r="A139" s="2373"/>
      <c r="B139" s="972"/>
      <c r="C139" s="972"/>
      <c r="D139" s="972"/>
      <c r="E139" s="972"/>
      <c r="F139" s="972"/>
      <c r="G139" s="2330"/>
      <c r="H139" s="972"/>
      <c r="I139" s="972"/>
      <c r="J139" s="972"/>
      <c r="K139" s="2376"/>
    </row>
    <row r="140" customFormat="false" ht="25.5" hidden="false" customHeight="true" outlineLevel="0" collapsed="false">
      <c r="A140" s="2373"/>
      <c r="B140" s="972"/>
      <c r="C140" s="2158" t="s">
        <v>2698</v>
      </c>
      <c r="D140" s="2158"/>
      <c r="E140" s="2158"/>
      <c r="F140" s="2158"/>
      <c r="G140" s="2158"/>
      <c r="H140" s="2120" t="s">
        <v>2699</v>
      </c>
      <c r="I140" s="2120" t="s">
        <v>2700</v>
      </c>
      <c r="J140" s="972"/>
      <c r="K140" s="2376"/>
    </row>
    <row r="141" customFormat="false" ht="12.75" hidden="false" customHeight="true" outlineLevel="0" collapsed="false">
      <c r="A141" s="2373"/>
      <c r="B141" s="972"/>
      <c r="C141" s="2307" t="s">
        <v>3002</v>
      </c>
      <c r="D141" s="2307"/>
      <c r="E141" s="2307"/>
      <c r="F141" s="2307"/>
      <c r="G141" s="2153" t="n">
        <f aca="false">IF(E142=N141,N142,O142)</f>
        <v>2</v>
      </c>
      <c r="H141" s="2239" t="n">
        <f aca="false">G141+G144+G147</f>
        <v>2</v>
      </c>
      <c r="I141" s="2348" t="n">
        <f aca="false">MIN(3,H141)</f>
        <v>2</v>
      </c>
      <c r="J141" s="972"/>
      <c r="K141" s="2376"/>
      <c r="M141" s="1926" t="s">
        <v>2939</v>
      </c>
      <c r="N141" s="1926" t="s">
        <v>242</v>
      </c>
      <c r="O141" s="1857" t="s">
        <v>243</v>
      </c>
    </row>
    <row r="142" customFormat="false" ht="12.75" hidden="false" customHeight="true" outlineLevel="0" collapsed="false">
      <c r="A142" s="2373"/>
      <c r="B142" s="972"/>
      <c r="C142" s="2129"/>
      <c r="D142" s="972" t="s">
        <v>2720</v>
      </c>
      <c r="E142" s="972" t="str">
        <f aca="false">'Saisie et Calculateur'!B958</f>
        <v>oui</v>
      </c>
      <c r="F142" s="972"/>
      <c r="G142" s="2153"/>
      <c r="H142" s="2239"/>
      <c r="I142" s="2348"/>
      <c r="J142" s="972"/>
      <c r="K142" s="2376"/>
      <c r="M142" s="1926" t="s">
        <v>2952</v>
      </c>
      <c r="N142" s="1926" t="n">
        <v>2</v>
      </c>
      <c r="O142" s="1857" t="n">
        <v>0</v>
      </c>
    </row>
    <row r="143" customFormat="false" ht="12.75" hidden="false" customHeight="true" outlineLevel="0" collapsed="false">
      <c r="A143" s="2373"/>
      <c r="B143" s="972"/>
      <c r="C143" s="2129"/>
      <c r="D143" s="972"/>
      <c r="E143" s="972"/>
      <c r="F143" s="972"/>
      <c r="G143" s="2153"/>
      <c r="H143" s="2239"/>
      <c r="I143" s="2348"/>
      <c r="J143" s="972"/>
      <c r="K143" s="2376"/>
      <c r="M143" s="1857" t="s">
        <v>2738</v>
      </c>
      <c r="N143" s="1857" t="n">
        <v>3</v>
      </c>
      <c r="O143" s="1857" t="n">
        <v>0</v>
      </c>
    </row>
    <row r="144" customFormat="false" ht="12.75" hidden="false" customHeight="true" outlineLevel="0" collapsed="false">
      <c r="A144" s="2373"/>
      <c r="B144" s="972"/>
      <c r="C144" s="2192" t="s">
        <v>3003</v>
      </c>
      <c r="D144" s="2192"/>
      <c r="E144" s="2192"/>
      <c r="F144" s="2192"/>
      <c r="G144" s="2183" t="n">
        <f aca="false">IF(E145=N141,N143,O143)</f>
        <v>0</v>
      </c>
      <c r="H144" s="2239"/>
      <c r="I144" s="2348"/>
      <c r="J144" s="972"/>
      <c r="K144" s="2376"/>
      <c r="M144" s="1857" t="s">
        <v>2953</v>
      </c>
      <c r="N144" s="1857" t="n">
        <v>1</v>
      </c>
      <c r="O144" s="1857" t="n">
        <v>0</v>
      </c>
    </row>
    <row r="145" customFormat="false" ht="12.75" hidden="false" customHeight="true" outlineLevel="0" collapsed="false">
      <c r="A145" s="2373"/>
      <c r="B145" s="972"/>
      <c r="C145" s="2143"/>
      <c r="D145" s="972" t="s">
        <v>2720</v>
      </c>
      <c r="E145" s="2162" t="str">
        <f aca="false">'Saisie et Calculateur'!E958</f>
        <v>non</v>
      </c>
      <c r="F145" s="972"/>
      <c r="G145" s="2183"/>
      <c r="H145" s="2239"/>
      <c r="I145" s="2348"/>
      <c r="J145" s="972"/>
      <c r="K145" s="2376"/>
    </row>
    <row r="146" customFormat="false" ht="12.75" hidden="false" customHeight="true" outlineLevel="0" collapsed="false">
      <c r="A146" s="2373"/>
      <c r="B146" s="972"/>
      <c r="C146" s="2143"/>
      <c r="D146" s="972"/>
      <c r="E146" s="2162"/>
      <c r="F146" s="972"/>
      <c r="G146" s="2183"/>
      <c r="H146" s="2239"/>
      <c r="I146" s="2348"/>
      <c r="J146" s="972"/>
      <c r="K146" s="2376"/>
    </row>
    <row r="147" customFormat="false" ht="15.75" hidden="false" customHeight="true" outlineLevel="0" collapsed="false">
      <c r="A147" s="2373"/>
      <c r="B147" s="972"/>
      <c r="C147" s="2129" t="s">
        <v>3004</v>
      </c>
      <c r="D147" s="2399"/>
      <c r="E147" s="972"/>
      <c r="F147" s="972"/>
      <c r="G147" s="2370" t="n">
        <f aca="false">IF(E148=N141,N144,O144)</f>
        <v>0</v>
      </c>
      <c r="H147" s="2239"/>
      <c r="I147" s="2348"/>
      <c r="J147" s="972"/>
      <c r="K147" s="2376"/>
    </row>
    <row r="148" customFormat="false" ht="12.75" hidden="false" customHeight="true" outlineLevel="0" collapsed="false">
      <c r="A148" s="2373"/>
      <c r="B148" s="972"/>
      <c r="C148" s="2194"/>
      <c r="D148" s="2241" t="s">
        <v>2720</v>
      </c>
      <c r="E148" s="2148" t="str">
        <f aca="false">'Saisie et Calculateur'!J958</f>
        <v>non</v>
      </c>
      <c r="F148" s="2148"/>
      <c r="G148" s="2370"/>
      <c r="H148" s="2239"/>
      <c r="I148" s="2348"/>
      <c r="J148" s="972"/>
      <c r="K148" s="2376"/>
    </row>
    <row r="149" customFormat="false" ht="12.75" hidden="false" customHeight="true" outlineLevel="0" collapsed="false">
      <c r="A149" s="2373"/>
      <c r="B149" s="972"/>
      <c r="C149" s="972"/>
      <c r="D149" s="972"/>
      <c r="E149" s="972"/>
      <c r="F149" s="972"/>
      <c r="G149" s="2330"/>
      <c r="H149" s="972"/>
      <c r="I149" s="972"/>
      <c r="J149" s="972"/>
      <c r="K149" s="2376"/>
    </row>
    <row r="150" customFormat="false" ht="12.75" hidden="false" customHeight="true" outlineLevel="0" collapsed="false">
      <c r="A150" s="2373"/>
      <c r="B150" s="972"/>
      <c r="C150" s="972"/>
      <c r="D150" s="972"/>
      <c r="E150" s="972"/>
      <c r="F150" s="972"/>
      <c r="G150" s="2330"/>
      <c r="H150" s="972"/>
      <c r="I150" s="972"/>
      <c r="J150" s="972"/>
      <c r="K150" s="2376"/>
      <c r="S150" s="2118"/>
    </row>
    <row r="151" customFormat="false" ht="12.75" hidden="false" customHeight="true" outlineLevel="0" collapsed="false">
      <c r="A151" s="2373"/>
      <c r="B151" s="1007" t="s">
        <v>690</v>
      </c>
      <c r="C151" s="2354" t="s">
        <v>3005</v>
      </c>
      <c r="D151" s="2354"/>
      <c r="E151" s="2354"/>
      <c r="F151" s="2354"/>
      <c r="G151" s="2354"/>
      <c r="H151" s="2354"/>
      <c r="I151" s="2355" t="s">
        <v>2963</v>
      </c>
      <c r="J151" s="972"/>
      <c r="K151" s="2376"/>
      <c r="S151" s="2118"/>
    </row>
    <row r="152" customFormat="false" ht="12.75" hidden="false" customHeight="true" outlineLevel="0" collapsed="false">
      <c r="A152" s="2373"/>
      <c r="B152" s="972"/>
      <c r="C152" s="972"/>
      <c r="D152" s="972"/>
      <c r="E152" s="972"/>
      <c r="F152" s="972"/>
      <c r="G152" s="2330"/>
      <c r="H152" s="972"/>
      <c r="I152" s="972"/>
      <c r="J152" s="972"/>
      <c r="K152" s="2376"/>
      <c r="S152" s="2118"/>
    </row>
    <row r="153" customFormat="false" ht="25.5" hidden="false" customHeight="true" outlineLevel="0" collapsed="false">
      <c r="A153" s="2373"/>
      <c r="B153" s="972"/>
      <c r="C153" s="1699" t="s">
        <v>2698</v>
      </c>
      <c r="D153" s="1699"/>
      <c r="E153" s="1699"/>
      <c r="F153" s="1699"/>
      <c r="G153" s="1699"/>
      <c r="H153" s="2120" t="s">
        <v>2699</v>
      </c>
      <c r="I153" s="2224" t="s">
        <v>2700</v>
      </c>
      <c r="J153" s="972"/>
      <c r="K153" s="2376"/>
    </row>
    <row r="154" customFormat="false" ht="12.75" hidden="false" customHeight="true" outlineLevel="0" collapsed="false">
      <c r="A154" s="2373"/>
      <c r="B154" s="972"/>
      <c r="C154" s="2124" t="s">
        <v>3006</v>
      </c>
      <c r="D154" s="2124"/>
      <c r="E154" s="2124"/>
      <c r="F154" s="2124"/>
      <c r="G154" s="2400"/>
      <c r="H154" s="2239" t="n">
        <f aca="false">G155+G156</f>
        <v>2</v>
      </c>
      <c r="I154" s="2348" t="n">
        <f aca="false">IF(H154&lt;0,0,MIN(3,H154))</f>
        <v>2</v>
      </c>
      <c r="J154" s="972"/>
      <c r="K154" s="2376"/>
      <c r="S154" s="972"/>
    </row>
    <row r="155" customFormat="false" ht="12.75" hidden="false" customHeight="true" outlineLevel="0" collapsed="false">
      <c r="A155" s="2373"/>
      <c r="B155" s="972"/>
      <c r="C155" s="2131"/>
      <c r="D155" s="2132" t="n">
        <f aca="false">'Saisie et Calculateur'!K967</f>
        <v>1.5</v>
      </c>
      <c r="E155" s="2132"/>
      <c r="F155" s="2132" t="s">
        <v>3007</v>
      </c>
      <c r="G155" s="2230" t="n">
        <f aca="false">ROUND(D155,0)</f>
        <v>2</v>
      </c>
      <c r="H155" s="2239"/>
      <c r="I155" s="2348"/>
      <c r="J155" s="972"/>
      <c r="K155" s="2376"/>
      <c r="S155" s="972"/>
    </row>
    <row r="156" customFormat="false" ht="12.75" hidden="false" customHeight="true" outlineLevel="0" collapsed="false">
      <c r="A156" s="2373"/>
      <c r="B156" s="972"/>
      <c r="C156" s="2194" t="s">
        <v>3008</v>
      </c>
      <c r="D156" s="2266" t="str">
        <f aca="false">'Saisie et Calculateur'!B974</f>
        <v>non</v>
      </c>
      <c r="E156" s="2148"/>
      <c r="F156" s="2148" t="s">
        <v>3009</v>
      </c>
      <c r="G156" s="2193" t="n">
        <f aca="false">IF(D156="oui",-1,0)</f>
        <v>0</v>
      </c>
      <c r="H156" s="2239"/>
      <c r="I156" s="2348"/>
      <c r="J156" s="972"/>
      <c r="K156" s="2376"/>
      <c r="S156" s="2118"/>
    </row>
    <row r="157" customFormat="false" ht="12.75" hidden="false" customHeight="true" outlineLevel="0" collapsed="false">
      <c r="A157" s="2373"/>
      <c r="B157" s="972"/>
      <c r="C157" s="972"/>
      <c r="D157" s="972"/>
      <c r="E157" s="972"/>
      <c r="F157" s="972"/>
      <c r="G157" s="2330"/>
      <c r="H157" s="972"/>
      <c r="I157" s="972"/>
      <c r="J157" s="972"/>
      <c r="K157" s="2376"/>
      <c r="S157" s="2118"/>
    </row>
    <row r="158" customFormat="false" ht="12.75" hidden="false" customHeight="true" outlineLevel="0" collapsed="false">
      <c r="A158" s="2373"/>
      <c r="B158" s="972"/>
      <c r="C158" s="972"/>
      <c r="D158" s="972"/>
      <c r="E158" s="972"/>
      <c r="F158" s="972"/>
      <c r="G158" s="2330"/>
      <c r="H158" s="972"/>
      <c r="I158" s="972"/>
      <c r="J158" s="972"/>
      <c r="K158" s="2376"/>
      <c r="S158" s="2118"/>
    </row>
    <row r="159" customFormat="false" ht="15.75" hidden="false" customHeight="true" outlineLevel="0" collapsed="false">
      <c r="A159" s="2373"/>
      <c r="B159" s="1007" t="s">
        <v>655</v>
      </c>
      <c r="C159" s="2354" t="s">
        <v>3010</v>
      </c>
      <c r="D159" s="2354"/>
      <c r="E159" s="2354"/>
      <c r="F159" s="2354"/>
      <c r="G159" s="2354"/>
      <c r="H159" s="2354"/>
      <c r="I159" s="2355" t="s">
        <v>2963</v>
      </c>
      <c r="J159" s="972"/>
      <c r="K159" s="2376"/>
      <c r="M159" s="1857" t="s">
        <v>2939</v>
      </c>
      <c r="N159" s="1857" t="s">
        <v>2952</v>
      </c>
      <c r="O159" s="1874" t="s">
        <v>2738</v>
      </c>
    </row>
    <row r="160" customFormat="false" ht="12.75" hidden="false" customHeight="true" outlineLevel="0" collapsed="false">
      <c r="A160" s="2373"/>
      <c r="B160" s="972"/>
      <c r="C160" s="972"/>
      <c r="D160" s="972"/>
      <c r="E160" s="972"/>
      <c r="F160" s="972"/>
      <c r="G160" s="2330"/>
      <c r="H160" s="972"/>
      <c r="I160" s="972"/>
      <c r="J160" s="972"/>
      <c r="K160" s="2376"/>
      <c r="M160" s="2380" t="s">
        <v>242</v>
      </c>
      <c r="N160" s="2380" t="n">
        <v>2</v>
      </c>
      <c r="O160" s="1874" t="n">
        <v>2</v>
      </c>
    </row>
    <row r="161" customFormat="false" ht="25.5" hidden="false" customHeight="true" outlineLevel="0" collapsed="false">
      <c r="A161" s="2373"/>
      <c r="B161" s="972"/>
      <c r="C161" s="2158" t="s">
        <v>2698</v>
      </c>
      <c r="D161" s="2158"/>
      <c r="E161" s="2158"/>
      <c r="F161" s="2158"/>
      <c r="G161" s="2158"/>
      <c r="H161" s="2120" t="s">
        <v>2699</v>
      </c>
      <c r="I161" s="2120" t="s">
        <v>2700</v>
      </c>
      <c r="J161" s="972"/>
      <c r="K161" s="2376"/>
      <c r="M161" s="1874" t="s">
        <v>243</v>
      </c>
      <c r="N161" s="1874" t="n">
        <v>0</v>
      </c>
      <c r="O161" s="1874" t="n">
        <v>0</v>
      </c>
    </row>
    <row r="162" customFormat="false" ht="13.5" hidden="false" customHeight="true" outlineLevel="0" collapsed="false">
      <c r="A162" s="2373"/>
      <c r="B162" s="972"/>
      <c r="C162" s="2307" t="s">
        <v>3011</v>
      </c>
      <c r="D162" s="2307"/>
      <c r="E162" s="2307"/>
      <c r="F162" s="2307"/>
      <c r="G162" s="2153" t="n">
        <f aca="false">IF(E163=M160,N160,N161)</f>
        <v>2</v>
      </c>
      <c r="H162" s="2239" t="n">
        <f aca="false">G162+G165</f>
        <v>4</v>
      </c>
      <c r="I162" s="2348" t="n">
        <f aca="false">MIN(3,H162)</f>
        <v>3</v>
      </c>
      <c r="J162" s="972"/>
      <c r="K162" s="2376"/>
      <c r="R162" s="2200"/>
      <c r="S162" s="2118"/>
      <c r="T162" s="2118"/>
    </row>
    <row r="163" customFormat="false" ht="13.5" hidden="false" customHeight="true" outlineLevel="0" collapsed="false">
      <c r="A163" s="2373"/>
      <c r="B163" s="972"/>
      <c r="C163" s="2129"/>
      <c r="D163" s="972" t="s">
        <v>2720</v>
      </c>
      <c r="E163" s="972" t="str">
        <f aca="false">'Saisie et Calculateur'!D980</f>
        <v>oui</v>
      </c>
      <c r="F163" s="972"/>
      <c r="G163" s="2153"/>
      <c r="H163" s="2239"/>
      <c r="I163" s="2348"/>
      <c r="J163" s="972"/>
      <c r="K163" s="2376"/>
      <c r="R163" s="2200"/>
      <c r="S163" s="2118"/>
      <c r="T163" s="2118"/>
    </row>
    <row r="164" customFormat="false" ht="13.5" hidden="false" customHeight="true" outlineLevel="0" collapsed="false">
      <c r="A164" s="2373"/>
      <c r="B164" s="972"/>
      <c r="C164" s="2129"/>
      <c r="D164" s="972"/>
      <c r="E164" s="972"/>
      <c r="F164" s="972"/>
      <c r="G164" s="2153"/>
      <c r="H164" s="2239"/>
      <c r="I164" s="2348"/>
      <c r="J164" s="972"/>
      <c r="K164" s="2376"/>
    </row>
    <row r="165" customFormat="false" ht="13.5" hidden="false" customHeight="true" outlineLevel="0" collapsed="false">
      <c r="A165" s="2373"/>
      <c r="B165" s="972"/>
      <c r="C165" s="2401" t="s">
        <v>3012</v>
      </c>
      <c r="D165" s="2401"/>
      <c r="E165" s="2401"/>
      <c r="F165" s="2401"/>
      <c r="G165" s="2144" t="n">
        <f aca="false">IF(E166=M160,O160,O161)</f>
        <v>2</v>
      </c>
      <c r="H165" s="2239"/>
      <c r="I165" s="2348"/>
      <c r="J165" s="972"/>
      <c r="K165" s="2376"/>
    </row>
    <row r="166" customFormat="false" ht="13.5" hidden="false" customHeight="true" outlineLevel="0" collapsed="false">
      <c r="A166" s="2373"/>
      <c r="B166" s="972"/>
      <c r="C166" s="2186"/>
      <c r="D166" s="2148" t="s">
        <v>2720</v>
      </c>
      <c r="E166" s="2172" t="str">
        <f aca="false">'Saisie et Calculateur'!D984</f>
        <v>oui</v>
      </c>
      <c r="F166" s="2148"/>
      <c r="G166" s="2144"/>
      <c r="H166" s="2239"/>
      <c r="I166" s="2348"/>
      <c r="J166" s="972"/>
      <c r="K166" s="2376"/>
    </row>
    <row r="167" customFormat="false" ht="13.5" hidden="false" customHeight="true" outlineLevel="0" collapsed="false">
      <c r="A167" s="2373"/>
      <c r="B167" s="2248"/>
      <c r="C167" s="2402"/>
      <c r="D167" s="2248"/>
      <c r="E167" s="2403"/>
      <c r="F167" s="2248"/>
      <c r="G167" s="2404"/>
      <c r="H167" s="2405"/>
      <c r="I167" s="2406"/>
      <c r="J167" s="2248"/>
      <c r="K167" s="2376"/>
    </row>
    <row r="168" customFormat="false" ht="13.5" hidden="false" customHeight="true" outlineLevel="0" collapsed="false">
      <c r="A168" s="2407"/>
      <c r="B168" s="972"/>
      <c r="C168" s="2160"/>
      <c r="D168" s="972"/>
      <c r="E168" s="2162"/>
      <c r="F168" s="972"/>
      <c r="G168" s="2408"/>
      <c r="H168" s="2409"/>
      <c r="I168" s="2407"/>
      <c r="J168" s="972"/>
      <c r="K168" s="2407"/>
    </row>
    <row r="169" customFormat="false" ht="15.75" hidden="false" customHeight="true" outlineLevel="0" collapsed="false">
      <c r="A169" s="2410" t="s">
        <v>3013</v>
      </c>
      <c r="B169" s="2218" t="s">
        <v>745</v>
      </c>
      <c r="C169" s="2411" t="s">
        <v>3014</v>
      </c>
      <c r="D169" s="2411"/>
      <c r="E169" s="2411"/>
      <c r="F169" s="2411"/>
      <c r="G169" s="2411"/>
      <c r="H169" s="2411"/>
      <c r="I169" s="2343" t="s">
        <v>2866</v>
      </c>
      <c r="J169" s="2114"/>
      <c r="K169" s="2412" t="n">
        <f aca="false">MIN(25,SUM(I172,I186,I195,I210,I224))</f>
        <v>12</v>
      </c>
    </row>
    <row r="170" customFormat="false" ht="15.75" hidden="false" customHeight="true" outlineLevel="0" collapsed="false">
      <c r="A170" s="2410"/>
      <c r="B170" s="2116"/>
      <c r="C170" s="972"/>
      <c r="D170" s="972"/>
      <c r="E170" s="972"/>
      <c r="F170" s="972"/>
      <c r="G170" s="2330"/>
      <c r="H170" s="972"/>
      <c r="I170" s="972"/>
      <c r="J170" s="2117"/>
      <c r="K170" s="2412"/>
      <c r="M170" s="1874" t="s">
        <v>3015</v>
      </c>
      <c r="N170" s="1874" t="s">
        <v>2952</v>
      </c>
    </row>
    <row r="171" customFormat="false" ht="25.5" hidden="false" customHeight="true" outlineLevel="0" collapsed="false">
      <c r="A171" s="2410"/>
      <c r="B171" s="2116"/>
      <c r="C171" s="2119" t="s">
        <v>2698</v>
      </c>
      <c r="D171" s="2119"/>
      <c r="E171" s="2119"/>
      <c r="F171" s="2119"/>
      <c r="G171" s="2119"/>
      <c r="H171" s="2120" t="s">
        <v>2699</v>
      </c>
      <c r="I171" s="2120" t="s">
        <v>2700</v>
      </c>
      <c r="J171" s="2117"/>
      <c r="K171" s="2412"/>
      <c r="M171" s="1874" t="n">
        <v>125</v>
      </c>
      <c r="N171" s="1874" t="n">
        <v>0</v>
      </c>
    </row>
    <row r="172" customFormat="false" ht="12.75" hidden="false" customHeight="true" outlineLevel="0" collapsed="false">
      <c r="A172" s="2410"/>
      <c r="B172" s="2116"/>
      <c r="C172" s="2124" t="s">
        <v>3016</v>
      </c>
      <c r="D172" s="2124"/>
      <c r="E172" s="2124"/>
      <c r="F172" s="2124"/>
      <c r="G172" s="2153" t="n">
        <f aca="false">IF(E173&lt;M173,N174,IF(E173&lt;M172,N173,IF(E173&lt;M171,N172,N171)))</f>
        <v>0</v>
      </c>
      <c r="H172" s="2239" t="n">
        <f aca="false">G172+G174+G178</f>
        <v>0</v>
      </c>
      <c r="I172" s="2348" t="n">
        <f aca="false">MIN(6,H172)</f>
        <v>0</v>
      </c>
      <c r="J172" s="2117"/>
      <c r="K172" s="2412"/>
      <c r="M172" s="1874" t="n">
        <v>50</v>
      </c>
      <c r="N172" s="1874" t="n">
        <v>1</v>
      </c>
      <c r="Q172" s="2200"/>
    </row>
    <row r="173" customFormat="false" ht="15" hidden="false" customHeight="true" outlineLevel="0" collapsed="false">
      <c r="A173" s="2410"/>
      <c r="B173" s="2116"/>
      <c r="C173" s="2129"/>
      <c r="D173" s="972"/>
      <c r="E173" s="972" t="n">
        <f aca="false">'Saisie et Calculateur'!C989</f>
        <v>171.12</v>
      </c>
      <c r="F173" s="972"/>
      <c r="G173" s="2153"/>
      <c r="H173" s="2239"/>
      <c r="I173" s="2348"/>
      <c r="J173" s="2117"/>
      <c r="K173" s="2412"/>
      <c r="M173" s="1874" t="n">
        <v>20</v>
      </c>
      <c r="N173" s="1874" t="n">
        <v>2</v>
      </c>
      <c r="Q173" s="2200"/>
    </row>
    <row r="174" customFormat="false" ht="12.75" hidden="false" customHeight="true" outlineLevel="0" collapsed="false">
      <c r="A174" s="2410"/>
      <c r="B174" s="2116"/>
      <c r="C174" s="2192" t="s">
        <v>3017</v>
      </c>
      <c r="D174" s="2192"/>
      <c r="E174" s="2192"/>
      <c r="F174" s="2192"/>
      <c r="G174" s="2183" t="n">
        <f aca="false">MIN(3,F175+F176)</f>
        <v>0</v>
      </c>
      <c r="H174" s="2239"/>
      <c r="I174" s="2348"/>
      <c r="J174" s="2117"/>
      <c r="K174" s="2412"/>
      <c r="M174" s="1874"/>
      <c r="N174" s="1874" t="n">
        <v>3</v>
      </c>
    </row>
    <row r="175" customFormat="false" ht="15" hidden="false" customHeight="true" outlineLevel="0" collapsed="false">
      <c r="A175" s="2410"/>
      <c r="B175" s="2116"/>
      <c r="C175" s="2143" t="s">
        <v>3018</v>
      </c>
      <c r="D175" s="972" t="s">
        <v>2720</v>
      </c>
      <c r="E175" s="2162" t="str">
        <f aca="false">'Saisie et Calculateur'!E991</f>
        <v>non</v>
      </c>
      <c r="F175" s="972" t="n">
        <f aca="false">IF(E175=M177,N177,N178)</f>
        <v>0</v>
      </c>
      <c r="G175" s="2183"/>
      <c r="H175" s="2239"/>
      <c r="I175" s="2348"/>
      <c r="J175" s="2117"/>
      <c r="K175" s="2412"/>
    </row>
    <row r="176" customFormat="false" ht="13.5" hidden="false" customHeight="true" outlineLevel="0" collapsed="false">
      <c r="A176" s="2410"/>
      <c r="B176" s="2116"/>
      <c r="C176" s="2311" t="s">
        <v>3019</v>
      </c>
      <c r="D176" s="972" t="s">
        <v>2720</v>
      </c>
      <c r="E176" s="2300" t="str">
        <f aca="false">'Saisie et Calculateur'!E992</f>
        <v>non</v>
      </c>
      <c r="F176" s="2300" t="n">
        <f aca="false">IF(E176=M177,O177,O178)</f>
        <v>0</v>
      </c>
      <c r="G176" s="2183"/>
      <c r="H176" s="2239"/>
      <c r="I176" s="2348"/>
      <c r="J176" s="2117"/>
      <c r="K176" s="2412"/>
      <c r="M176" s="1874" t="s">
        <v>2738</v>
      </c>
      <c r="N176" s="1874" t="s">
        <v>3020</v>
      </c>
      <c r="O176" s="1874" t="s">
        <v>3021</v>
      </c>
      <c r="P176" s="1874" t="s">
        <v>3022</v>
      </c>
    </row>
    <row r="177" customFormat="false" ht="13.5" hidden="false" customHeight="true" outlineLevel="0" collapsed="false">
      <c r="A177" s="2410"/>
      <c r="B177" s="2116"/>
      <c r="C177" s="2311"/>
      <c r="D177" s="972"/>
      <c r="E177" s="2300"/>
      <c r="F177" s="2300"/>
      <c r="G177" s="2183"/>
      <c r="H177" s="2239"/>
      <c r="I177" s="2348"/>
      <c r="J177" s="2117"/>
      <c r="K177" s="2412"/>
      <c r="M177" s="1699" t="s">
        <v>242</v>
      </c>
      <c r="N177" s="1699" t="n">
        <v>3</v>
      </c>
      <c r="O177" s="1874" t="n">
        <v>1</v>
      </c>
      <c r="P177" s="1874" t="n">
        <v>1</v>
      </c>
    </row>
    <row r="178" customFormat="false" ht="13.5" hidden="false" customHeight="true" outlineLevel="0" collapsed="false">
      <c r="A178" s="2410"/>
      <c r="B178" s="2116"/>
      <c r="C178" s="2143" t="s">
        <v>3023</v>
      </c>
      <c r="D178" s="2143"/>
      <c r="E178" s="2143"/>
      <c r="F178" s="2143"/>
      <c r="G178" s="2144" t="n">
        <f aca="false">MIN(3,F179+F180)</f>
        <v>0</v>
      </c>
      <c r="H178" s="2239"/>
      <c r="I178" s="2348"/>
      <c r="J178" s="2117"/>
      <c r="K178" s="2412"/>
      <c r="M178" s="1857" t="s">
        <v>243</v>
      </c>
      <c r="N178" s="1699" t="n">
        <v>0</v>
      </c>
      <c r="O178" s="1857" t="n">
        <v>0</v>
      </c>
      <c r="P178" s="1857" t="n">
        <v>0</v>
      </c>
    </row>
    <row r="179" customFormat="false" ht="13.5" hidden="false" customHeight="true" outlineLevel="0" collapsed="false">
      <c r="A179" s="2410"/>
      <c r="B179" s="2116"/>
      <c r="C179" s="2311" t="s">
        <v>3024</v>
      </c>
      <c r="D179" s="2277"/>
      <c r="E179" s="2277" t="str">
        <f aca="false">'Saisie et Calculateur'!E995</f>
        <v>non</v>
      </c>
      <c r="F179" s="2277" t="n">
        <f aca="false">IF(E179=M177,P177,P178)</f>
        <v>0</v>
      </c>
      <c r="G179" s="2144"/>
      <c r="H179" s="2239"/>
      <c r="I179" s="2348"/>
      <c r="J179" s="2117"/>
      <c r="K179" s="2412"/>
    </row>
    <row r="180" customFormat="false" ht="13.5" hidden="false" customHeight="true" outlineLevel="0" collapsed="false">
      <c r="A180" s="2410"/>
      <c r="B180" s="2116"/>
      <c r="C180" s="2231" t="s">
        <v>3025</v>
      </c>
      <c r="D180" s="2148"/>
      <c r="E180" s="2148"/>
      <c r="F180" s="2148" t="n">
        <f aca="false">'Saisie et Calculateur'!E998</f>
        <v>0</v>
      </c>
      <c r="G180" s="2144"/>
      <c r="H180" s="2239"/>
      <c r="I180" s="2348"/>
      <c r="J180" s="2117"/>
      <c r="K180" s="2412"/>
    </row>
    <row r="181" customFormat="false" ht="13.5" hidden="false" customHeight="true" outlineLevel="0" collapsed="false">
      <c r="A181" s="2410"/>
      <c r="B181" s="2116"/>
      <c r="C181" s="972"/>
      <c r="D181" s="972"/>
      <c r="E181" s="972"/>
      <c r="F181" s="972"/>
      <c r="G181" s="2330"/>
      <c r="H181" s="972"/>
      <c r="I181" s="972"/>
      <c r="J181" s="2117"/>
      <c r="K181" s="2412"/>
    </row>
    <row r="182" customFormat="false" ht="13.5" hidden="false" customHeight="true" outlineLevel="0" collapsed="false">
      <c r="A182" s="2410"/>
      <c r="B182" s="2116"/>
      <c r="C182" s="972"/>
      <c r="D182" s="972"/>
      <c r="E182" s="972"/>
      <c r="F182" s="972"/>
      <c r="G182" s="2330"/>
      <c r="H182" s="972"/>
      <c r="I182" s="972"/>
      <c r="J182" s="2117"/>
      <c r="K182" s="2412"/>
    </row>
    <row r="183" customFormat="false" ht="15" hidden="false" customHeight="true" outlineLevel="0" collapsed="false">
      <c r="A183" s="2410"/>
      <c r="B183" s="2149" t="s">
        <v>658</v>
      </c>
      <c r="C183" s="2354" t="s">
        <v>3026</v>
      </c>
      <c r="D183" s="2354"/>
      <c r="E183" s="2354"/>
      <c r="F183" s="2354"/>
      <c r="G183" s="2354"/>
      <c r="H183" s="2354"/>
      <c r="I183" s="2355" t="s">
        <v>2866</v>
      </c>
      <c r="J183" s="2117"/>
      <c r="K183" s="2412"/>
    </row>
    <row r="184" customFormat="false" ht="13.5" hidden="false" customHeight="true" outlineLevel="0" collapsed="false">
      <c r="A184" s="2410"/>
      <c r="B184" s="2116"/>
      <c r="C184" s="2160"/>
      <c r="D184" s="972"/>
      <c r="E184" s="2162"/>
      <c r="F184" s="972"/>
      <c r="G184" s="2408"/>
      <c r="H184" s="2409"/>
      <c r="I184" s="2407"/>
      <c r="J184" s="2117"/>
      <c r="K184" s="2412"/>
    </row>
    <row r="185" customFormat="false" ht="27.75" hidden="false" customHeight="true" outlineLevel="0" collapsed="false">
      <c r="A185" s="2410"/>
      <c r="B185" s="2116"/>
      <c r="C185" s="2158" t="s">
        <v>2698</v>
      </c>
      <c r="D185" s="2158"/>
      <c r="E185" s="2158"/>
      <c r="F185" s="2158"/>
      <c r="G185" s="2158"/>
      <c r="H185" s="2120" t="s">
        <v>2699</v>
      </c>
      <c r="I185" s="2120" t="s">
        <v>2700</v>
      </c>
      <c r="J185" s="2117"/>
      <c r="K185" s="2412"/>
    </row>
    <row r="186" customFormat="false" ht="13.5" hidden="false" customHeight="true" outlineLevel="0" collapsed="false">
      <c r="A186" s="2410"/>
      <c r="B186" s="2116"/>
      <c r="C186" s="2174" t="s">
        <v>3027</v>
      </c>
      <c r="D186" s="1983"/>
      <c r="E186" s="2413"/>
      <c r="F186" s="1983"/>
      <c r="G186" s="2244" t="n">
        <f aca="false">'Saisie et Calculateur'!D1006</f>
        <v>2</v>
      </c>
      <c r="H186" s="2239" t="n">
        <f aca="false">G186+G188</f>
        <v>5</v>
      </c>
      <c r="I186" s="2348" t="n">
        <f aca="false">MIN(6,H186)</f>
        <v>5</v>
      </c>
      <c r="J186" s="2117"/>
      <c r="K186" s="2412"/>
      <c r="M186" s="1857" t="s">
        <v>2939</v>
      </c>
      <c r="N186" s="1857" t="s">
        <v>2738</v>
      </c>
    </row>
    <row r="187" customFormat="false" ht="13.5" hidden="false" customHeight="true" outlineLevel="0" collapsed="false">
      <c r="A187" s="2410"/>
      <c r="B187" s="2116"/>
      <c r="C187" s="2143"/>
      <c r="D187" s="972"/>
      <c r="E187" s="2162"/>
      <c r="F187" s="972"/>
      <c r="G187" s="2244"/>
      <c r="H187" s="2239"/>
      <c r="I187" s="2348"/>
      <c r="J187" s="2117"/>
      <c r="K187" s="2412"/>
      <c r="M187" s="2380" t="s">
        <v>242</v>
      </c>
      <c r="N187" s="2380" t="n">
        <v>3</v>
      </c>
    </row>
    <row r="188" customFormat="false" ht="13.5" hidden="false" customHeight="true" outlineLevel="0" collapsed="false">
      <c r="A188" s="2410"/>
      <c r="B188" s="2116"/>
      <c r="C188" s="2143" t="s">
        <v>3028</v>
      </c>
      <c r="D188" s="2143"/>
      <c r="E188" s="2143"/>
      <c r="F188" s="2143"/>
      <c r="G188" s="2209" t="n">
        <f aca="false">IF(E189=M187,N187,N188)</f>
        <v>3</v>
      </c>
      <c r="H188" s="2239"/>
      <c r="I188" s="2348"/>
      <c r="J188" s="2117"/>
      <c r="K188" s="2412"/>
      <c r="M188" s="1874" t="s">
        <v>243</v>
      </c>
      <c r="N188" s="1874" t="n">
        <v>0</v>
      </c>
    </row>
    <row r="189" customFormat="false" ht="13.5" hidden="false" customHeight="true" outlineLevel="0" collapsed="false">
      <c r="A189" s="2410"/>
      <c r="B189" s="2116"/>
      <c r="C189" s="2194"/>
      <c r="D189" s="2148" t="s">
        <v>2720</v>
      </c>
      <c r="E189" s="2148" t="str">
        <f aca="false">'Saisie et Calculateur'!D1012</f>
        <v>oui</v>
      </c>
      <c r="F189" s="2148"/>
      <c r="G189" s="2209"/>
      <c r="H189" s="2239"/>
      <c r="I189" s="2348"/>
      <c r="J189" s="2117"/>
      <c r="K189" s="2412"/>
    </row>
    <row r="190" customFormat="false" ht="13.5" hidden="false" customHeight="true" outlineLevel="0" collapsed="false">
      <c r="A190" s="2410"/>
      <c r="B190" s="2116"/>
      <c r="C190" s="972"/>
      <c r="D190" s="972"/>
      <c r="E190" s="972"/>
      <c r="F190" s="972"/>
      <c r="G190" s="2330"/>
      <c r="H190" s="972"/>
      <c r="I190" s="972"/>
      <c r="J190" s="2117"/>
      <c r="K190" s="2412"/>
    </row>
    <row r="191" customFormat="false" ht="12.75" hidden="false" customHeight="true" outlineLevel="0" collapsed="false">
      <c r="A191" s="2410"/>
      <c r="B191" s="2116"/>
      <c r="C191" s="972"/>
      <c r="D191" s="972"/>
      <c r="E191" s="972"/>
      <c r="F191" s="972"/>
      <c r="G191" s="2330"/>
      <c r="H191" s="972"/>
      <c r="I191" s="972"/>
      <c r="J191" s="2117"/>
      <c r="K191" s="2412"/>
    </row>
    <row r="192" customFormat="false" ht="15" hidden="false" customHeight="true" outlineLevel="0" collapsed="false">
      <c r="A192" s="2410"/>
      <c r="B192" s="2149" t="s">
        <v>763</v>
      </c>
      <c r="C192" s="2354" t="s">
        <v>3029</v>
      </c>
      <c r="D192" s="2354"/>
      <c r="E192" s="2354"/>
      <c r="F192" s="2354"/>
      <c r="G192" s="2354"/>
      <c r="H192" s="2354"/>
      <c r="I192" s="2355" t="s">
        <v>2866</v>
      </c>
      <c r="J192" s="2117"/>
      <c r="K192" s="2412"/>
    </row>
    <row r="193" customFormat="false" ht="15.75" hidden="false" customHeight="true" outlineLevel="0" collapsed="false">
      <c r="A193" s="2410"/>
      <c r="B193" s="2116"/>
      <c r="C193" s="972"/>
      <c r="D193" s="972"/>
      <c r="E193" s="972"/>
      <c r="F193" s="972"/>
      <c r="G193" s="2330"/>
      <c r="H193" s="972"/>
      <c r="I193" s="972"/>
      <c r="J193" s="2117"/>
      <c r="K193" s="2412"/>
    </row>
    <row r="194" customFormat="false" ht="25.5" hidden="false" customHeight="true" outlineLevel="0" collapsed="false">
      <c r="A194" s="2410"/>
      <c r="B194" s="2116"/>
      <c r="C194" s="2158" t="s">
        <v>2698</v>
      </c>
      <c r="D194" s="2158"/>
      <c r="E194" s="2158"/>
      <c r="F194" s="2158"/>
      <c r="G194" s="2158"/>
      <c r="H194" s="2120" t="s">
        <v>2699</v>
      </c>
      <c r="I194" s="2120" t="s">
        <v>2700</v>
      </c>
      <c r="J194" s="2117"/>
      <c r="K194" s="2412"/>
      <c r="M194" s="2182" t="s">
        <v>3030</v>
      </c>
      <c r="N194" s="1874" t="s">
        <v>2952</v>
      </c>
      <c r="P194" s="2200"/>
    </row>
    <row r="195" customFormat="false" ht="12.75" hidden="false" customHeight="true" outlineLevel="0" collapsed="false">
      <c r="A195" s="2410"/>
      <c r="B195" s="2116"/>
      <c r="C195" s="2274" t="s">
        <v>3031</v>
      </c>
      <c r="D195" s="2118"/>
      <c r="E195" s="2118"/>
      <c r="F195" s="2118"/>
      <c r="G195" s="2125" t="n">
        <f aca="false">'Saisie et Calculateur'!E1018</f>
        <v>2</v>
      </c>
      <c r="H195" s="2239" t="n">
        <f aca="false">G195+G197+G200+G203</f>
        <v>-4</v>
      </c>
      <c r="I195" s="2348" t="n">
        <f aca="false">IF(H195&lt;0,0,MIN(6,H195))</f>
        <v>0</v>
      </c>
      <c r="J195" s="2117"/>
      <c r="K195" s="2412"/>
      <c r="M195" s="2414"/>
      <c r="N195" s="1874" t="n">
        <v>0</v>
      </c>
    </row>
    <row r="196" customFormat="false" ht="12.75" hidden="false" customHeight="true" outlineLevel="0" collapsed="false">
      <c r="A196" s="2410"/>
      <c r="B196" s="2116"/>
      <c r="C196" s="2415"/>
      <c r="D196" s="2021"/>
      <c r="E196" s="972"/>
      <c r="F196" s="2118"/>
      <c r="G196" s="2125"/>
      <c r="H196" s="2239"/>
      <c r="I196" s="2348"/>
      <c r="J196" s="2117"/>
      <c r="K196" s="2412"/>
      <c r="M196" s="2414" t="n">
        <v>9</v>
      </c>
      <c r="N196" s="1874" t="n">
        <v>1</v>
      </c>
    </row>
    <row r="197" customFormat="false" ht="12.75" hidden="false" customHeight="true" outlineLevel="0" collapsed="false">
      <c r="A197" s="2410"/>
      <c r="B197" s="2116"/>
      <c r="C197" s="2276" t="s">
        <v>3032</v>
      </c>
      <c r="D197" s="2021"/>
      <c r="E197" s="2118"/>
      <c r="F197" s="2118"/>
      <c r="G197" s="2157" t="n">
        <f aca="false">IF(F198=M198,N198,IF(F198&lt;M197,N197,IF(F198&lt;M196,N196,N195)))</f>
        <v>0</v>
      </c>
      <c r="H197" s="2239"/>
      <c r="I197" s="2348"/>
      <c r="J197" s="2117"/>
      <c r="K197" s="2412"/>
      <c r="M197" s="2414" t="n">
        <v>4</v>
      </c>
      <c r="N197" s="1874" t="n">
        <v>2</v>
      </c>
    </row>
    <row r="198" customFormat="false" ht="12.75" hidden="false" customHeight="true" outlineLevel="0" collapsed="false">
      <c r="A198" s="2410"/>
      <c r="B198" s="2116"/>
      <c r="C198" s="2415"/>
      <c r="D198" s="2021" t="s">
        <v>3033</v>
      </c>
      <c r="F198" s="2021" t="n">
        <f aca="false">'Saisie et Calculateur'!E1019</f>
        <v>52</v>
      </c>
      <c r="G198" s="2157"/>
      <c r="H198" s="2239"/>
      <c r="I198" s="2348"/>
      <c r="J198" s="2117"/>
      <c r="K198" s="2412"/>
      <c r="M198" s="2414" t="n">
        <v>0</v>
      </c>
      <c r="N198" s="1874" t="n">
        <v>3</v>
      </c>
    </row>
    <row r="199" customFormat="false" ht="12.75" hidden="false" customHeight="true" outlineLevel="0" collapsed="false">
      <c r="A199" s="2410"/>
      <c r="B199" s="2116"/>
      <c r="C199" s="2415"/>
      <c r="D199" s="2021"/>
      <c r="E199" s="2118"/>
      <c r="F199" s="2118"/>
      <c r="G199" s="2157"/>
      <c r="H199" s="2239"/>
      <c r="I199" s="2348"/>
      <c r="J199" s="2117"/>
      <c r="K199" s="2412"/>
    </row>
    <row r="200" customFormat="false" ht="12.75" hidden="false" customHeight="true" outlineLevel="0" collapsed="false">
      <c r="A200" s="2410"/>
      <c r="B200" s="2116"/>
      <c r="C200" s="2276" t="s">
        <v>3034</v>
      </c>
      <c r="D200" s="2118"/>
      <c r="E200" s="2118"/>
      <c r="F200" s="2118"/>
      <c r="G200" s="2230" t="n">
        <f aca="false">IF(E201="",0,IF(E201=M201,N201,IF(E201=M202,N202,N203)))</f>
        <v>-3</v>
      </c>
      <c r="H200" s="2239"/>
      <c r="I200" s="2348"/>
      <c r="J200" s="2117"/>
      <c r="K200" s="2412"/>
      <c r="M200" s="1700" t="s">
        <v>3035</v>
      </c>
      <c r="N200" s="1857" t="s">
        <v>2953</v>
      </c>
    </row>
    <row r="201" customFormat="false" ht="12.75" hidden="false" customHeight="true" outlineLevel="0" collapsed="false">
      <c r="A201" s="2410"/>
      <c r="B201" s="2116"/>
      <c r="C201" s="2131" t="s">
        <v>3036</v>
      </c>
      <c r="D201" s="2131"/>
      <c r="E201" s="2156" t="str">
        <f aca="false">CONCATENATE('Saisie et Calculateur'!C1021,'Saisie et Calculateur'!E1021)</f>
        <v>ouinon</v>
      </c>
      <c r="F201" s="2199"/>
      <c r="G201" s="2230"/>
      <c r="H201" s="2239"/>
      <c r="I201" s="2348"/>
      <c r="J201" s="2117"/>
      <c r="K201" s="2412"/>
      <c r="M201" s="1700" t="s">
        <v>3037</v>
      </c>
      <c r="N201" s="1699" t="n">
        <v>3</v>
      </c>
    </row>
    <row r="202" customFormat="false" ht="12.75" hidden="false" customHeight="true" outlineLevel="0" collapsed="false">
      <c r="A202" s="2410"/>
      <c r="B202" s="2116"/>
      <c r="C202" s="2159"/>
      <c r="D202" s="2199"/>
      <c r="E202" s="2416"/>
      <c r="F202" s="2199"/>
      <c r="G202" s="2230"/>
      <c r="H202" s="2239"/>
      <c r="I202" s="2348"/>
      <c r="J202" s="2117"/>
      <c r="K202" s="2412"/>
      <c r="M202" s="1700" t="s">
        <v>3038</v>
      </c>
      <c r="N202" s="1699" t="n">
        <v>0</v>
      </c>
    </row>
    <row r="203" customFormat="false" ht="12.75" hidden="false" customHeight="true" outlineLevel="0" collapsed="false">
      <c r="A203" s="2410"/>
      <c r="B203" s="2116"/>
      <c r="C203" s="2159" t="s">
        <v>3039</v>
      </c>
      <c r="D203" s="2199"/>
      <c r="E203" s="2199"/>
      <c r="F203" s="2199"/>
      <c r="G203" s="2193" t="n">
        <f aca="false">'Saisie et Calculateur'!E1023</f>
        <v>-3</v>
      </c>
      <c r="H203" s="2239"/>
      <c r="I203" s="2348"/>
      <c r="J203" s="2117"/>
      <c r="K203" s="2412"/>
      <c r="M203" s="1700" t="s">
        <v>3040</v>
      </c>
      <c r="N203" s="1699" t="n">
        <v>-3</v>
      </c>
    </row>
    <row r="204" customFormat="false" ht="15" hidden="false" customHeight="true" outlineLevel="0" collapsed="false">
      <c r="A204" s="2410"/>
      <c r="B204" s="2116"/>
      <c r="C204" s="2194"/>
      <c r="D204" s="2148"/>
      <c r="E204" s="2148"/>
      <c r="F204" s="2148"/>
      <c r="G204" s="2193"/>
      <c r="H204" s="2239"/>
      <c r="I204" s="2348"/>
      <c r="J204" s="2117"/>
      <c r="K204" s="2412"/>
      <c r="M204" s="1700" t="s">
        <v>3041</v>
      </c>
      <c r="N204" s="1699" t="n">
        <v>-3</v>
      </c>
    </row>
    <row r="205" customFormat="false" ht="15" hidden="false" customHeight="true" outlineLevel="0" collapsed="false">
      <c r="A205" s="2410"/>
      <c r="B205" s="2116"/>
      <c r="C205" s="972"/>
      <c r="D205" s="972"/>
      <c r="E205" s="972"/>
      <c r="F205" s="972"/>
      <c r="G205" s="2197"/>
      <c r="H205" s="2200"/>
      <c r="I205" s="2200"/>
      <c r="J205" s="2117"/>
      <c r="K205" s="2412"/>
      <c r="M205" s="1007"/>
      <c r="N205" s="2200"/>
    </row>
    <row r="206" customFormat="false" ht="12.75" hidden="false" customHeight="true" outlineLevel="0" collapsed="false">
      <c r="A206" s="2410"/>
      <c r="B206" s="2116"/>
      <c r="C206" s="972"/>
      <c r="D206" s="972"/>
      <c r="E206" s="972"/>
      <c r="F206" s="972"/>
      <c r="G206" s="2330"/>
      <c r="H206" s="972"/>
      <c r="I206" s="972"/>
      <c r="J206" s="2117"/>
      <c r="K206" s="2412"/>
    </row>
    <row r="207" customFormat="false" ht="12.75" hidden="false" customHeight="true" outlineLevel="0" collapsed="false">
      <c r="A207" s="2410"/>
      <c r="B207" s="2149" t="s">
        <v>771</v>
      </c>
      <c r="C207" s="2354" t="s">
        <v>3042</v>
      </c>
      <c r="D207" s="2354"/>
      <c r="E207" s="2354"/>
      <c r="F207" s="2354"/>
      <c r="G207" s="2354"/>
      <c r="H207" s="2354"/>
      <c r="I207" s="2355" t="s">
        <v>2697</v>
      </c>
      <c r="J207" s="2117"/>
      <c r="K207" s="2412"/>
      <c r="N207" s="972"/>
      <c r="O207" s="972"/>
      <c r="P207" s="972"/>
    </row>
    <row r="208" customFormat="false" ht="12.75" hidden="false" customHeight="true" outlineLevel="0" collapsed="false">
      <c r="A208" s="2410"/>
      <c r="B208" s="2116"/>
      <c r="C208" s="972"/>
      <c r="D208" s="972"/>
      <c r="E208" s="972"/>
      <c r="F208" s="972"/>
      <c r="G208" s="2330"/>
      <c r="H208" s="972"/>
      <c r="I208" s="972"/>
      <c r="J208" s="2117"/>
      <c r="K208" s="2412"/>
      <c r="N208" s="972"/>
      <c r="O208" s="1865"/>
      <c r="P208" s="972"/>
    </row>
    <row r="209" customFormat="false" ht="25.5" hidden="false" customHeight="true" outlineLevel="0" collapsed="false">
      <c r="A209" s="2410"/>
      <c r="B209" s="2116"/>
      <c r="C209" s="2158" t="s">
        <v>2698</v>
      </c>
      <c r="D209" s="2158"/>
      <c r="E209" s="2158"/>
      <c r="F209" s="2158"/>
      <c r="G209" s="2158"/>
      <c r="H209" s="2120" t="s">
        <v>2699</v>
      </c>
      <c r="I209" s="2120" t="s">
        <v>2700</v>
      </c>
      <c r="J209" s="2117"/>
      <c r="K209" s="2412"/>
      <c r="N209" s="972"/>
      <c r="O209" s="1865"/>
      <c r="P209" s="972"/>
    </row>
    <row r="210" customFormat="false" ht="12.75" hidden="false" customHeight="true" outlineLevel="0" collapsed="false">
      <c r="A210" s="2410"/>
      <c r="B210" s="2116"/>
      <c r="C210" s="2307" t="s">
        <v>3043</v>
      </c>
      <c r="D210" s="2307"/>
      <c r="E210" s="2307"/>
      <c r="F210" s="2307"/>
      <c r="G210" s="2153" t="n">
        <f aca="false">'Saisie et Calculateur'!E1028</f>
        <v>2</v>
      </c>
      <c r="H210" s="2239" t="n">
        <f aca="false">G210+G212+G215</f>
        <v>2</v>
      </c>
      <c r="I210" s="2348" t="n">
        <f aca="false">IF(H210&lt;0,0,MIN(5,H210))</f>
        <v>2</v>
      </c>
      <c r="J210" s="2117"/>
      <c r="K210" s="2412"/>
    </row>
    <row r="211" customFormat="false" ht="12.75" hidden="false" customHeight="true" outlineLevel="0" collapsed="false">
      <c r="A211" s="2410"/>
      <c r="B211" s="2116"/>
      <c r="C211" s="2131"/>
      <c r="D211" s="2132"/>
      <c r="E211" s="2132"/>
      <c r="F211" s="2162"/>
      <c r="G211" s="2153"/>
      <c r="H211" s="2239"/>
      <c r="I211" s="2348"/>
      <c r="J211" s="2117"/>
      <c r="K211" s="2412"/>
      <c r="N211" s="1857" t="s">
        <v>2738</v>
      </c>
      <c r="O211" s="1857" t="s">
        <v>3044</v>
      </c>
      <c r="P211" s="1857" t="s">
        <v>3045</v>
      </c>
      <c r="Q211" s="1857" t="s">
        <v>3046</v>
      </c>
    </row>
    <row r="212" customFormat="false" ht="12.75" hidden="false" customHeight="true" outlineLevel="0" collapsed="false">
      <c r="A212" s="2410"/>
      <c r="B212" s="2116"/>
      <c r="C212" s="2192" t="s">
        <v>3047</v>
      </c>
      <c r="D212" s="2192"/>
      <c r="E212" s="2192"/>
      <c r="F212" s="2192"/>
      <c r="G212" s="2183" t="n">
        <f aca="false">IF(F213=M212,N212,N213)</f>
        <v>0</v>
      </c>
      <c r="H212" s="2239"/>
      <c r="I212" s="2348"/>
      <c r="J212" s="2117"/>
      <c r="K212" s="2412"/>
      <c r="M212" s="1700" t="s">
        <v>242</v>
      </c>
      <c r="N212" s="1699" t="n">
        <v>1</v>
      </c>
      <c r="O212" s="1699" t="n">
        <v>2</v>
      </c>
      <c r="P212" s="1699" t="n">
        <v>-2</v>
      </c>
      <c r="Q212" s="1699" t="n">
        <v>2</v>
      </c>
    </row>
    <row r="213" customFormat="false" ht="12.75" hidden="false" customHeight="true" outlineLevel="0" collapsed="false">
      <c r="A213" s="2410"/>
      <c r="B213" s="2116"/>
      <c r="C213" s="2143" t="s">
        <v>3048</v>
      </c>
      <c r="E213" s="675" t="s">
        <v>2720</v>
      </c>
      <c r="F213" s="2162" t="str">
        <f aca="false">'Saisie et Calculateur'!E1030</f>
        <v>non</v>
      </c>
      <c r="G213" s="2183"/>
      <c r="H213" s="2239"/>
      <c r="I213" s="2348"/>
      <c r="J213" s="2117"/>
      <c r="K213" s="2412"/>
      <c r="M213" s="1700" t="s">
        <v>243</v>
      </c>
      <c r="N213" s="1699" t="n">
        <v>0</v>
      </c>
      <c r="O213" s="1699" t="n">
        <v>0</v>
      </c>
      <c r="P213" s="1699" t="n">
        <v>0</v>
      </c>
      <c r="Q213" s="1699" t="n">
        <v>0</v>
      </c>
    </row>
    <row r="214" customFormat="false" ht="12.75" hidden="false" customHeight="true" outlineLevel="0" collapsed="false">
      <c r="A214" s="2410"/>
      <c r="B214" s="2116"/>
      <c r="C214" s="2143"/>
      <c r="D214" s="2156"/>
      <c r="E214" s="2162"/>
      <c r="F214" s="972"/>
      <c r="G214" s="2183"/>
      <c r="H214" s="2239"/>
      <c r="I214" s="2348"/>
      <c r="J214" s="2117"/>
      <c r="K214" s="2412"/>
    </row>
    <row r="215" customFormat="false" ht="12.75" hidden="false" customHeight="true" outlineLevel="0" collapsed="false">
      <c r="A215" s="2410"/>
      <c r="B215" s="2116"/>
      <c r="C215" s="2143" t="s">
        <v>3049</v>
      </c>
      <c r="D215" s="2143"/>
      <c r="E215" s="2143"/>
      <c r="F215" s="2143"/>
      <c r="G215" s="2144" t="n">
        <f aca="false">MIN(2,SUM(F216:F218))</f>
        <v>0</v>
      </c>
      <c r="H215" s="2239"/>
      <c r="I215" s="2348"/>
      <c r="J215" s="2117"/>
      <c r="K215" s="2412"/>
    </row>
    <row r="216" customFormat="false" ht="12.75" hidden="false" customHeight="true" outlineLevel="0" collapsed="false">
      <c r="A216" s="2410"/>
      <c r="B216" s="2116"/>
      <c r="C216" s="2129" t="s">
        <v>3050</v>
      </c>
      <c r="D216" s="675" t="s">
        <v>2720</v>
      </c>
      <c r="E216" s="2161" t="str">
        <f aca="false">'Saisie et Calculateur'!E1033</f>
        <v>oui</v>
      </c>
      <c r="F216" s="972" t="n">
        <f aca="false">IF(E216=M212,O212,O213)</f>
        <v>2</v>
      </c>
      <c r="G216" s="2144"/>
      <c r="H216" s="2239"/>
      <c r="I216" s="2348"/>
      <c r="J216" s="2117"/>
      <c r="K216" s="2412"/>
    </row>
    <row r="217" customFormat="false" ht="12.75" hidden="false" customHeight="true" outlineLevel="0" collapsed="false">
      <c r="A217" s="2410"/>
      <c r="B217" s="2116"/>
      <c r="C217" s="2129" t="s">
        <v>3051</v>
      </c>
      <c r="D217" s="675" t="s">
        <v>2720</v>
      </c>
      <c r="E217" s="2161" t="str">
        <f aca="false">'Saisie et Calculateur'!E1034</f>
        <v>oui</v>
      </c>
      <c r="F217" s="972" t="n">
        <f aca="false">IF(E217=M212,P212,P213)</f>
        <v>-2</v>
      </c>
      <c r="G217" s="2144"/>
      <c r="H217" s="2239"/>
      <c r="I217" s="2348"/>
      <c r="J217" s="2117"/>
      <c r="K217" s="2412"/>
    </row>
    <row r="218" customFormat="false" ht="12.75" hidden="false" customHeight="true" outlineLevel="0" collapsed="false">
      <c r="A218" s="2410"/>
      <c r="B218" s="2116"/>
      <c r="C218" s="2194" t="s">
        <v>3052</v>
      </c>
      <c r="D218" s="2384" t="s">
        <v>2720</v>
      </c>
      <c r="E218" s="2266" t="str">
        <f aca="false">'Saisie et Calculateur'!E1036</f>
        <v>non</v>
      </c>
      <c r="F218" s="2148" t="n">
        <f aca="false">IF(E218=M212,Q212,Q213)</f>
        <v>0</v>
      </c>
      <c r="G218" s="2144"/>
      <c r="H218" s="2239"/>
      <c r="I218" s="2348"/>
      <c r="J218" s="2117"/>
      <c r="K218" s="2412"/>
    </row>
    <row r="219" customFormat="false" ht="12.75" hidden="false" customHeight="true" outlineLevel="0" collapsed="false">
      <c r="A219" s="2410"/>
      <c r="B219" s="2116"/>
      <c r="C219" s="972"/>
      <c r="D219" s="972"/>
      <c r="E219" s="972"/>
      <c r="F219" s="972"/>
      <c r="G219" s="2330"/>
      <c r="H219" s="972"/>
      <c r="I219" s="972"/>
      <c r="J219" s="2117"/>
      <c r="K219" s="2412"/>
    </row>
    <row r="220" customFormat="false" ht="12.75" hidden="false" customHeight="true" outlineLevel="0" collapsed="false">
      <c r="A220" s="2410"/>
      <c r="B220" s="2116"/>
      <c r="C220" s="972"/>
      <c r="D220" s="972"/>
      <c r="E220" s="972"/>
      <c r="F220" s="972"/>
      <c r="G220" s="2330"/>
      <c r="H220" s="972"/>
      <c r="I220" s="972"/>
      <c r="J220" s="2117"/>
      <c r="K220" s="2412"/>
    </row>
    <row r="221" customFormat="false" ht="12.75" hidden="false" customHeight="true" outlineLevel="0" collapsed="false">
      <c r="A221" s="2410"/>
      <c r="B221" s="2149" t="s">
        <v>740</v>
      </c>
      <c r="C221" s="2354" t="s">
        <v>3053</v>
      </c>
      <c r="D221" s="2354"/>
      <c r="E221" s="2354"/>
      <c r="F221" s="2354"/>
      <c r="G221" s="2354"/>
      <c r="H221" s="2354"/>
      <c r="I221" s="2355" t="s">
        <v>2697</v>
      </c>
      <c r="J221" s="2117"/>
      <c r="K221" s="2412"/>
    </row>
    <row r="222" customFormat="false" ht="12.75" hidden="false" customHeight="true" outlineLevel="0" collapsed="false">
      <c r="A222" s="2410"/>
      <c r="B222" s="2116"/>
      <c r="C222" s="972"/>
      <c r="D222" s="972"/>
      <c r="E222" s="972"/>
      <c r="F222" s="972"/>
      <c r="G222" s="2330"/>
      <c r="H222" s="972"/>
      <c r="I222" s="972"/>
      <c r="J222" s="2117"/>
      <c r="K222" s="2412"/>
    </row>
    <row r="223" customFormat="false" ht="25.5" hidden="false" customHeight="true" outlineLevel="0" collapsed="false">
      <c r="A223" s="2410"/>
      <c r="B223" s="2116"/>
      <c r="C223" s="2158" t="s">
        <v>2698</v>
      </c>
      <c r="D223" s="2158"/>
      <c r="E223" s="2158"/>
      <c r="F223" s="2158"/>
      <c r="G223" s="2158"/>
      <c r="H223" s="2120" t="s">
        <v>2699</v>
      </c>
      <c r="I223" s="2120" t="s">
        <v>2700</v>
      </c>
      <c r="J223" s="2117"/>
      <c r="K223" s="2412"/>
    </row>
    <row r="224" customFormat="false" ht="12.75" hidden="false" customHeight="true" outlineLevel="0" collapsed="false">
      <c r="A224" s="2410"/>
      <c r="B224" s="2116"/>
      <c r="C224" s="2307" t="s">
        <v>3054</v>
      </c>
      <c r="D224" s="2307"/>
      <c r="E224" s="2307"/>
      <c r="F224" s="2307"/>
      <c r="G224" s="2153" t="n">
        <f aca="false">MIN(3,(E225))</f>
        <v>2</v>
      </c>
      <c r="H224" s="2239" t="n">
        <f aca="false">G224+G227+G230</f>
        <v>5</v>
      </c>
      <c r="I224" s="2348" t="n">
        <f aca="false">MIN(5,H224)</f>
        <v>5</v>
      </c>
      <c r="J224" s="2117"/>
      <c r="K224" s="2412"/>
      <c r="N224" s="1857" t="s">
        <v>2738</v>
      </c>
    </row>
    <row r="225" customFormat="false" ht="12.75" hidden="false" customHeight="true" outlineLevel="0" collapsed="false">
      <c r="A225" s="2410"/>
      <c r="B225" s="2116"/>
      <c r="C225" s="2129"/>
      <c r="D225" s="972" t="s">
        <v>3055</v>
      </c>
      <c r="E225" s="2161" t="n">
        <f aca="false">'Saisie et Calculateur'!D1041</f>
        <v>2</v>
      </c>
      <c r="F225" s="972"/>
      <c r="G225" s="2153"/>
      <c r="H225" s="2239"/>
      <c r="I225" s="2348"/>
      <c r="J225" s="2117"/>
      <c r="K225" s="2412"/>
      <c r="M225" s="1700" t="s">
        <v>242</v>
      </c>
      <c r="N225" s="1699" t="n">
        <v>2</v>
      </c>
    </row>
    <row r="226" customFormat="false" ht="12.75" hidden="false" customHeight="true" outlineLevel="0" collapsed="false">
      <c r="A226" s="2410"/>
      <c r="B226" s="2116"/>
      <c r="C226" s="2129"/>
      <c r="D226" s="972"/>
      <c r="E226" s="972"/>
      <c r="F226" s="972"/>
      <c r="G226" s="2153"/>
      <c r="H226" s="2239"/>
      <c r="I226" s="2348"/>
      <c r="J226" s="2117"/>
      <c r="K226" s="2412"/>
      <c r="M226" s="1700" t="s">
        <v>243</v>
      </c>
      <c r="N226" s="1699" t="n">
        <v>0</v>
      </c>
    </row>
    <row r="227" customFormat="false" ht="12.75" hidden="false" customHeight="true" outlineLevel="0" collapsed="false">
      <c r="A227" s="2410"/>
      <c r="B227" s="2116"/>
      <c r="C227" s="2192" t="s">
        <v>3056</v>
      </c>
      <c r="D227" s="2192"/>
      <c r="E227" s="2192"/>
      <c r="F227" s="2192"/>
      <c r="G227" s="2183" t="n">
        <f aca="false">IF(E228=M225,N225,N226)</f>
        <v>2</v>
      </c>
      <c r="H227" s="2239"/>
      <c r="I227" s="2348"/>
      <c r="J227" s="2117"/>
      <c r="K227" s="2412"/>
    </row>
    <row r="228" customFormat="false" ht="12.75" hidden="false" customHeight="true" outlineLevel="0" collapsed="false">
      <c r="A228" s="2410"/>
      <c r="B228" s="2116"/>
      <c r="C228" s="2143"/>
      <c r="D228" s="675" t="s">
        <v>2720</v>
      </c>
      <c r="E228" s="2132" t="str">
        <f aca="false">'Saisie et Calculateur'!D1043</f>
        <v>oui</v>
      </c>
      <c r="F228" s="972"/>
      <c r="G228" s="2183"/>
      <c r="H228" s="2239"/>
      <c r="I228" s="2348"/>
      <c r="J228" s="2117"/>
      <c r="K228" s="2412"/>
    </row>
    <row r="229" customFormat="false" ht="12.75" hidden="false" customHeight="true" outlineLevel="0" collapsed="false">
      <c r="A229" s="2410"/>
      <c r="B229" s="2116"/>
      <c r="C229" s="2143"/>
      <c r="D229" s="972"/>
      <c r="E229" s="2162"/>
      <c r="F229" s="972"/>
      <c r="G229" s="2183"/>
      <c r="H229" s="2239"/>
      <c r="I229" s="2348"/>
      <c r="J229" s="2117"/>
      <c r="K229" s="2412"/>
    </row>
    <row r="230" customFormat="false" ht="12.75" hidden="false" customHeight="true" outlineLevel="0" collapsed="false">
      <c r="A230" s="2410"/>
      <c r="B230" s="2116"/>
      <c r="C230" s="2143" t="s">
        <v>3057</v>
      </c>
      <c r="D230" s="2143"/>
      <c r="E230" s="2143"/>
      <c r="F230" s="2143"/>
      <c r="G230" s="2370" t="n">
        <f aca="false">MIN(2,E231)</f>
        <v>1</v>
      </c>
      <c r="H230" s="2239"/>
      <c r="I230" s="2348"/>
      <c r="J230" s="2117"/>
      <c r="K230" s="2412"/>
    </row>
    <row r="231" customFormat="false" ht="12.75" hidden="false" customHeight="true" outlineLevel="0" collapsed="false">
      <c r="A231" s="2410"/>
      <c r="B231" s="2116"/>
      <c r="C231" s="2186"/>
      <c r="D231" s="2148" t="s">
        <v>3058</v>
      </c>
      <c r="E231" s="2266" t="n">
        <f aca="false">'Saisie et Calculateur'!D1045</f>
        <v>1</v>
      </c>
      <c r="F231" s="2266"/>
      <c r="G231" s="2370"/>
      <c r="H231" s="2239"/>
      <c r="I231" s="2348"/>
      <c r="J231" s="2117"/>
      <c r="K231" s="2412"/>
    </row>
    <row r="232" customFormat="false" ht="12.75" hidden="false" customHeight="true" outlineLevel="0" collapsed="false">
      <c r="A232" s="2410"/>
      <c r="B232" s="2246"/>
      <c r="C232" s="2248"/>
      <c r="D232" s="2248"/>
      <c r="E232" s="2248"/>
      <c r="F232" s="2248"/>
      <c r="G232" s="2372"/>
      <c r="H232" s="2248"/>
      <c r="I232" s="2248"/>
      <c r="J232" s="2216"/>
      <c r="K232" s="2412"/>
    </row>
    <row r="235" customFormat="false" ht="12.75" hidden="false" customHeight="true" outlineLevel="0" collapsed="false">
      <c r="A235" s="2417" t="s">
        <v>3059</v>
      </c>
      <c r="B235" s="2218" t="s">
        <v>780</v>
      </c>
      <c r="C235" s="2342" t="s">
        <v>3060</v>
      </c>
      <c r="D235" s="2342"/>
      <c r="E235" s="2342"/>
      <c r="F235" s="2342"/>
      <c r="G235" s="2342"/>
      <c r="H235" s="2342"/>
      <c r="I235" s="2343" t="s">
        <v>2866</v>
      </c>
      <c r="J235" s="2114"/>
      <c r="K235" s="2418" t="n">
        <f aca="false">MIN(25,SUM(I238,I259,I269,I276,I284))</f>
        <v>22</v>
      </c>
    </row>
    <row r="236" customFormat="false" ht="12.75" hidden="false" customHeight="true" outlineLevel="0" collapsed="false">
      <c r="A236" s="2417"/>
      <c r="B236" s="2116"/>
      <c r="C236" s="972"/>
      <c r="D236" s="972"/>
      <c r="E236" s="972"/>
      <c r="F236" s="972"/>
      <c r="G236" s="2330"/>
      <c r="H236" s="972"/>
      <c r="I236" s="972"/>
      <c r="J236" s="2117"/>
      <c r="K236" s="2418"/>
      <c r="N236" s="2200"/>
      <c r="O236" s="2200"/>
    </row>
    <row r="237" customFormat="false" ht="25.5" hidden="false" customHeight="true" outlineLevel="0" collapsed="false">
      <c r="A237" s="2417"/>
      <c r="B237" s="2116"/>
      <c r="C237" s="2119" t="s">
        <v>2698</v>
      </c>
      <c r="D237" s="2119"/>
      <c r="E237" s="2119"/>
      <c r="F237" s="2119"/>
      <c r="G237" s="2119"/>
      <c r="H237" s="2120" t="s">
        <v>2699</v>
      </c>
      <c r="I237" s="2120" t="s">
        <v>2700</v>
      </c>
      <c r="J237" s="2117"/>
      <c r="K237" s="2418"/>
      <c r="N237" s="2419"/>
      <c r="O237" s="2200"/>
    </row>
    <row r="238" customFormat="false" ht="12.75" hidden="false" customHeight="true" outlineLevel="0" collapsed="false">
      <c r="A238" s="2417"/>
      <c r="B238" s="2116"/>
      <c r="C238" s="2420" t="s">
        <v>3061</v>
      </c>
      <c r="D238" s="2420"/>
      <c r="E238" s="2420"/>
      <c r="F238" s="2420"/>
      <c r="G238" s="2153" t="n">
        <f aca="false">IF(D239=O238,O240, IF(D239=Q238,Q240,N240))</f>
        <v>2</v>
      </c>
      <c r="H238" s="2239" t="n">
        <f aca="false">G238+G241+G244+G247+G250+G253</f>
        <v>5</v>
      </c>
      <c r="I238" s="2348" t="n">
        <f aca="false">IF(H238&lt;0,0,MIN(6,H238))</f>
        <v>5</v>
      </c>
      <c r="J238" s="2117"/>
      <c r="K238" s="2418"/>
      <c r="M238" s="2353" t="s">
        <v>3062</v>
      </c>
      <c r="N238" s="1874" t="s">
        <v>243</v>
      </c>
      <c r="O238" s="1619" t="s">
        <v>1698</v>
      </c>
      <c r="P238" s="1619"/>
      <c r="Q238" s="1619" t="s">
        <v>1694</v>
      </c>
      <c r="R238" s="1619"/>
    </row>
    <row r="239" customFormat="false" ht="12.75" hidden="false" customHeight="true" outlineLevel="0" collapsed="false">
      <c r="A239" s="2417"/>
      <c r="B239" s="2116"/>
      <c r="C239" s="2421"/>
      <c r="D239" s="2422" t="str">
        <f aca="false">'Saisie et Calculateur'!G1050</f>
        <v>Oui, en tant que responsable</v>
      </c>
      <c r="E239" s="2422"/>
      <c r="F239" s="2416"/>
      <c r="G239" s="2153"/>
      <c r="H239" s="2239"/>
      <c r="I239" s="2348"/>
      <c r="J239" s="2117"/>
      <c r="K239" s="2418"/>
      <c r="M239" s="2353"/>
      <c r="N239" s="1874"/>
      <c r="O239" s="1619"/>
      <c r="P239" s="1619"/>
      <c r="Q239" s="1619"/>
      <c r="R239" s="1619"/>
    </row>
    <row r="240" customFormat="false" ht="12.75" hidden="false" customHeight="true" outlineLevel="0" collapsed="false">
      <c r="A240" s="2417"/>
      <c r="B240" s="2116"/>
      <c r="C240" s="2129"/>
      <c r="D240" s="675"/>
      <c r="E240" s="2161"/>
      <c r="F240" s="972"/>
      <c r="G240" s="2153"/>
      <c r="H240" s="2239"/>
      <c r="I240" s="2348"/>
      <c r="J240" s="2117"/>
      <c r="K240" s="2418"/>
      <c r="M240" s="2128"/>
      <c r="N240" s="1874" t="n">
        <v>0</v>
      </c>
      <c r="O240" s="2158" t="n">
        <v>1</v>
      </c>
      <c r="P240" s="2158"/>
      <c r="Q240" s="1675" t="n">
        <v>2</v>
      </c>
      <c r="R240" s="1675"/>
    </row>
    <row r="241" customFormat="false" ht="12.75" hidden="false" customHeight="true" outlineLevel="0" collapsed="false">
      <c r="A241" s="2417"/>
      <c r="B241" s="2116"/>
      <c r="C241" s="2131" t="s">
        <v>3063</v>
      </c>
      <c r="D241" s="2131"/>
      <c r="E241" s="2131"/>
      <c r="F241" s="2131"/>
      <c r="G241" s="2230" t="n">
        <f aca="false">IF(D242=O238,O240, IF(D242=Q238,Q240,N240))</f>
        <v>1</v>
      </c>
      <c r="H241" s="2239"/>
      <c r="I241" s="2348"/>
      <c r="J241" s="2117"/>
      <c r="K241" s="2418"/>
    </row>
    <row r="242" customFormat="false" ht="12.75" hidden="false" customHeight="true" outlineLevel="0" collapsed="false">
      <c r="A242" s="2417"/>
      <c r="B242" s="2116"/>
      <c r="C242" s="2393"/>
      <c r="D242" s="2185" t="str">
        <f aca="false">'Saisie et Calculateur'!G1053</f>
        <v>Oui, en tant que simple adhérent</v>
      </c>
      <c r="E242" s="2185"/>
      <c r="F242" s="2416"/>
      <c r="G242" s="2230"/>
      <c r="H242" s="2239"/>
      <c r="I242" s="2348"/>
      <c r="J242" s="2117"/>
      <c r="K242" s="2418"/>
    </row>
    <row r="243" customFormat="false" ht="12.75" hidden="false" customHeight="true" outlineLevel="0" collapsed="false">
      <c r="A243" s="2417"/>
      <c r="B243" s="2116"/>
      <c r="C243" s="2129"/>
      <c r="D243" s="675"/>
      <c r="E243" s="2132"/>
      <c r="F243" s="2162"/>
      <c r="G243" s="2230"/>
      <c r="H243" s="2239"/>
      <c r="I243" s="2348"/>
      <c r="J243" s="2117"/>
      <c r="K243" s="2418"/>
    </row>
    <row r="244" customFormat="false" ht="12.75" hidden="false" customHeight="true" outlineLevel="0" collapsed="false">
      <c r="A244" s="2417"/>
      <c r="B244" s="2116"/>
      <c r="C244" s="2311" t="s">
        <v>3064</v>
      </c>
      <c r="D244" s="2423"/>
      <c r="E244" s="2423"/>
      <c r="F244" s="2423"/>
      <c r="G244" s="2205" t="n">
        <f aca="false">IF(E245=M246,N246,N247)</f>
        <v>0</v>
      </c>
      <c r="H244" s="2239"/>
      <c r="I244" s="2348"/>
      <c r="J244" s="2117"/>
      <c r="K244" s="2418"/>
      <c r="N244" s="2200"/>
    </row>
    <row r="245" customFormat="false" ht="12.75" hidden="false" customHeight="true" outlineLevel="0" collapsed="false">
      <c r="A245" s="2417"/>
      <c r="B245" s="2116"/>
      <c r="C245" s="2424"/>
      <c r="D245" s="2398" t="s">
        <v>2720</v>
      </c>
      <c r="E245" s="2132" t="str">
        <f aca="false">'Saisie et Calculateur'!G1056</f>
        <v>non</v>
      </c>
      <c r="F245" s="2423"/>
      <c r="G245" s="2205"/>
      <c r="H245" s="2239"/>
      <c r="I245" s="2348"/>
      <c r="J245" s="2117"/>
      <c r="K245" s="2418"/>
      <c r="M245" s="1857"/>
      <c r="N245" s="1874" t="s">
        <v>2953</v>
      </c>
      <c r="O245" s="1874" t="s">
        <v>3065</v>
      </c>
      <c r="P245" s="1874" t="s">
        <v>3066</v>
      </c>
    </row>
    <row r="246" customFormat="false" ht="12.75" hidden="false" customHeight="true" outlineLevel="0" collapsed="false">
      <c r="A246" s="2417"/>
      <c r="B246" s="2116"/>
      <c r="C246" s="2424"/>
      <c r="D246" s="2132"/>
      <c r="E246" s="2423"/>
      <c r="F246" s="2423"/>
      <c r="G246" s="2205"/>
      <c r="H246" s="2239"/>
      <c r="I246" s="2348"/>
      <c r="J246" s="2117"/>
      <c r="K246" s="2418"/>
      <c r="M246" s="2380" t="s">
        <v>242</v>
      </c>
      <c r="N246" s="1874" t="n">
        <v>2</v>
      </c>
      <c r="O246" s="1874" t="n">
        <v>2</v>
      </c>
      <c r="P246" s="1874" t="n">
        <v>2</v>
      </c>
    </row>
    <row r="247" customFormat="false" ht="12.75" hidden="false" customHeight="true" outlineLevel="0" collapsed="false">
      <c r="A247" s="2417"/>
      <c r="B247" s="2116"/>
      <c r="C247" s="2143" t="s">
        <v>3067</v>
      </c>
      <c r="D247" s="2160"/>
      <c r="E247" s="2160"/>
      <c r="F247" s="2160"/>
      <c r="G247" s="2205" t="n">
        <f aca="false">IF(E248=M246,O246,O247)</f>
        <v>0</v>
      </c>
      <c r="H247" s="2239"/>
      <c r="I247" s="2348"/>
      <c r="J247" s="2117"/>
      <c r="K247" s="2418"/>
      <c r="M247" s="1874" t="s">
        <v>243</v>
      </c>
      <c r="N247" s="1874" t="n">
        <v>0</v>
      </c>
      <c r="O247" s="1874" t="n">
        <v>0</v>
      </c>
      <c r="P247" s="1874" t="n">
        <v>0</v>
      </c>
    </row>
    <row r="248" customFormat="false" ht="12.75" hidden="false" customHeight="true" outlineLevel="0" collapsed="false">
      <c r="A248" s="2417"/>
      <c r="B248" s="2116"/>
      <c r="C248" s="2295"/>
      <c r="D248" s="2398" t="s">
        <v>2720</v>
      </c>
      <c r="E248" s="2132" t="str">
        <f aca="false">'Saisie et Calculateur'!D1058</f>
        <v>non</v>
      </c>
      <c r="F248" s="2398"/>
      <c r="G248" s="2205"/>
      <c r="H248" s="2239"/>
      <c r="I248" s="2348"/>
      <c r="J248" s="2117"/>
      <c r="K248" s="2418"/>
    </row>
    <row r="249" customFormat="false" ht="12.75" hidden="false" customHeight="true" outlineLevel="0" collapsed="false">
      <c r="A249" s="2417"/>
      <c r="B249" s="2116"/>
      <c r="C249" s="2295"/>
      <c r="D249" s="2132"/>
      <c r="E249" s="2132"/>
      <c r="F249" s="2398"/>
      <c r="G249" s="2205"/>
      <c r="H249" s="2239"/>
      <c r="I249" s="2348"/>
      <c r="J249" s="2117"/>
      <c r="K249" s="2418"/>
    </row>
    <row r="250" customFormat="false" ht="12.75" hidden="false" customHeight="true" outlineLevel="0" collapsed="false">
      <c r="A250" s="2417"/>
      <c r="B250" s="2116"/>
      <c r="C250" s="2129" t="s">
        <v>3068</v>
      </c>
      <c r="D250" s="2132"/>
      <c r="E250" s="2132"/>
      <c r="F250" s="2398"/>
      <c r="G250" s="2157" t="n">
        <f aca="false">IF(E251=M246,P246,P247)</f>
        <v>2</v>
      </c>
      <c r="H250" s="2239"/>
      <c r="I250" s="2348"/>
      <c r="J250" s="2117"/>
      <c r="K250" s="2418"/>
    </row>
    <row r="251" customFormat="false" ht="15.75" hidden="false" customHeight="true" outlineLevel="0" collapsed="false">
      <c r="A251" s="2417"/>
      <c r="B251" s="2116"/>
      <c r="C251" s="2129"/>
      <c r="D251" s="675" t="s">
        <v>2720</v>
      </c>
      <c r="E251" s="2161" t="str">
        <f aca="false">'Saisie et Calculateur'!C1060</f>
        <v>oui</v>
      </c>
      <c r="F251" s="972"/>
      <c r="G251" s="2157"/>
      <c r="H251" s="2239"/>
      <c r="I251" s="2348"/>
      <c r="J251" s="2117"/>
      <c r="K251" s="2418"/>
    </row>
    <row r="252" customFormat="false" ht="15.75" hidden="false" customHeight="true" outlineLevel="0" collapsed="false">
      <c r="A252" s="2417"/>
      <c r="B252" s="2116"/>
      <c r="C252" s="2129"/>
      <c r="D252" s="675"/>
      <c r="E252" s="2161"/>
      <c r="F252" s="972"/>
      <c r="G252" s="2157"/>
      <c r="H252" s="2239"/>
      <c r="I252" s="2348"/>
      <c r="J252" s="2117"/>
      <c r="K252" s="2418"/>
    </row>
    <row r="253" customFormat="false" ht="15.75" hidden="false" customHeight="true" outlineLevel="0" collapsed="false">
      <c r="A253" s="2417"/>
      <c r="B253" s="2116"/>
      <c r="C253" s="2194" t="s">
        <v>3069</v>
      </c>
      <c r="D253" s="2384"/>
      <c r="E253" s="2266" t="str">
        <f aca="false">'Saisie et Calculateur'!C1062</f>
        <v>non</v>
      </c>
      <c r="F253" s="2148" t="s">
        <v>3009</v>
      </c>
      <c r="G253" s="2168" t="n">
        <f aca="false">IF(E253="oui",-2,0)</f>
        <v>0</v>
      </c>
      <c r="H253" s="2239"/>
      <c r="I253" s="2348"/>
      <c r="J253" s="2117"/>
      <c r="K253" s="2418"/>
    </row>
    <row r="254" customFormat="false" ht="12.75" hidden="false" customHeight="true" outlineLevel="0" collapsed="false">
      <c r="A254" s="2417"/>
      <c r="B254" s="2116"/>
      <c r="C254" s="972"/>
      <c r="D254" s="972"/>
      <c r="E254" s="972"/>
      <c r="F254" s="972"/>
      <c r="G254" s="2330"/>
      <c r="H254" s="972"/>
      <c r="I254" s="972"/>
      <c r="J254" s="2117"/>
      <c r="K254" s="2418"/>
    </row>
    <row r="255" customFormat="false" ht="12.75" hidden="false" customHeight="true" outlineLevel="0" collapsed="false">
      <c r="A255" s="2417"/>
      <c r="B255" s="2116"/>
      <c r="C255" s="972"/>
      <c r="D255" s="972"/>
      <c r="E255" s="972"/>
      <c r="F255" s="972"/>
      <c r="G255" s="2330"/>
      <c r="H255" s="972"/>
      <c r="I255" s="972"/>
      <c r="J255" s="2117"/>
      <c r="K255" s="2418"/>
    </row>
    <row r="256" customFormat="false" ht="12.75" hidden="false" customHeight="true" outlineLevel="0" collapsed="false">
      <c r="A256" s="2417"/>
      <c r="B256" s="2149" t="s">
        <v>789</v>
      </c>
      <c r="C256" s="2354" t="s">
        <v>3070</v>
      </c>
      <c r="D256" s="2354"/>
      <c r="E256" s="2354"/>
      <c r="F256" s="2354"/>
      <c r="G256" s="2354"/>
      <c r="H256" s="2354"/>
      <c r="I256" s="2355" t="s">
        <v>2866</v>
      </c>
      <c r="J256" s="2117"/>
      <c r="K256" s="2418"/>
      <c r="N256" s="972"/>
      <c r="O256" s="972"/>
    </row>
    <row r="257" customFormat="false" ht="12.75" hidden="false" customHeight="true" outlineLevel="0" collapsed="false">
      <c r="A257" s="2417"/>
      <c r="B257" s="2116"/>
      <c r="C257" s="972"/>
      <c r="D257" s="972"/>
      <c r="E257" s="972"/>
      <c r="F257" s="972"/>
      <c r="G257" s="2330"/>
      <c r="H257" s="972"/>
      <c r="I257" s="972"/>
      <c r="J257" s="2117"/>
      <c r="K257" s="2418"/>
      <c r="N257" s="972"/>
      <c r="O257" s="2118"/>
    </row>
    <row r="258" customFormat="false" ht="25.5" hidden="false" customHeight="true" outlineLevel="0" collapsed="false">
      <c r="A258" s="2417"/>
      <c r="B258" s="2116"/>
      <c r="C258" s="2158" t="s">
        <v>2698</v>
      </c>
      <c r="D258" s="2158"/>
      <c r="E258" s="2158"/>
      <c r="F258" s="2158"/>
      <c r="G258" s="2158"/>
      <c r="H258" s="2120" t="s">
        <v>2699</v>
      </c>
      <c r="I258" s="1926" t="s">
        <v>2700</v>
      </c>
      <c r="J258" s="2117"/>
      <c r="K258" s="2418"/>
      <c r="M258" s="1857" t="s">
        <v>2952</v>
      </c>
      <c r="Q258" s="1857" t="s">
        <v>2738</v>
      </c>
      <c r="S258" s="972"/>
    </row>
    <row r="259" customFormat="false" ht="12.75" hidden="false" customHeight="true" outlineLevel="0" collapsed="false">
      <c r="A259" s="2417"/>
      <c r="B259" s="2116"/>
      <c r="C259" s="2307" t="s">
        <v>3071</v>
      </c>
      <c r="D259" s="2307"/>
      <c r="E259" s="2307"/>
      <c r="F259" s="2307"/>
      <c r="G259" s="2153" t="n">
        <f aca="false">IF(E260=M259,O259,IF(E260=M260,O260,O261))</f>
        <v>2</v>
      </c>
      <c r="H259" s="2239" t="n">
        <f aca="false">G259+G262</f>
        <v>2</v>
      </c>
      <c r="I259" s="2348" t="n">
        <f aca="false">MIN(6,H259)</f>
        <v>2</v>
      </c>
      <c r="J259" s="2117"/>
      <c r="K259" s="2418"/>
      <c r="M259" s="2425" t="s">
        <v>3072</v>
      </c>
      <c r="N259" s="2425"/>
      <c r="O259" s="1699" t="n">
        <v>4</v>
      </c>
      <c r="Q259" s="1700" t="s">
        <v>242</v>
      </c>
      <c r="R259" s="1857" t="n">
        <v>6</v>
      </c>
    </row>
    <row r="260" customFormat="false" ht="12.75" hidden="false" customHeight="true" outlineLevel="0" collapsed="false">
      <c r="A260" s="2417"/>
      <c r="B260" s="2116"/>
      <c r="C260" s="2129"/>
      <c r="D260" s="972" t="s">
        <v>2720</v>
      </c>
      <c r="E260" s="972" t="str">
        <f aca="false">'Saisie et Calculateur'!C1067</f>
        <v>oui démarche non certifiée</v>
      </c>
      <c r="F260" s="972"/>
      <c r="G260" s="2153"/>
      <c r="H260" s="2239"/>
      <c r="I260" s="2348"/>
      <c r="J260" s="2117"/>
      <c r="K260" s="2418"/>
      <c r="M260" s="2425" t="s">
        <v>1705</v>
      </c>
      <c r="N260" s="2425"/>
      <c r="O260" s="1699" t="n">
        <v>2</v>
      </c>
      <c r="Q260" s="1700" t="s">
        <v>243</v>
      </c>
      <c r="R260" s="1857" t="n">
        <v>0</v>
      </c>
    </row>
    <row r="261" customFormat="false" ht="12.75" hidden="false" customHeight="true" outlineLevel="0" collapsed="false">
      <c r="A261" s="2417"/>
      <c r="B261" s="2116"/>
      <c r="C261" s="2129"/>
      <c r="D261" s="972"/>
      <c r="E261" s="972"/>
      <c r="F261" s="972"/>
      <c r="G261" s="2153"/>
      <c r="H261" s="2239"/>
      <c r="I261" s="2348"/>
      <c r="J261" s="2117"/>
      <c r="K261" s="2418"/>
      <c r="M261" s="2425" t="s">
        <v>243</v>
      </c>
      <c r="N261" s="2425"/>
      <c r="O261" s="1699" t="n">
        <v>0</v>
      </c>
    </row>
    <row r="262" customFormat="false" ht="12.75" hidden="false" customHeight="true" outlineLevel="0" collapsed="false">
      <c r="A262" s="2417"/>
      <c r="B262" s="2116"/>
      <c r="C262" s="2192" t="s">
        <v>3073</v>
      </c>
      <c r="D262" s="2192"/>
      <c r="E262" s="2192"/>
      <c r="F262" s="2192"/>
      <c r="G262" s="2193" t="n">
        <f aca="false">IF(E263=Q259,R259,R260)</f>
        <v>0</v>
      </c>
      <c r="H262" s="2239"/>
      <c r="I262" s="2348"/>
      <c r="J262" s="2117"/>
      <c r="K262" s="2418"/>
    </row>
    <row r="263" customFormat="false" ht="12.75" hidden="false" customHeight="true" outlineLevel="0" collapsed="false">
      <c r="A263" s="2417"/>
      <c r="B263" s="2116"/>
      <c r="C263" s="2186"/>
      <c r="D263" s="2148" t="s">
        <v>2720</v>
      </c>
      <c r="E263" s="2172" t="str">
        <f aca="false">'Saisie et Calculateur'!C1070</f>
        <v>non</v>
      </c>
      <c r="F263" s="2148"/>
      <c r="G263" s="2193"/>
      <c r="H263" s="2239"/>
      <c r="I263" s="2348"/>
      <c r="J263" s="2117"/>
      <c r="K263" s="2418"/>
    </row>
    <row r="264" customFormat="false" ht="12.75" hidden="false" customHeight="true" outlineLevel="0" collapsed="false">
      <c r="A264" s="2417"/>
      <c r="B264" s="2116"/>
      <c r="C264" s="972"/>
      <c r="D264" s="972"/>
      <c r="E264" s="972"/>
      <c r="F264" s="972"/>
      <c r="G264" s="2330"/>
      <c r="H264" s="972"/>
      <c r="I264" s="972"/>
      <c r="J264" s="2117"/>
      <c r="K264" s="2418"/>
    </row>
    <row r="265" customFormat="false" ht="12.75" hidden="false" customHeight="true" outlineLevel="0" collapsed="false">
      <c r="A265" s="2417"/>
      <c r="B265" s="2116"/>
      <c r="C265" s="972"/>
      <c r="D265" s="972"/>
      <c r="E265" s="972"/>
      <c r="F265" s="972"/>
      <c r="G265" s="2330"/>
      <c r="H265" s="972"/>
      <c r="I265" s="972"/>
      <c r="J265" s="2117"/>
      <c r="K265" s="2418"/>
    </row>
    <row r="266" customFormat="false" ht="12.75" hidden="false" customHeight="true" outlineLevel="0" collapsed="false">
      <c r="A266" s="2417"/>
      <c r="B266" s="2149" t="s">
        <v>797</v>
      </c>
      <c r="C266" s="2354" t="s">
        <v>3074</v>
      </c>
      <c r="D266" s="2354"/>
      <c r="E266" s="2354"/>
      <c r="F266" s="2354"/>
      <c r="G266" s="2354"/>
      <c r="H266" s="2354"/>
      <c r="I266" s="2355" t="s">
        <v>2866</v>
      </c>
      <c r="J266" s="2117"/>
      <c r="K266" s="2418"/>
    </row>
    <row r="267" customFormat="false" ht="15.75" hidden="false" customHeight="true" outlineLevel="0" collapsed="false">
      <c r="A267" s="2417"/>
      <c r="B267" s="2116"/>
      <c r="C267" s="972"/>
      <c r="D267" s="972"/>
      <c r="E267" s="972"/>
      <c r="F267" s="972"/>
      <c r="G267" s="2330"/>
      <c r="H267" s="972"/>
      <c r="I267" s="972"/>
      <c r="J267" s="2117"/>
      <c r="K267" s="2418"/>
    </row>
    <row r="268" customFormat="false" ht="25.5" hidden="false" customHeight="true" outlineLevel="0" collapsed="false">
      <c r="A268" s="2417"/>
      <c r="B268" s="2116"/>
      <c r="C268" s="2158" t="s">
        <v>2698</v>
      </c>
      <c r="D268" s="2158"/>
      <c r="E268" s="2158"/>
      <c r="F268" s="2158"/>
      <c r="G268" s="2158"/>
      <c r="H268" s="2120" t="s">
        <v>2699</v>
      </c>
      <c r="I268" s="1926" t="s">
        <v>2700</v>
      </c>
      <c r="J268" s="2117"/>
      <c r="K268" s="2418"/>
    </row>
    <row r="269" customFormat="false" ht="12.75" hidden="false" customHeight="true" outlineLevel="0" collapsed="false">
      <c r="A269" s="2417"/>
      <c r="B269" s="2116"/>
      <c r="C269" s="2307" t="s">
        <v>3075</v>
      </c>
      <c r="D269" s="2307"/>
      <c r="E269" s="2307"/>
      <c r="F269" s="2307"/>
      <c r="G269" s="2426" t="n">
        <f aca="false">'Saisie et Calculateur'!C1076</f>
        <v>4</v>
      </c>
      <c r="H269" s="1699" t="n">
        <f aca="false">G269</f>
        <v>4</v>
      </c>
      <c r="I269" s="2348" t="n">
        <f aca="false">MIN(6,H269)</f>
        <v>4</v>
      </c>
      <c r="J269" s="2117"/>
      <c r="K269" s="2418"/>
    </row>
    <row r="270" customFormat="false" ht="12.75" hidden="false" customHeight="true" outlineLevel="0" collapsed="false">
      <c r="A270" s="2417"/>
      <c r="B270" s="2116"/>
      <c r="C270" s="2145"/>
      <c r="D270" s="2148"/>
      <c r="E270" s="2148"/>
      <c r="F270" s="2172"/>
      <c r="G270" s="2426"/>
      <c r="H270" s="1699"/>
      <c r="I270" s="2348"/>
      <c r="J270" s="2117"/>
      <c r="K270" s="2418"/>
    </row>
    <row r="271" customFormat="false" ht="12.75" hidden="false" customHeight="true" outlineLevel="0" collapsed="false">
      <c r="A271" s="2417"/>
      <c r="B271" s="2116"/>
      <c r="C271" s="972"/>
      <c r="D271" s="972"/>
      <c r="E271" s="972"/>
      <c r="F271" s="972"/>
      <c r="G271" s="2330"/>
      <c r="H271" s="972"/>
      <c r="I271" s="972"/>
      <c r="J271" s="2117"/>
      <c r="K271" s="2418"/>
    </row>
    <row r="272" customFormat="false" ht="12.75" hidden="false" customHeight="true" outlineLevel="0" collapsed="false">
      <c r="A272" s="2417"/>
      <c r="B272" s="2116"/>
      <c r="C272" s="972"/>
      <c r="D272" s="972"/>
      <c r="E272" s="972"/>
      <c r="F272" s="972"/>
      <c r="G272" s="2330"/>
      <c r="H272" s="972"/>
      <c r="I272" s="972"/>
      <c r="J272" s="2117"/>
      <c r="K272" s="2418"/>
    </row>
    <row r="273" customFormat="false" ht="12.75" hidden="false" customHeight="true" outlineLevel="0" collapsed="false">
      <c r="A273" s="2417"/>
      <c r="B273" s="2149" t="s">
        <v>800</v>
      </c>
      <c r="C273" s="2354" t="s">
        <v>3076</v>
      </c>
      <c r="D273" s="2354"/>
      <c r="E273" s="2354"/>
      <c r="F273" s="2354"/>
      <c r="G273" s="2354"/>
      <c r="H273" s="2354"/>
      <c r="I273" s="2355" t="s">
        <v>2866</v>
      </c>
      <c r="J273" s="2117"/>
      <c r="K273" s="2418"/>
    </row>
    <row r="274" customFormat="false" ht="12.75" hidden="false" customHeight="true" outlineLevel="0" collapsed="false">
      <c r="A274" s="2417"/>
      <c r="B274" s="2116"/>
      <c r="C274" s="972"/>
      <c r="D274" s="972"/>
      <c r="E274" s="972"/>
      <c r="F274" s="972"/>
      <c r="G274" s="2330"/>
      <c r="H274" s="972"/>
      <c r="I274" s="972"/>
      <c r="J274" s="2117"/>
      <c r="K274" s="2418"/>
    </row>
    <row r="275" customFormat="false" ht="25.5" hidden="false" customHeight="true" outlineLevel="0" collapsed="false">
      <c r="A275" s="2417"/>
      <c r="B275" s="2116"/>
      <c r="C275" s="2158" t="s">
        <v>2698</v>
      </c>
      <c r="D275" s="2158"/>
      <c r="E275" s="2158"/>
      <c r="F275" s="2158"/>
      <c r="G275" s="2158"/>
      <c r="H275" s="2120" t="s">
        <v>2699</v>
      </c>
      <c r="I275" s="1926" t="s">
        <v>2700</v>
      </c>
      <c r="J275" s="2117"/>
      <c r="K275" s="2418"/>
    </row>
    <row r="276" customFormat="false" ht="12.75" hidden="false" customHeight="true" outlineLevel="0" collapsed="false">
      <c r="A276" s="2417"/>
      <c r="B276" s="2116"/>
      <c r="C276" s="2307" t="s">
        <v>3077</v>
      </c>
      <c r="D276" s="2307"/>
      <c r="E276" s="2307"/>
      <c r="F276" s="2307"/>
      <c r="G276" s="2256" t="n">
        <f aca="false">E277+E278</f>
        <v>5</v>
      </c>
      <c r="H276" s="2239" t="n">
        <f aca="false">G276</f>
        <v>5</v>
      </c>
      <c r="I276" s="2348" t="n">
        <f aca="false">MIN(6,H276)</f>
        <v>5</v>
      </c>
      <c r="J276" s="2117"/>
      <c r="K276" s="2418"/>
    </row>
    <row r="277" customFormat="false" ht="12.75" hidden="false" customHeight="true" outlineLevel="0" collapsed="false">
      <c r="A277" s="2417"/>
      <c r="B277" s="2116"/>
      <c r="C277" s="2131" t="s">
        <v>3078</v>
      </c>
      <c r="D277" s="2131"/>
      <c r="E277" s="2132" t="n">
        <f aca="false">'Saisie et Calculateur'!E1081</f>
        <v>2</v>
      </c>
      <c r="F277" s="2132"/>
      <c r="G277" s="2256"/>
      <c r="H277" s="2239"/>
      <c r="I277" s="2348"/>
      <c r="J277" s="2117"/>
      <c r="K277" s="2418"/>
    </row>
    <row r="278" customFormat="false" ht="12.75" hidden="false" customHeight="true" outlineLevel="0" collapsed="false">
      <c r="A278" s="2417"/>
      <c r="B278" s="2116"/>
      <c r="C278" s="2145" t="s">
        <v>3079</v>
      </c>
      <c r="D278" s="2145"/>
      <c r="E278" s="2266" t="n">
        <f aca="false">'Saisie et Calculateur'!E1082</f>
        <v>3</v>
      </c>
      <c r="F278" s="2148"/>
      <c r="G278" s="2256"/>
      <c r="H278" s="2239"/>
      <c r="I278" s="2348"/>
      <c r="J278" s="2117"/>
      <c r="K278" s="2418"/>
    </row>
    <row r="279" customFormat="false" ht="12.75" hidden="false" customHeight="true" outlineLevel="0" collapsed="false">
      <c r="A279" s="2417"/>
      <c r="B279" s="2116"/>
      <c r="C279" s="972"/>
      <c r="D279" s="972"/>
      <c r="E279" s="972"/>
      <c r="F279" s="972"/>
      <c r="G279" s="2330"/>
      <c r="H279" s="972"/>
      <c r="I279" s="972"/>
      <c r="J279" s="2117"/>
      <c r="K279" s="2418"/>
    </row>
    <row r="280" customFormat="false" ht="12.75" hidden="false" customHeight="true" outlineLevel="0" collapsed="false">
      <c r="A280" s="2417"/>
      <c r="B280" s="2116"/>
      <c r="C280" s="972"/>
      <c r="D280" s="972"/>
      <c r="E280" s="972"/>
      <c r="F280" s="972"/>
      <c r="G280" s="2330"/>
      <c r="H280" s="972"/>
      <c r="I280" s="972"/>
      <c r="J280" s="2117"/>
      <c r="K280" s="2418"/>
    </row>
    <row r="281" customFormat="false" ht="15" hidden="false" customHeight="true" outlineLevel="0" collapsed="false">
      <c r="A281" s="2417"/>
      <c r="B281" s="2149" t="s">
        <v>3080</v>
      </c>
      <c r="C281" s="2354" t="s">
        <v>3081</v>
      </c>
      <c r="D281" s="2354"/>
      <c r="E281" s="2354"/>
      <c r="F281" s="2354"/>
      <c r="G281" s="2354"/>
      <c r="H281" s="2354"/>
      <c r="I281" s="2355" t="s">
        <v>2866</v>
      </c>
      <c r="J281" s="2117"/>
      <c r="K281" s="2418"/>
    </row>
    <row r="282" customFormat="false" ht="12.75" hidden="false" customHeight="true" outlineLevel="0" collapsed="false">
      <c r="A282" s="2417"/>
      <c r="B282" s="2116"/>
      <c r="C282" s="972"/>
      <c r="D282" s="972"/>
      <c r="E282" s="972"/>
      <c r="F282" s="972"/>
      <c r="G282" s="2330"/>
      <c r="H282" s="972"/>
      <c r="I282" s="972"/>
      <c r="J282" s="2117"/>
      <c r="K282" s="2418"/>
    </row>
    <row r="283" customFormat="false" ht="43" hidden="false" customHeight="false" outlineLevel="0" collapsed="false">
      <c r="A283" s="2417"/>
      <c r="B283" s="2116"/>
      <c r="C283" s="2119" t="s">
        <v>2698</v>
      </c>
      <c r="D283" s="2119"/>
      <c r="E283" s="2119"/>
      <c r="F283" s="2119"/>
      <c r="G283" s="2119"/>
      <c r="H283" s="2120" t="s">
        <v>2699</v>
      </c>
      <c r="I283" s="2120" t="s">
        <v>2700</v>
      </c>
      <c r="J283" s="2117"/>
      <c r="K283" s="2418"/>
      <c r="M283" s="2427" t="s">
        <v>3082</v>
      </c>
      <c r="N283" s="1861" t="s">
        <v>2782</v>
      </c>
    </row>
    <row r="284" customFormat="false" ht="14" hidden="false" customHeight="false" outlineLevel="0" collapsed="false">
      <c r="A284" s="2417"/>
      <c r="B284" s="2116"/>
      <c r="C284" s="2274" t="s">
        <v>3083</v>
      </c>
      <c r="D284" s="2274"/>
      <c r="E284" s="2274"/>
      <c r="F284" s="2428" t="str">
        <f aca="false">'Saisie et Calculateur'!B1088</f>
        <v>oui</v>
      </c>
      <c r="G284" s="2175"/>
      <c r="H284" s="2239" t="n">
        <f aca="false">IF(F284="oui",ROUND(AVERAGE(G286,G299),0),G299)</f>
        <v>6</v>
      </c>
      <c r="I284" s="2348" t="n">
        <f aca="false">MIN(6,H284)</f>
        <v>6</v>
      </c>
      <c r="J284" s="2117"/>
      <c r="K284" s="2418"/>
      <c r="M284" s="2429" t="n">
        <v>4</v>
      </c>
      <c r="N284" s="1861" t="n">
        <v>3</v>
      </c>
    </row>
    <row r="285" customFormat="false" ht="14" hidden="false" customHeight="false" outlineLevel="0" collapsed="false">
      <c r="A285" s="2417"/>
      <c r="B285" s="2116"/>
      <c r="C285" s="2430"/>
      <c r="D285" s="2324"/>
      <c r="E285" s="2324"/>
      <c r="F285" s="2324"/>
      <c r="G285" s="2324"/>
      <c r="H285" s="2239"/>
      <c r="I285" s="2348"/>
      <c r="J285" s="2117"/>
      <c r="K285" s="2418"/>
      <c r="M285" s="1861"/>
      <c r="N285" s="1861" t="n">
        <v>0</v>
      </c>
    </row>
    <row r="286" customFormat="false" ht="13.5" hidden="false" customHeight="true" outlineLevel="0" collapsed="false">
      <c r="A286" s="2417"/>
      <c r="B286" s="2116"/>
      <c r="C286" s="2431" t="s">
        <v>3084</v>
      </c>
      <c r="D286" s="2432"/>
      <c r="E286" s="2432"/>
      <c r="F286" s="2432"/>
      <c r="G286" s="2433" t="n">
        <f aca="false">IF(F288+F291+F293&lt;0,0,F288+F291+F293)</f>
        <v>6</v>
      </c>
      <c r="H286" s="2239"/>
      <c r="I286" s="2348"/>
      <c r="J286" s="2117"/>
      <c r="K286" s="2418"/>
    </row>
    <row r="287" customFormat="false" ht="12.75" hidden="false" customHeight="true" outlineLevel="0" collapsed="false">
      <c r="A287" s="2417"/>
      <c r="B287" s="2116"/>
      <c r="C287" s="2131" t="s">
        <v>3085</v>
      </c>
      <c r="D287" s="2131"/>
      <c r="E287" s="2131"/>
      <c r="F287" s="2131"/>
      <c r="G287" s="2433"/>
      <c r="H287" s="2239"/>
      <c r="I287" s="2348"/>
      <c r="J287" s="2117"/>
      <c r="K287" s="2418"/>
    </row>
    <row r="288" customFormat="false" ht="12.75" hidden="false" customHeight="true" outlineLevel="0" collapsed="false">
      <c r="A288" s="2417"/>
      <c r="B288" s="2116"/>
      <c r="C288" s="2206" t="s">
        <v>3086</v>
      </c>
      <c r="D288" s="2206"/>
      <c r="E288" s="2161" t="n">
        <f aca="false">'Saisie et Calculateur'!D1092</f>
        <v>4</v>
      </c>
      <c r="F288" s="972" t="n">
        <f aca="false">IF(E288=M284,N284,N285)</f>
        <v>3</v>
      </c>
      <c r="G288" s="2433"/>
      <c r="H288" s="2239"/>
      <c r="I288" s="2348"/>
      <c r="J288" s="2117"/>
      <c r="K288" s="2418"/>
      <c r="M288" s="2399"/>
      <c r="N288" s="2399"/>
    </row>
    <row r="289" customFormat="false" ht="12.75" hidden="false" customHeight="true" outlineLevel="0" collapsed="false">
      <c r="A289" s="2417"/>
      <c r="B289" s="2116"/>
      <c r="C289" s="2129"/>
      <c r="D289" s="972"/>
      <c r="E289" s="972"/>
      <c r="F289" s="972"/>
      <c r="G289" s="2433"/>
      <c r="H289" s="2239"/>
      <c r="I289" s="2348"/>
      <c r="J289" s="2117"/>
      <c r="K289" s="2418"/>
      <c r="M289" s="2399"/>
      <c r="N289" s="2399"/>
    </row>
    <row r="290" customFormat="false" ht="12.75" hidden="false" customHeight="true" outlineLevel="0" collapsed="false">
      <c r="A290" s="2417"/>
      <c r="B290" s="2116"/>
      <c r="C290" s="2192" t="s">
        <v>3087</v>
      </c>
      <c r="D290" s="2192"/>
      <c r="E290" s="2192"/>
      <c r="F290" s="2192"/>
      <c r="G290" s="2433"/>
      <c r="H290" s="2239"/>
      <c r="I290" s="2348"/>
      <c r="J290" s="2117"/>
      <c r="K290" s="2418"/>
      <c r="M290" s="2399"/>
      <c r="N290" s="2399"/>
    </row>
    <row r="291" customFormat="false" ht="12.75" hidden="false" customHeight="true" outlineLevel="0" collapsed="false">
      <c r="A291" s="2417"/>
      <c r="B291" s="2116"/>
      <c r="C291" s="2206" t="s">
        <v>3088</v>
      </c>
      <c r="D291" s="2206"/>
      <c r="E291" s="2132" t="n">
        <f aca="false">'Saisie et Calculateur'!I1092</f>
        <v>4</v>
      </c>
      <c r="F291" s="972" t="n">
        <f aca="false">MIN(3,E291)</f>
        <v>3</v>
      </c>
      <c r="G291" s="2433"/>
      <c r="H291" s="2239"/>
      <c r="I291" s="2348"/>
      <c r="J291" s="2117"/>
      <c r="K291" s="2418"/>
    </row>
    <row r="292" customFormat="false" ht="12.75" hidden="false" customHeight="true" outlineLevel="0" collapsed="false">
      <c r="A292" s="2417"/>
      <c r="B292" s="2116"/>
      <c r="C292" s="2143"/>
      <c r="D292" s="972"/>
      <c r="E292" s="2162"/>
      <c r="F292" s="972"/>
      <c r="G292" s="2433"/>
      <c r="H292" s="2239"/>
      <c r="I292" s="2348"/>
      <c r="J292" s="2117"/>
      <c r="K292" s="2418"/>
    </row>
    <row r="293" customFormat="false" ht="12.75" hidden="false" customHeight="true" outlineLevel="0" collapsed="false">
      <c r="A293" s="2417"/>
      <c r="B293" s="2116"/>
      <c r="C293" s="2311" t="s">
        <v>3089</v>
      </c>
      <c r="D293" s="972"/>
      <c r="E293" s="2300"/>
      <c r="F293" s="2434" t="n">
        <f aca="false">E294+E295+E296+E297</f>
        <v>0</v>
      </c>
      <c r="G293" s="2433"/>
      <c r="H293" s="2239"/>
      <c r="I293" s="2348"/>
      <c r="J293" s="2117"/>
      <c r="K293" s="2418"/>
    </row>
    <row r="294" customFormat="false" ht="12.75" hidden="false" customHeight="true" outlineLevel="0" collapsed="false">
      <c r="A294" s="2417"/>
      <c r="B294" s="2116"/>
      <c r="C294" s="2311" t="s">
        <v>3090</v>
      </c>
      <c r="D294" s="2161" t="str">
        <f aca="false">'Saisie et Calculateur'!B1105</f>
        <v>non</v>
      </c>
      <c r="E294" s="2156" t="n">
        <f aca="false">IF(D294="oui",-1,0)</f>
        <v>0</v>
      </c>
      <c r="F294" s="2434"/>
      <c r="G294" s="2433"/>
      <c r="H294" s="2239"/>
      <c r="I294" s="2348"/>
      <c r="J294" s="2117"/>
      <c r="K294" s="2418"/>
    </row>
    <row r="295" customFormat="false" ht="12.75" hidden="false" customHeight="true" outlineLevel="0" collapsed="false">
      <c r="A295" s="2417"/>
      <c r="B295" s="2116"/>
      <c r="C295" s="2311" t="s">
        <v>281</v>
      </c>
      <c r="D295" s="2161" t="str">
        <f aca="false">'Saisie et Calculateur'!D1105</f>
        <v>non</v>
      </c>
      <c r="E295" s="2132" t="n">
        <f aca="false">IF(D295="oui",-1,0)</f>
        <v>0</v>
      </c>
      <c r="F295" s="2434"/>
      <c r="G295" s="2433"/>
      <c r="H295" s="2239"/>
      <c r="I295" s="2348"/>
      <c r="J295" s="2117"/>
      <c r="K295" s="2418"/>
    </row>
    <row r="296" customFormat="false" ht="12.75" hidden="false" customHeight="true" outlineLevel="0" collapsed="false">
      <c r="A296" s="2417"/>
      <c r="B296" s="2116"/>
      <c r="C296" s="2393" t="s">
        <v>3091</v>
      </c>
      <c r="D296" s="2160" t="str">
        <f aca="false">'Saisie et Calculateur'!F1105</f>
        <v>non</v>
      </c>
      <c r="E296" s="2132" t="n">
        <f aca="false">IF(D296="oui",-1,0)</f>
        <v>0</v>
      </c>
      <c r="F296" s="2434"/>
      <c r="G296" s="2433"/>
      <c r="H296" s="2239"/>
      <c r="I296" s="2348"/>
      <c r="J296" s="2117"/>
      <c r="K296" s="2418"/>
    </row>
    <row r="297" customFormat="false" ht="12.75" hidden="false" customHeight="true" outlineLevel="0" collapsed="false">
      <c r="A297" s="2417"/>
      <c r="B297" s="2116"/>
      <c r="C297" s="2393" t="s">
        <v>3092</v>
      </c>
      <c r="D297" s="2160" t="str">
        <f aca="false">'Saisie et Calculateur'!H1105</f>
        <v>non</v>
      </c>
      <c r="E297" s="2132" t="n">
        <f aca="false">IF(D297="oui",-1,0)</f>
        <v>0</v>
      </c>
      <c r="F297" s="2434"/>
      <c r="G297" s="2433"/>
      <c r="H297" s="2239"/>
      <c r="I297" s="2348"/>
      <c r="J297" s="2117"/>
      <c r="K297" s="2418"/>
    </row>
    <row r="298" customFormat="false" ht="12.75" hidden="false" customHeight="true" outlineLevel="0" collapsed="false">
      <c r="A298" s="2417"/>
      <c r="B298" s="2116"/>
      <c r="C298" s="2393"/>
      <c r="D298" s="1529"/>
      <c r="E298" s="2160"/>
      <c r="F298" s="2132"/>
      <c r="G298" s="2435"/>
      <c r="H298" s="2239"/>
      <c r="I298" s="2348"/>
      <c r="J298" s="2117"/>
      <c r="K298" s="2418"/>
    </row>
    <row r="299" customFormat="false" ht="12.75" hidden="false" customHeight="true" outlineLevel="0" collapsed="false">
      <c r="A299" s="2417"/>
      <c r="B299" s="2116"/>
      <c r="C299" s="2431" t="s">
        <v>3093</v>
      </c>
      <c r="D299" s="1529"/>
      <c r="E299" s="2160"/>
      <c r="F299" s="2132"/>
      <c r="G299" s="2436" t="n">
        <f aca="false">F301+F304</f>
        <v>6</v>
      </c>
      <c r="H299" s="2239"/>
      <c r="I299" s="2348"/>
      <c r="J299" s="2117"/>
      <c r="K299" s="2418"/>
    </row>
    <row r="300" customFormat="false" ht="12.75" hidden="false" customHeight="true" outlineLevel="0" collapsed="false">
      <c r="A300" s="2417"/>
      <c r="B300" s="2116"/>
      <c r="C300" s="2131" t="s">
        <v>3094</v>
      </c>
      <c r="D300" s="2131"/>
      <c r="E300" s="2131"/>
      <c r="F300" s="2131"/>
      <c r="G300" s="2436"/>
      <c r="H300" s="2239"/>
      <c r="I300" s="2348"/>
      <c r="J300" s="2117"/>
      <c r="K300" s="2418"/>
    </row>
    <row r="301" customFormat="false" ht="12.75" hidden="false" customHeight="true" outlineLevel="0" collapsed="false">
      <c r="A301" s="2417"/>
      <c r="B301" s="2116"/>
      <c r="C301" s="2206" t="s">
        <v>3086</v>
      </c>
      <c r="D301" s="2206"/>
      <c r="E301" s="2161" t="n">
        <f aca="false">'Saisie et Calculateur'!D1111</f>
        <v>3</v>
      </c>
      <c r="F301" s="2335" t="n">
        <f aca="false">MIN(3,E301)</f>
        <v>3</v>
      </c>
      <c r="G301" s="2436"/>
      <c r="H301" s="2239"/>
      <c r="I301" s="2348"/>
      <c r="J301" s="2117"/>
      <c r="K301" s="2418"/>
    </row>
    <row r="302" customFormat="false" ht="12.75" hidden="false" customHeight="true" outlineLevel="0" collapsed="false">
      <c r="A302" s="2417"/>
      <c r="B302" s="2116"/>
      <c r="C302" s="2129"/>
      <c r="D302" s="972"/>
      <c r="E302" s="972"/>
      <c r="F302" s="972"/>
      <c r="G302" s="2436"/>
      <c r="H302" s="2239"/>
      <c r="I302" s="2348"/>
      <c r="J302" s="2117"/>
      <c r="K302" s="2418"/>
    </row>
    <row r="303" customFormat="false" ht="12.75" hidden="false" customHeight="true" outlineLevel="0" collapsed="false">
      <c r="A303" s="2417"/>
      <c r="B303" s="2116"/>
      <c r="C303" s="2131" t="s">
        <v>3095</v>
      </c>
      <c r="D303" s="2131"/>
      <c r="E303" s="2131"/>
      <c r="F303" s="2131"/>
      <c r="G303" s="2436"/>
      <c r="H303" s="2239"/>
      <c r="I303" s="2348"/>
      <c r="J303" s="2117"/>
      <c r="K303" s="2418"/>
    </row>
    <row r="304" customFormat="false" ht="12.75" hidden="false" customHeight="true" outlineLevel="0" collapsed="false">
      <c r="A304" s="2417"/>
      <c r="B304" s="2116"/>
      <c r="C304" s="2206" t="s">
        <v>3086</v>
      </c>
      <c r="D304" s="2206"/>
      <c r="E304" s="2161" t="n">
        <f aca="false">'Saisie et Calculateur'!I1111</f>
        <v>3</v>
      </c>
      <c r="F304" s="2437" t="n">
        <f aca="false">IF(E304+E305&lt;0,0,MIN(3,E304+E305))</f>
        <v>3</v>
      </c>
      <c r="G304" s="2436"/>
      <c r="H304" s="2239"/>
      <c r="I304" s="2348"/>
      <c r="J304" s="2117"/>
      <c r="K304" s="2418"/>
    </row>
    <row r="305" customFormat="false" ht="12.75" hidden="false" customHeight="true" outlineLevel="0" collapsed="false">
      <c r="A305" s="2417"/>
      <c r="B305" s="2116"/>
      <c r="C305" s="2438" t="s">
        <v>3096</v>
      </c>
      <c r="D305" s="2306" t="str">
        <f aca="false">'Saisie et Calculateur'!I1122</f>
        <v>non</v>
      </c>
      <c r="E305" s="2146" t="n">
        <f aca="false">IF(D305="oui",-1,0)</f>
        <v>0</v>
      </c>
      <c r="F305" s="2437"/>
      <c r="G305" s="2436"/>
      <c r="H305" s="2239"/>
      <c r="I305" s="2348"/>
      <c r="J305" s="2117"/>
      <c r="K305" s="2418"/>
    </row>
    <row r="306" customFormat="false" ht="13.5" hidden="false" customHeight="true" outlineLevel="0" collapsed="false">
      <c r="A306" s="2417"/>
      <c r="B306" s="2246"/>
      <c r="C306" s="2248"/>
      <c r="D306" s="2248"/>
      <c r="E306" s="2248"/>
      <c r="F306" s="2248"/>
      <c r="G306" s="2372"/>
      <c r="H306" s="2248"/>
      <c r="I306" s="2248"/>
      <c r="J306" s="2216"/>
      <c r="K306" s="2418"/>
    </row>
    <row r="307" customFormat="false" ht="13.5" hidden="false" customHeight="true" outlineLevel="0" collapsed="false"/>
    <row r="308" customFormat="false" ht="25.5" hidden="false" customHeight="true" outlineLevel="0" collapsed="false">
      <c r="A308" s="2439" t="s">
        <v>2917</v>
      </c>
      <c r="B308" s="2439"/>
      <c r="C308" s="2439"/>
      <c r="D308" s="2439"/>
      <c r="E308" s="2439"/>
      <c r="F308" s="2439"/>
      <c r="G308" s="2439"/>
      <c r="H308" s="2439"/>
      <c r="I308" s="2439"/>
      <c r="J308" s="2439"/>
      <c r="K308" s="2440" t="n">
        <f aca="false">SUM(K6,K65,K169,K235)</f>
        <v>74</v>
      </c>
    </row>
  </sheetData>
  <mergeCells count="255">
    <mergeCell ref="A1:K1"/>
    <mergeCell ref="A4:A63"/>
    <mergeCell ref="C4:H4"/>
    <mergeCell ref="K4:K5"/>
    <mergeCell ref="C6:G6"/>
    <mergeCell ref="K6:K63"/>
    <mergeCell ref="M6:N6"/>
    <mergeCell ref="C7:F7"/>
    <mergeCell ref="G7:G9"/>
    <mergeCell ref="H7:H13"/>
    <mergeCell ref="I7:I13"/>
    <mergeCell ref="M7:N7"/>
    <mergeCell ref="M8:N8"/>
    <mergeCell ref="M9:N9"/>
    <mergeCell ref="C10:F10"/>
    <mergeCell ref="G10:G11"/>
    <mergeCell ref="M10:N10"/>
    <mergeCell ref="C12:F12"/>
    <mergeCell ref="G12:G13"/>
    <mergeCell ref="C16:H16"/>
    <mergeCell ref="C18:G18"/>
    <mergeCell ref="C19:F19"/>
    <mergeCell ref="G19:G21"/>
    <mergeCell ref="H19:H24"/>
    <mergeCell ref="I19:I24"/>
    <mergeCell ref="C22:F22"/>
    <mergeCell ref="G22:G24"/>
    <mergeCell ref="C27:H27"/>
    <mergeCell ref="C29:G29"/>
    <mergeCell ref="C30:F30"/>
    <mergeCell ref="G30:G34"/>
    <mergeCell ref="H30:H39"/>
    <mergeCell ref="I30:I39"/>
    <mergeCell ref="C35:F35"/>
    <mergeCell ref="G35:G37"/>
    <mergeCell ref="G38:G39"/>
    <mergeCell ref="C42:H42"/>
    <mergeCell ref="C44:G44"/>
    <mergeCell ref="C45:G45"/>
    <mergeCell ref="H45:H46"/>
    <mergeCell ref="I45:I46"/>
    <mergeCell ref="C49:H49"/>
    <mergeCell ref="C51:G51"/>
    <mergeCell ref="C52:F53"/>
    <mergeCell ref="G52:G55"/>
    <mergeCell ref="H52:H62"/>
    <mergeCell ref="I52:I62"/>
    <mergeCell ref="C56:F57"/>
    <mergeCell ref="G56:G59"/>
    <mergeCell ref="C60:F61"/>
    <mergeCell ref="G60:G62"/>
    <mergeCell ref="A65:A167"/>
    <mergeCell ref="C65:H65"/>
    <mergeCell ref="K65:K167"/>
    <mergeCell ref="C67:G67"/>
    <mergeCell ref="Q67:R68"/>
    <mergeCell ref="C68:F68"/>
    <mergeCell ref="G68:G70"/>
    <mergeCell ref="H68:H72"/>
    <mergeCell ref="I68:I72"/>
    <mergeCell ref="M68:N68"/>
    <mergeCell ref="M69:N69"/>
    <mergeCell ref="M70:N70"/>
    <mergeCell ref="C71:F71"/>
    <mergeCell ref="G71:G72"/>
    <mergeCell ref="C75:H75"/>
    <mergeCell ref="C77:G77"/>
    <mergeCell ref="C78:F78"/>
    <mergeCell ref="G78:G79"/>
    <mergeCell ref="H78:H83"/>
    <mergeCell ref="I78:I83"/>
    <mergeCell ref="C80:F80"/>
    <mergeCell ref="G80:G81"/>
    <mergeCell ref="C82:F82"/>
    <mergeCell ref="G82:G83"/>
    <mergeCell ref="C86:H86"/>
    <mergeCell ref="C88:G88"/>
    <mergeCell ref="C89:F89"/>
    <mergeCell ref="G89:G91"/>
    <mergeCell ref="H89:H96"/>
    <mergeCell ref="I89:I96"/>
    <mergeCell ref="C92:F92"/>
    <mergeCell ref="G92:G94"/>
    <mergeCell ref="M92:M93"/>
    <mergeCell ref="N92:N93"/>
    <mergeCell ref="O92:O93"/>
    <mergeCell ref="C95:F95"/>
    <mergeCell ref="G95:G96"/>
    <mergeCell ref="C99:H99"/>
    <mergeCell ref="C101:G101"/>
    <mergeCell ref="C102:F102"/>
    <mergeCell ref="G102:G108"/>
    <mergeCell ref="H102:H119"/>
    <mergeCell ref="I102:I119"/>
    <mergeCell ref="M103:N103"/>
    <mergeCell ref="P103:Q103"/>
    <mergeCell ref="S103:T103"/>
    <mergeCell ref="V103:W103"/>
    <mergeCell ref="M108:N108"/>
    <mergeCell ref="P108:Q108"/>
    <mergeCell ref="S108:T108"/>
    <mergeCell ref="V108:W108"/>
    <mergeCell ref="C110:F110"/>
    <mergeCell ref="G110:G114"/>
    <mergeCell ref="M114:N114"/>
    <mergeCell ref="P114:Q114"/>
    <mergeCell ref="S114:T114"/>
    <mergeCell ref="C116:F116"/>
    <mergeCell ref="G116:G119"/>
    <mergeCell ref="C122:H122"/>
    <mergeCell ref="C124:G124"/>
    <mergeCell ref="C125:F125"/>
    <mergeCell ref="G125:G127"/>
    <mergeCell ref="H125:H135"/>
    <mergeCell ref="I125:I135"/>
    <mergeCell ref="C128:F128"/>
    <mergeCell ref="G128:G130"/>
    <mergeCell ref="C131:F131"/>
    <mergeCell ref="G131:G133"/>
    <mergeCell ref="C134:F134"/>
    <mergeCell ref="G134:G135"/>
    <mergeCell ref="C138:H138"/>
    <mergeCell ref="C140:G140"/>
    <mergeCell ref="C141:F141"/>
    <mergeCell ref="G141:G143"/>
    <mergeCell ref="H141:H148"/>
    <mergeCell ref="I141:I148"/>
    <mergeCell ref="C144:F144"/>
    <mergeCell ref="G144:G146"/>
    <mergeCell ref="G147:G148"/>
    <mergeCell ref="C151:H151"/>
    <mergeCell ref="C153:G153"/>
    <mergeCell ref="C154:F154"/>
    <mergeCell ref="H154:H156"/>
    <mergeCell ref="I154:I156"/>
    <mergeCell ref="C159:H159"/>
    <mergeCell ref="C161:G161"/>
    <mergeCell ref="C162:F162"/>
    <mergeCell ref="G162:G164"/>
    <mergeCell ref="H162:H166"/>
    <mergeCell ref="I162:I166"/>
    <mergeCell ref="C165:F165"/>
    <mergeCell ref="G165:G166"/>
    <mergeCell ref="A169:A232"/>
    <mergeCell ref="C169:H169"/>
    <mergeCell ref="K169:K232"/>
    <mergeCell ref="C171:G171"/>
    <mergeCell ref="C172:F172"/>
    <mergeCell ref="G172:G173"/>
    <mergeCell ref="H172:H180"/>
    <mergeCell ref="I172:I180"/>
    <mergeCell ref="C174:F174"/>
    <mergeCell ref="G174:G177"/>
    <mergeCell ref="C178:F178"/>
    <mergeCell ref="G178:G180"/>
    <mergeCell ref="C183:H183"/>
    <mergeCell ref="C185:G185"/>
    <mergeCell ref="G186:G187"/>
    <mergeCell ref="H186:H189"/>
    <mergeCell ref="I186:I189"/>
    <mergeCell ref="C188:F188"/>
    <mergeCell ref="G188:G189"/>
    <mergeCell ref="C192:H192"/>
    <mergeCell ref="C194:G194"/>
    <mergeCell ref="G195:G196"/>
    <mergeCell ref="H195:H204"/>
    <mergeCell ref="I195:I204"/>
    <mergeCell ref="G197:G199"/>
    <mergeCell ref="G200:G202"/>
    <mergeCell ref="C201:D201"/>
    <mergeCell ref="G203:G204"/>
    <mergeCell ref="C207:H207"/>
    <mergeCell ref="C209:G209"/>
    <mergeCell ref="C210:F210"/>
    <mergeCell ref="G210:G211"/>
    <mergeCell ref="H210:H218"/>
    <mergeCell ref="I210:I218"/>
    <mergeCell ref="C212:F212"/>
    <mergeCell ref="G212:G214"/>
    <mergeCell ref="C215:F215"/>
    <mergeCell ref="G215:G218"/>
    <mergeCell ref="C221:H221"/>
    <mergeCell ref="C223:G223"/>
    <mergeCell ref="C224:F224"/>
    <mergeCell ref="G224:G226"/>
    <mergeCell ref="H224:H231"/>
    <mergeCell ref="I224:I231"/>
    <mergeCell ref="C227:F227"/>
    <mergeCell ref="G227:G229"/>
    <mergeCell ref="C230:F230"/>
    <mergeCell ref="G230:G231"/>
    <mergeCell ref="A235:A306"/>
    <mergeCell ref="C235:H235"/>
    <mergeCell ref="K235:K306"/>
    <mergeCell ref="C237:G237"/>
    <mergeCell ref="C238:F238"/>
    <mergeCell ref="G238:G240"/>
    <mergeCell ref="H238:H253"/>
    <mergeCell ref="I238:I253"/>
    <mergeCell ref="M238:M239"/>
    <mergeCell ref="N238:N239"/>
    <mergeCell ref="O238:P239"/>
    <mergeCell ref="Q238:R239"/>
    <mergeCell ref="D239:E239"/>
    <mergeCell ref="O240:P240"/>
    <mergeCell ref="Q240:R240"/>
    <mergeCell ref="C241:F241"/>
    <mergeCell ref="G241:G243"/>
    <mergeCell ref="D242:E242"/>
    <mergeCell ref="G244:G246"/>
    <mergeCell ref="G247:G249"/>
    <mergeCell ref="G250:G252"/>
    <mergeCell ref="C256:H256"/>
    <mergeCell ref="C258:G258"/>
    <mergeCell ref="C259:F259"/>
    <mergeCell ref="G259:G261"/>
    <mergeCell ref="H259:H263"/>
    <mergeCell ref="I259:I263"/>
    <mergeCell ref="M259:N259"/>
    <mergeCell ref="M260:N260"/>
    <mergeCell ref="M261:N261"/>
    <mergeCell ref="C262:F262"/>
    <mergeCell ref="G262:G263"/>
    <mergeCell ref="C266:H266"/>
    <mergeCell ref="C268:G268"/>
    <mergeCell ref="C269:F269"/>
    <mergeCell ref="G269:G270"/>
    <mergeCell ref="H269:H270"/>
    <mergeCell ref="I269:I270"/>
    <mergeCell ref="C273:H273"/>
    <mergeCell ref="C275:G275"/>
    <mergeCell ref="C276:F276"/>
    <mergeCell ref="G276:G278"/>
    <mergeCell ref="H276:H278"/>
    <mergeCell ref="I276:I278"/>
    <mergeCell ref="C277:D277"/>
    <mergeCell ref="C278:D278"/>
    <mergeCell ref="C281:H281"/>
    <mergeCell ref="C283:G283"/>
    <mergeCell ref="C284:E284"/>
    <mergeCell ref="H284:H305"/>
    <mergeCell ref="I284:I305"/>
    <mergeCell ref="G286:G297"/>
    <mergeCell ref="C287:F287"/>
    <mergeCell ref="C288:D288"/>
    <mergeCell ref="C290:F290"/>
    <mergeCell ref="C291:D291"/>
    <mergeCell ref="F293:F297"/>
    <mergeCell ref="G299:G305"/>
    <mergeCell ref="C300:F300"/>
    <mergeCell ref="C301:D301"/>
    <mergeCell ref="C303:F303"/>
    <mergeCell ref="C304:D304"/>
    <mergeCell ref="F304:F305"/>
    <mergeCell ref="A308:J30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277</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2015-09-17T08:45:44Z</dcterms:created>
  <dc:creator>Administrateur</dc:creator>
  <dc:description/>
  <dc:language>fr-FR</dc:language>
  <cp:lastModifiedBy/>
  <cp:lastPrinted>2019-01-09T00:28:18Z</cp:lastPrinted>
  <dcterms:modified xsi:type="dcterms:W3CDTF">2020-01-09T11:43:54Z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